
<file path=[Content_Types].xml><?xml version="1.0" encoding="utf-8"?>
<Types xmlns="http://schemas.openxmlformats.org/package/2006/content-types">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vbaProject.bin" ContentType="application/vnd.ms-office.vbaProject"/>
  <Default Extension="xml" ContentType="application/xml"/>
  <Override PartName="/xl/drawings/drawing2.xml" ContentType="application/vnd.openxmlformats-officedocument.drawing+xml"/>
  <Override PartName="/xl/comments4.xml" ContentType="application/vnd.openxmlformats-officedocument.spreadsheetml.comments+xml"/>
  <Override PartName="/xl/charts/chart49.xml" ContentType="application/vnd.openxmlformats-officedocument.drawingml.chart+xml"/>
  <Override PartName="/xl/charts/chart67.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drawings/drawing11.xml" ContentType="application/vnd.openxmlformats-officedocument.drawing+xml"/>
  <Override PartName="/xl/charts/chart63.xml" ContentType="application/vnd.openxmlformats-officedocument.drawingml.chart+xml"/>
  <Override PartName="/xl/chartsheets/sheet2.xml" ContentType="application/vnd.openxmlformats-officedocument.spreadsheetml.chartshee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emf" ContentType="image/x-emf"/>
  <Override PartName="/xl/charts/chart3.xml" ContentType="application/vnd.openxmlformats-officedocument.drawingml.chart+xml"/>
  <Override PartName="/xl/drawings/drawing5.xml" ContentType="application/vnd.openxmlformats-officedocument.drawingml.chartshapes+xml"/>
  <Override PartName="/xl/charts/chart59.xml" ContentType="application/vnd.openxmlformats-officedocument.drawingml.chart+xml"/>
  <Override PartName="/xl/comments7.xml" ContentType="application/vnd.openxmlformats-officedocument.spreadsheetml.comments+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omments5.xml" ContentType="application/vnd.openxmlformats-officedocument.spreadsheetml.comments+xml"/>
  <Override PartName="/xl/charts/chart57.xml" ContentType="application/vnd.openxmlformats-officedocument.drawingml.chart+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drawings/drawing14.xml" ContentType="application/vnd.openxmlformats-officedocument.drawingml.chartshapes+xml"/>
  <Override PartName="/xl/charts/chart66.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drawings/drawing12.xml" ContentType="application/vnd.openxmlformats-officedocument.drawing+xml"/>
  <Override PartName="/xl/charts/chart64.xml" ContentType="application/vnd.openxmlformats-officedocument.drawingml.chart+xml"/>
  <Override PartName="/xl/calcChain.xml" ContentType="application/vnd.openxmlformats-officedocument.spreadsheetml.calcChain+xml"/>
  <Override PartName="/xl/chartsheets/sheet3.xml" ContentType="application/vnd.openxmlformats-officedocument.spreadsheetml.chartsheet+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drawings/drawing10.xml" ContentType="application/vnd.openxmlformats-officedocument.drawing+xml"/>
  <Override PartName="/xl/charts/chart51.xml" ContentType="application/vnd.openxmlformats-officedocument.drawingml.chart+xml"/>
  <Override PartName="/xl/charts/chart62.xml" ContentType="application/vnd.openxmlformats-officedocument.drawingml.chart+xml"/>
  <Override PartName="/xl/chartsheets/sheet1.xml" ContentType="application/vnd.openxmlformats-officedocument.spreadsheetml.chartshee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drawings/drawing15.xml" ContentType="application/vnd.openxmlformats-officedocument.drawing+xml"/>
  <Override PartName="/xl/comments2.xml" ContentType="application/vnd.openxmlformats-officedocument.spreadsheetml.comments+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chart6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codeName="{B7FE6334-C1A2-E50D-BD3D-5F4D41BBC2E3}"/>
  <workbookPr codeName="ThisWorkbook" defaultThemeVersion="124226"/>
  <bookViews>
    <workbookView xWindow="2265" yWindow="1140" windowWidth="13455" windowHeight="7350" tabRatio="810" firstSheet="2" activeTab="10"/>
  </bookViews>
  <sheets>
    <sheet name="README" sheetId="14" r:id="rId1"/>
    <sheet name="POP" sheetId="2" r:id="rId2"/>
    <sheet name="AR" sheetId="3" r:id="rId3"/>
    <sheet name="EAP" sheetId="4" r:id="rId4"/>
    <sheet name="ECO" sheetId="1" r:id="rId5"/>
    <sheet name="Social Budget" sheetId="17" r:id="rId6"/>
    <sheet name="MCFinance" sheetId="28" r:id="rId7"/>
    <sheet name="Budget modified" sheetId="27" r:id="rId8"/>
    <sheet name="GGO(SQ) (SQ and Post SPF)" sheetId="18" r:id="rId9"/>
    <sheet name="Basic set of graphs" sheetId="24" r:id="rId10"/>
    <sheet name="CHILD (Holistic benefit)" sheetId="6" r:id="rId11"/>
    <sheet name="PENS (Universal)" sheetId="16" r:id="rId12"/>
    <sheet name="Working age (Holistic)" sheetId="10" r:id="rId13"/>
    <sheet name="G_SP state budget (1)" sheetId="22" r:id="rId14"/>
    <sheet name="Graph Post_Deficit % of GDP" sheetId="20" r:id="rId15"/>
    <sheet name="Graph Post_Deficit % of Gov" sheetId="19" r:id="rId16"/>
    <sheet name="IMF Data" sheetId="25" r:id="rId17"/>
    <sheet name="Interest &quot;modest scenario&quot;" sheetId="26" r:id="rId18"/>
    <sheet name="Interest calculation expensive" sheetId="29" r:id="rId19"/>
    <sheet name="Interest calculation interm" sheetId="30" r:id="rId20"/>
  </sheets>
  <functionGroups/>
  <externalReferences>
    <externalReference r:id="rId21"/>
  </externalReferences>
  <definedNames>
    <definedName name="_xlnm.Print_Area" localSheetId="9">'Basic set of graphs'!$A$1:$Q$486</definedName>
    <definedName name="_xlnm.Print_Area" localSheetId="7">'Budget modified'!$A$1:$AB$264</definedName>
    <definedName name="_xlnm.Print_Area" localSheetId="4">ECO!$A$1:$S$113</definedName>
    <definedName name="_xlnm.Print_Area" localSheetId="8">'GGO(SQ) (SQ and Post SPF)'!$A$1:$AB$704</definedName>
    <definedName name="_xlnm.Print_Area" localSheetId="11">'PENS (Universal)'!$A$1:$M$257</definedName>
    <definedName name="_xlnm.Print_Area" localSheetId="12">'Working age (Holistic)'!$A$1:$M$110</definedName>
    <definedName name="_xlnm.Print_Titles" localSheetId="7">'Budget modified'!$13:$14</definedName>
    <definedName name="_xlnm.Print_Titles" localSheetId="10">'CHILD (Holistic benefit)'!$1:$6</definedName>
    <definedName name="_xlnm.Print_Titles" localSheetId="4">ECO!$A:$A,ECO!$8:$9</definedName>
    <definedName name="_xlnm.Print_Titles" localSheetId="8">'GGO(SQ) (SQ and Post SPF)'!$13:$14</definedName>
    <definedName name="_xlnm.Print_Titles" localSheetId="11">'PENS (Universal)'!$1:$7</definedName>
  </definedNames>
  <calcPr calcId="125725"/>
</workbook>
</file>

<file path=xl/calcChain.xml><?xml version="1.0" encoding="utf-8"?>
<calcChain xmlns="http://schemas.openxmlformats.org/spreadsheetml/2006/main">
  <c r="D475" i="18"/>
  <c r="E475"/>
  <c r="F475"/>
  <c r="G475"/>
  <c r="H475"/>
  <c r="D476"/>
  <c r="E476"/>
  <c r="F476"/>
  <c r="G476"/>
  <c r="H476"/>
  <c r="D477"/>
  <c r="E477"/>
  <c r="F477"/>
  <c r="G477"/>
  <c r="H477"/>
  <c r="C476"/>
  <c r="C477"/>
  <c r="C475"/>
  <c r="R49" i="30"/>
  <c r="Q49"/>
  <c r="P49"/>
  <c r="O49"/>
  <c r="N49"/>
  <c r="M49"/>
  <c r="L49"/>
  <c r="K49"/>
  <c r="J49"/>
  <c r="I49"/>
  <c r="H49"/>
  <c r="G49"/>
  <c r="F49"/>
  <c r="E49"/>
  <c r="D49"/>
  <c r="C49"/>
  <c r="C64" s="1"/>
  <c r="R44"/>
  <c r="Q44"/>
  <c r="P44"/>
  <c r="O44"/>
  <c r="N44"/>
  <c r="N59" s="1"/>
  <c r="M44"/>
  <c r="M59" s="1"/>
  <c r="L44"/>
  <c r="L59" s="1"/>
  <c r="K44"/>
  <c r="K59" s="1"/>
  <c r="J44"/>
  <c r="J59" s="1"/>
  <c r="I44"/>
  <c r="I59" s="1"/>
  <c r="H44"/>
  <c r="H59" s="1"/>
  <c r="G44"/>
  <c r="G59" s="1"/>
  <c r="F44"/>
  <c r="F59" s="1"/>
  <c r="E44"/>
  <c r="E59" s="1"/>
  <c r="D44"/>
  <c r="D59" s="1"/>
  <c r="C44"/>
  <c r="C59" s="1"/>
  <c r="R42"/>
  <c r="Q42"/>
  <c r="P42"/>
  <c r="O42"/>
  <c r="N42"/>
  <c r="M42"/>
  <c r="L42"/>
  <c r="K42"/>
  <c r="J42"/>
  <c r="I42"/>
  <c r="H42"/>
  <c r="G42"/>
  <c r="F42"/>
  <c r="E42"/>
  <c r="D42"/>
  <c r="C42"/>
  <c r="C57" s="1"/>
  <c r="C79" s="1"/>
  <c r="R41"/>
  <c r="Q41"/>
  <c r="P41"/>
  <c r="O41"/>
  <c r="N41"/>
  <c r="M41"/>
  <c r="L41"/>
  <c r="K41"/>
  <c r="J41"/>
  <c r="I41"/>
  <c r="H41"/>
  <c r="G41"/>
  <c r="F41"/>
  <c r="E41"/>
  <c r="D41"/>
  <c r="C41"/>
  <c r="R40"/>
  <c r="R55" s="1"/>
  <c r="Q40"/>
  <c r="Q55" s="1"/>
  <c r="P40"/>
  <c r="P55" s="1"/>
  <c r="O40"/>
  <c r="O55" s="1"/>
  <c r="N40"/>
  <c r="N55" s="1"/>
  <c r="M40"/>
  <c r="M55" s="1"/>
  <c r="L40"/>
  <c r="L55" s="1"/>
  <c r="K40"/>
  <c r="K55" s="1"/>
  <c r="J40"/>
  <c r="J55" s="1"/>
  <c r="I40"/>
  <c r="I55" s="1"/>
  <c r="H40"/>
  <c r="H55" s="1"/>
  <c r="G40"/>
  <c r="G55" s="1"/>
  <c r="F40"/>
  <c r="F55" s="1"/>
  <c r="E40"/>
  <c r="E55" s="1"/>
  <c r="D40"/>
  <c r="D55" s="1"/>
  <c r="C40"/>
  <c r="C55" s="1"/>
  <c r="R39"/>
  <c r="Q39"/>
  <c r="P39"/>
  <c r="O39"/>
  <c r="N39"/>
  <c r="M39"/>
  <c r="L39"/>
  <c r="K39"/>
  <c r="J39"/>
  <c r="I39"/>
  <c r="H39"/>
  <c r="G39"/>
  <c r="F39"/>
  <c r="E39"/>
  <c r="D39"/>
  <c r="C39"/>
  <c r="R38"/>
  <c r="Q38"/>
  <c r="P38"/>
  <c r="O38"/>
  <c r="N38"/>
  <c r="M38"/>
  <c r="L38"/>
  <c r="K38"/>
  <c r="J38"/>
  <c r="I38"/>
  <c r="H38"/>
  <c r="G38"/>
  <c r="F38"/>
  <c r="E38"/>
  <c r="D38"/>
  <c r="C38"/>
  <c r="D37"/>
  <c r="E37" s="1"/>
  <c r="F37" s="1"/>
  <c r="G37" s="1"/>
  <c r="H37" s="1"/>
  <c r="I37" s="1"/>
  <c r="J37" s="1"/>
  <c r="K37" s="1"/>
  <c r="L37" s="1"/>
  <c r="M37" s="1"/>
  <c r="N37" s="1"/>
  <c r="O37" s="1"/>
  <c r="P37" s="1"/>
  <c r="Q37" s="1"/>
  <c r="R37" s="1"/>
  <c r="D3"/>
  <c r="E3" s="1"/>
  <c r="F3" s="1"/>
  <c r="G3" s="1"/>
  <c r="H3" s="1"/>
  <c r="I3" s="1"/>
  <c r="J3" s="1"/>
  <c r="K3" s="1"/>
  <c r="L3" s="1"/>
  <c r="M3" s="1"/>
  <c r="N3" s="1"/>
  <c r="O3" s="1"/>
  <c r="P3" s="1"/>
  <c r="Q3" s="1"/>
  <c r="R3" s="1"/>
  <c r="R49" i="29"/>
  <c r="Q49"/>
  <c r="P49"/>
  <c r="O49"/>
  <c r="N49"/>
  <c r="M49"/>
  <c r="L49"/>
  <c r="K49"/>
  <c r="J49"/>
  <c r="I49"/>
  <c r="H49"/>
  <c r="G49"/>
  <c r="F49"/>
  <c r="E49"/>
  <c r="D49"/>
  <c r="C49"/>
  <c r="C64" s="1"/>
  <c r="R44"/>
  <c r="Q44"/>
  <c r="P44"/>
  <c r="O44"/>
  <c r="N44"/>
  <c r="N59" s="1"/>
  <c r="M44"/>
  <c r="M59" s="1"/>
  <c r="L44"/>
  <c r="L59" s="1"/>
  <c r="K44"/>
  <c r="K59" s="1"/>
  <c r="J44"/>
  <c r="J59" s="1"/>
  <c r="I44"/>
  <c r="I59" s="1"/>
  <c r="H44"/>
  <c r="H59" s="1"/>
  <c r="G44"/>
  <c r="G59" s="1"/>
  <c r="F44"/>
  <c r="F59" s="1"/>
  <c r="E44"/>
  <c r="E59" s="1"/>
  <c r="D44"/>
  <c r="D59" s="1"/>
  <c r="C44"/>
  <c r="C59" s="1"/>
  <c r="R42"/>
  <c r="Q42"/>
  <c r="P42"/>
  <c r="O42"/>
  <c r="N42"/>
  <c r="M42"/>
  <c r="L42"/>
  <c r="K42"/>
  <c r="J42"/>
  <c r="I42"/>
  <c r="H42"/>
  <c r="G42"/>
  <c r="F42"/>
  <c r="E42"/>
  <c r="D42"/>
  <c r="C42"/>
  <c r="C57" s="1"/>
  <c r="C79" s="1"/>
  <c r="R41"/>
  <c r="Q41"/>
  <c r="P41"/>
  <c r="O41"/>
  <c r="N41"/>
  <c r="M41"/>
  <c r="L41"/>
  <c r="K41"/>
  <c r="J41"/>
  <c r="I41"/>
  <c r="H41"/>
  <c r="G41"/>
  <c r="F41"/>
  <c r="E41"/>
  <c r="D41"/>
  <c r="C41"/>
  <c r="R40"/>
  <c r="R55" s="1"/>
  <c r="Q40"/>
  <c r="Q55" s="1"/>
  <c r="P40"/>
  <c r="P55" s="1"/>
  <c r="O40"/>
  <c r="O55" s="1"/>
  <c r="N40"/>
  <c r="N55" s="1"/>
  <c r="M40"/>
  <c r="M55" s="1"/>
  <c r="L40"/>
  <c r="L55" s="1"/>
  <c r="K40"/>
  <c r="K55" s="1"/>
  <c r="J40"/>
  <c r="J55" s="1"/>
  <c r="I40"/>
  <c r="I55" s="1"/>
  <c r="H40"/>
  <c r="H55" s="1"/>
  <c r="G40"/>
  <c r="G55" s="1"/>
  <c r="F40"/>
  <c r="F55" s="1"/>
  <c r="E40"/>
  <c r="E55" s="1"/>
  <c r="D40"/>
  <c r="D55" s="1"/>
  <c r="C40"/>
  <c r="C55" s="1"/>
  <c r="R39"/>
  <c r="Q39"/>
  <c r="P39"/>
  <c r="O39"/>
  <c r="N39"/>
  <c r="M39"/>
  <c r="L39"/>
  <c r="K39"/>
  <c r="J39"/>
  <c r="I39"/>
  <c r="H39"/>
  <c r="G39"/>
  <c r="F39"/>
  <c r="E39"/>
  <c r="D39"/>
  <c r="C39"/>
  <c r="R38"/>
  <c r="Q38"/>
  <c r="P38"/>
  <c r="O38"/>
  <c r="N38"/>
  <c r="M38"/>
  <c r="L38"/>
  <c r="K38"/>
  <c r="J38"/>
  <c r="I38"/>
  <c r="H38"/>
  <c r="G38"/>
  <c r="F38"/>
  <c r="E38"/>
  <c r="D38"/>
  <c r="C38"/>
  <c r="D37"/>
  <c r="E37" s="1"/>
  <c r="F37" s="1"/>
  <c r="G37" s="1"/>
  <c r="H37" s="1"/>
  <c r="I37" s="1"/>
  <c r="J37" s="1"/>
  <c r="K37" s="1"/>
  <c r="L37" s="1"/>
  <c r="M37" s="1"/>
  <c r="N37" s="1"/>
  <c r="O37" s="1"/>
  <c r="P37" s="1"/>
  <c r="Q37" s="1"/>
  <c r="R37" s="1"/>
  <c r="D3"/>
  <c r="E3" s="1"/>
  <c r="F3" s="1"/>
  <c r="G3" s="1"/>
  <c r="H3" s="1"/>
  <c r="I3" s="1"/>
  <c r="J3" s="1"/>
  <c r="K3" s="1"/>
  <c r="L3" s="1"/>
  <c r="M3" s="1"/>
  <c r="N3" s="1"/>
  <c r="O3" s="1"/>
  <c r="P3" s="1"/>
  <c r="Q3" s="1"/>
  <c r="R3" s="1"/>
  <c r="C215" i="16"/>
  <c r="B215"/>
  <c r="B121"/>
  <c r="D77" i="30" l="1"/>
  <c r="F77"/>
  <c r="H77"/>
  <c r="D78"/>
  <c r="D56"/>
  <c r="D54" s="1"/>
  <c r="F78"/>
  <c r="F56"/>
  <c r="F54" s="1"/>
  <c r="H78"/>
  <c r="H56"/>
  <c r="H54" s="1"/>
  <c r="J78"/>
  <c r="J56"/>
  <c r="J54" s="1"/>
  <c r="L78"/>
  <c r="L56"/>
  <c r="L54" s="1"/>
  <c r="N78"/>
  <c r="N56"/>
  <c r="N54" s="1"/>
  <c r="P78"/>
  <c r="P56"/>
  <c r="P54" s="1"/>
  <c r="R78"/>
  <c r="R56"/>
  <c r="R54" s="1"/>
  <c r="D81"/>
  <c r="F81"/>
  <c r="H81"/>
  <c r="J81"/>
  <c r="L81"/>
  <c r="N81"/>
  <c r="P59"/>
  <c r="P47"/>
  <c r="R59"/>
  <c r="R47"/>
  <c r="D46"/>
  <c r="F46"/>
  <c r="H46"/>
  <c r="J46"/>
  <c r="L46"/>
  <c r="N46"/>
  <c r="P46"/>
  <c r="R46"/>
  <c r="D47"/>
  <c r="F47"/>
  <c r="H47"/>
  <c r="J47"/>
  <c r="L47"/>
  <c r="N47"/>
  <c r="D57"/>
  <c r="F57"/>
  <c r="H57"/>
  <c r="J57"/>
  <c r="L57"/>
  <c r="N57"/>
  <c r="P57"/>
  <c r="R57"/>
  <c r="C77"/>
  <c r="E77"/>
  <c r="G77"/>
  <c r="C78"/>
  <c r="C56"/>
  <c r="C54" s="1"/>
  <c r="E78"/>
  <c r="E56"/>
  <c r="E54" s="1"/>
  <c r="G78"/>
  <c r="G56"/>
  <c r="G54" s="1"/>
  <c r="I78"/>
  <c r="I56"/>
  <c r="I54" s="1"/>
  <c r="K78"/>
  <c r="K56"/>
  <c r="K54" s="1"/>
  <c r="M78"/>
  <c r="M56"/>
  <c r="M54" s="1"/>
  <c r="O78"/>
  <c r="O56"/>
  <c r="O54" s="1"/>
  <c r="Q78"/>
  <c r="Q56"/>
  <c r="Q54" s="1"/>
  <c r="C81"/>
  <c r="E81"/>
  <c r="G81"/>
  <c r="I81"/>
  <c r="K81"/>
  <c r="M81"/>
  <c r="O59"/>
  <c r="O47"/>
  <c r="Q59"/>
  <c r="Q47"/>
  <c r="C86"/>
  <c r="C46"/>
  <c r="E46"/>
  <c r="G46"/>
  <c r="G57" s="1"/>
  <c r="I46"/>
  <c r="K46"/>
  <c r="K57" s="1"/>
  <c r="M46"/>
  <c r="O46"/>
  <c r="O57" s="1"/>
  <c r="Q46"/>
  <c r="C47"/>
  <c r="E47"/>
  <c r="G47"/>
  <c r="I47"/>
  <c r="K47"/>
  <c r="M47"/>
  <c r="E57"/>
  <c r="I57"/>
  <c r="M57"/>
  <c r="Q57"/>
  <c r="D77" i="29"/>
  <c r="F77"/>
  <c r="H77"/>
  <c r="D78"/>
  <c r="D56"/>
  <c r="D54" s="1"/>
  <c r="F78"/>
  <c r="F56"/>
  <c r="F54" s="1"/>
  <c r="H78"/>
  <c r="H56"/>
  <c r="H54" s="1"/>
  <c r="J78"/>
  <c r="J56"/>
  <c r="J54" s="1"/>
  <c r="L78"/>
  <c r="L56"/>
  <c r="L54" s="1"/>
  <c r="N78"/>
  <c r="N56"/>
  <c r="N54" s="1"/>
  <c r="P78"/>
  <c r="P56"/>
  <c r="P54" s="1"/>
  <c r="R78"/>
  <c r="R56"/>
  <c r="R54" s="1"/>
  <c r="D81"/>
  <c r="F81"/>
  <c r="H81"/>
  <c r="J81"/>
  <c r="L81"/>
  <c r="N81"/>
  <c r="P59"/>
  <c r="P47"/>
  <c r="R59"/>
  <c r="R47"/>
  <c r="D46"/>
  <c r="F46"/>
  <c r="H46"/>
  <c r="J46"/>
  <c r="L46"/>
  <c r="N46"/>
  <c r="P46"/>
  <c r="R46"/>
  <c r="D47"/>
  <c r="F47"/>
  <c r="H47"/>
  <c r="J47"/>
  <c r="L47"/>
  <c r="N47"/>
  <c r="D57"/>
  <c r="F57"/>
  <c r="H57"/>
  <c r="J57"/>
  <c r="L57"/>
  <c r="N57"/>
  <c r="P57"/>
  <c r="R57"/>
  <c r="C77"/>
  <c r="E77"/>
  <c r="G77"/>
  <c r="C78"/>
  <c r="C56"/>
  <c r="C54" s="1"/>
  <c r="E78"/>
  <c r="E56"/>
  <c r="E54" s="1"/>
  <c r="G78"/>
  <c r="G56"/>
  <c r="G54" s="1"/>
  <c r="I78"/>
  <c r="I56"/>
  <c r="I54" s="1"/>
  <c r="K78"/>
  <c r="K56"/>
  <c r="K54" s="1"/>
  <c r="M78"/>
  <c r="M56"/>
  <c r="M54" s="1"/>
  <c r="O78"/>
  <c r="O56"/>
  <c r="O54" s="1"/>
  <c r="Q78"/>
  <c r="Q56"/>
  <c r="Q54" s="1"/>
  <c r="C81"/>
  <c r="E81"/>
  <c r="G81"/>
  <c r="I81"/>
  <c r="K81"/>
  <c r="M81"/>
  <c r="O59"/>
  <c r="O47"/>
  <c r="Q59"/>
  <c r="Q47"/>
  <c r="C86"/>
  <c r="C46"/>
  <c r="E46"/>
  <c r="G46"/>
  <c r="G57" s="1"/>
  <c r="I46"/>
  <c r="K46"/>
  <c r="M46"/>
  <c r="O46"/>
  <c r="Q46"/>
  <c r="C47"/>
  <c r="E47"/>
  <c r="G47"/>
  <c r="I47"/>
  <c r="K47"/>
  <c r="M47"/>
  <c r="E57"/>
  <c r="I57"/>
  <c r="K57"/>
  <c r="M57"/>
  <c r="O57"/>
  <c r="Q57"/>
  <c r="C188" i="16"/>
  <c r="D188" s="1"/>
  <c r="E188" s="1"/>
  <c r="F188" s="1"/>
  <c r="G188" s="1"/>
  <c r="H188" s="1"/>
  <c r="I188" s="1"/>
  <c r="J188" s="1"/>
  <c r="K188" s="1"/>
  <c r="L188" s="1"/>
  <c r="C187"/>
  <c r="D187" s="1"/>
  <c r="E187" s="1"/>
  <c r="F187" s="1"/>
  <c r="G187" s="1"/>
  <c r="H187" s="1"/>
  <c r="I187" s="1"/>
  <c r="J187" s="1"/>
  <c r="K187" s="1"/>
  <c r="L187" s="1"/>
  <c r="Q53" i="29" l="1"/>
  <c r="O53"/>
  <c r="R53"/>
  <c r="P53"/>
  <c r="Q53" i="30"/>
  <c r="R53"/>
  <c r="P53"/>
  <c r="M53"/>
  <c r="M62" s="1"/>
  <c r="M61"/>
  <c r="K53"/>
  <c r="K62" s="1"/>
  <c r="K61"/>
  <c r="I53"/>
  <c r="I62" s="1"/>
  <c r="I61"/>
  <c r="G53"/>
  <c r="G62" s="1"/>
  <c r="G61"/>
  <c r="E53"/>
  <c r="E62" s="1"/>
  <c r="E61"/>
  <c r="C53"/>
  <c r="C62" s="1"/>
  <c r="C61"/>
  <c r="N53"/>
  <c r="N62" s="1"/>
  <c r="N61"/>
  <c r="L53"/>
  <c r="L62" s="1"/>
  <c r="L61"/>
  <c r="J53"/>
  <c r="J62" s="1"/>
  <c r="J61"/>
  <c r="H53"/>
  <c r="H62" s="1"/>
  <c r="H61"/>
  <c r="F53"/>
  <c r="F62" s="1"/>
  <c r="F61"/>
  <c r="D53"/>
  <c r="D62" s="1"/>
  <c r="D61"/>
  <c r="O53"/>
  <c r="O62" s="1"/>
  <c r="Q81"/>
  <c r="Q62"/>
  <c r="Q61"/>
  <c r="O81"/>
  <c r="O61"/>
  <c r="R81"/>
  <c r="R62"/>
  <c r="R61"/>
  <c r="P81"/>
  <c r="P62"/>
  <c r="P61"/>
  <c r="G76"/>
  <c r="E76"/>
  <c r="C76"/>
  <c r="C75" s="1"/>
  <c r="C84" s="1"/>
  <c r="H76"/>
  <c r="F76"/>
  <c r="F83" s="1"/>
  <c r="D76"/>
  <c r="E83"/>
  <c r="M53" i="29"/>
  <c r="M62" s="1"/>
  <c r="M61"/>
  <c r="K53"/>
  <c r="K62" s="1"/>
  <c r="K61"/>
  <c r="I53"/>
  <c r="I62" s="1"/>
  <c r="I61"/>
  <c r="G53"/>
  <c r="G62" s="1"/>
  <c r="G61"/>
  <c r="E53"/>
  <c r="E62" s="1"/>
  <c r="E61"/>
  <c r="C53"/>
  <c r="C62" s="1"/>
  <c r="C61"/>
  <c r="N53"/>
  <c r="N62" s="1"/>
  <c r="N61"/>
  <c r="L53"/>
  <c r="L62" s="1"/>
  <c r="L61"/>
  <c r="J53"/>
  <c r="J62" s="1"/>
  <c r="J61"/>
  <c r="H53"/>
  <c r="H62" s="1"/>
  <c r="H61"/>
  <c r="F53"/>
  <c r="F62" s="1"/>
  <c r="F61"/>
  <c r="D53"/>
  <c r="D62" s="1"/>
  <c r="D61"/>
  <c r="Q81"/>
  <c r="Q62"/>
  <c r="Q61"/>
  <c r="O81"/>
  <c r="O62"/>
  <c r="O61"/>
  <c r="R81"/>
  <c r="R62"/>
  <c r="R61"/>
  <c r="P81"/>
  <c r="P62"/>
  <c r="P61"/>
  <c r="G76"/>
  <c r="E76"/>
  <c r="C76"/>
  <c r="C75" s="1"/>
  <c r="C84" s="1"/>
  <c r="H76"/>
  <c r="F76"/>
  <c r="F83" s="1"/>
  <c r="D76"/>
  <c r="E83"/>
  <c r="C5" i="25"/>
  <c r="D5"/>
  <c r="E5"/>
  <c r="C17" i="28"/>
  <c r="D17"/>
  <c r="E17"/>
  <c r="F17"/>
  <c r="G17"/>
  <c r="A18"/>
  <c r="B17"/>
  <c r="A17"/>
  <c r="A16"/>
  <c r="A15"/>
  <c r="B14"/>
  <c r="H11"/>
  <c r="I11" s="1"/>
  <c r="J11" s="1"/>
  <c r="K11" s="1"/>
  <c r="L11" s="1"/>
  <c r="M11" s="1"/>
  <c r="N11" s="1"/>
  <c r="O11" s="1"/>
  <c r="P11" s="1"/>
  <c r="Q11" s="1"/>
  <c r="C3"/>
  <c r="C14" s="1"/>
  <c r="H85" i="27"/>
  <c r="R262"/>
  <c r="Q262"/>
  <c r="P262"/>
  <c r="O262"/>
  <c r="N262"/>
  <c r="M262"/>
  <c r="L262"/>
  <c r="K262"/>
  <c r="J262"/>
  <c r="I262"/>
  <c r="H262"/>
  <c r="G262"/>
  <c r="F262"/>
  <c r="E262"/>
  <c r="D262"/>
  <c r="C262"/>
  <c r="R261"/>
  <c r="Q261"/>
  <c r="P261"/>
  <c r="O261"/>
  <c r="N261"/>
  <c r="M261"/>
  <c r="L261"/>
  <c r="K261"/>
  <c r="J261"/>
  <c r="I261"/>
  <c r="H261"/>
  <c r="G261"/>
  <c r="F261"/>
  <c r="E261"/>
  <c r="D261"/>
  <c r="C261"/>
  <c r="R260"/>
  <c r="Q260"/>
  <c r="P260"/>
  <c r="O260"/>
  <c r="N260"/>
  <c r="M260"/>
  <c r="L260"/>
  <c r="K260"/>
  <c r="J260"/>
  <c r="I260"/>
  <c r="H260"/>
  <c r="G260"/>
  <c r="F260"/>
  <c r="E260"/>
  <c r="D260"/>
  <c r="C260"/>
  <c r="R259"/>
  <c r="Q259"/>
  <c r="P259"/>
  <c r="O259"/>
  <c r="N259"/>
  <c r="M259"/>
  <c r="L259"/>
  <c r="K259"/>
  <c r="J259"/>
  <c r="I259"/>
  <c r="H259"/>
  <c r="G259"/>
  <c r="F259"/>
  <c r="E259"/>
  <c r="D259"/>
  <c r="C259"/>
  <c r="R257"/>
  <c r="Q257"/>
  <c r="P257"/>
  <c r="O257"/>
  <c r="N257"/>
  <c r="M257"/>
  <c r="L257"/>
  <c r="K257"/>
  <c r="J257"/>
  <c r="I257"/>
  <c r="H257"/>
  <c r="G257"/>
  <c r="F257"/>
  <c r="E257"/>
  <c r="D257"/>
  <c r="C257"/>
  <c r="R255"/>
  <c r="Q255"/>
  <c r="P255"/>
  <c r="O255"/>
  <c r="N255"/>
  <c r="M255"/>
  <c r="L255"/>
  <c r="K255"/>
  <c r="J255"/>
  <c r="I255"/>
  <c r="H255"/>
  <c r="G255"/>
  <c r="F255"/>
  <c r="E255"/>
  <c r="D255"/>
  <c r="C255"/>
  <c r="R252"/>
  <c r="Q252"/>
  <c r="P252"/>
  <c r="O252"/>
  <c r="N252"/>
  <c r="M252"/>
  <c r="L252"/>
  <c r="K252"/>
  <c r="J252"/>
  <c r="I252"/>
  <c r="H252"/>
  <c r="G252"/>
  <c r="F252"/>
  <c r="E252"/>
  <c r="D252"/>
  <c r="C252"/>
  <c r="R251"/>
  <c r="Q251"/>
  <c r="P251"/>
  <c r="O251"/>
  <c r="N251"/>
  <c r="M251"/>
  <c r="L251"/>
  <c r="K251"/>
  <c r="J251"/>
  <c r="I251"/>
  <c r="H251"/>
  <c r="G251"/>
  <c r="F251"/>
  <c r="E251"/>
  <c r="D251"/>
  <c r="C251"/>
  <c r="R250"/>
  <c r="Q250"/>
  <c r="P250"/>
  <c r="O250"/>
  <c r="N250"/>
  <c r="M250"/>
  <c r="L250"/>
  <c r="K250"/>
  <c r="J250"/>
  <c r="I250"/>
  <c r="H250"/>
  <c r="G250"/>
  <c r="F250"/>
  <c r="E250"/>
  <c r="D250"/>
  <c r="C250"/>
  <c r="R249"/>
  <c r="Q249"/>
  <c r="P249"/>
  <c r="O249"/>
  <c r="N249"/>
  <c r="M249"/>
  <c r="L249"/>
  <c r="K249"/>
  <c r="J249"/>
  <c r="I249"/>
  <c r="H249"/>
  <c r="G249"/>
  <c r="F249"/>
  <c r="E249"/>
  <c r="D249"/>
  <c r="C249"/>
  <c r="R247"/>
  <c r="Q247"/>
  <c r="P247"/>
  <c r="O247"/>
  <c r="N247"/>
  <c r="M247"/>
  <c r="L247"/>
  <c r="K247"/>
  <c r="J247"/>
  <c r="I247"/>
  <c r="H247"/>
  <c r="G247"/>
  <c r="F247"/>
  <c r="E247"/>
  <c r="D247"/>
  <c r="C247"/>
  <c r="R245"/>
  <c r="Q245"/>
  <c r="P245"/>
  <c r="O245"/>
  <c r="N245"/>
  <c r="M245"/>
  <c r="L245"/>
  <c r="K245"/>
  <c r="J245"/>
  <c r="I245"/>
  <c r="H245"/>
  <c r="G245"/>
  <c r="F245"/>
  <c r="E245"/>
  <c r="D245"/>
  <c r="C245"/>
  <c r="R244"/>
  <c r="Q244"/>
  <c r="P244"/>
  <c r="O244"/>
  <c r="N244"/>
  <c r="M244"/>
  <c r="L244"/>
  <c r="K244"/>
  <c r="J244"/>
  <c r="I244"/>
  <c r="H244"/>
  <c r="G244"/>
  <c r="F244"/>
  <c r="E244"/>
  <c r="D244"/>
  <c r="C244"/>
  <c r="R243"/>
  <c r="Q243"/>
  <c r="P243"/>
  <c r="O243"/>
  <c r="N243"/>
  <c r="M243"/>
  <c r="L243"/>
  <c r="K243"/>
  <c r="J243"/>
  <c r="I243"/>
  <c r="H243"/>
  <c r="G243"/>
  <c r="F243"/>
  <c r="E243"/>
  <c r="D243"/>
  <c r="C243"/>
  <c r="R242"/>
  <c r="Q242"/>
  <c r="P242"/>
  <c r="O242"/>
  <c r="N242"/>
  <c r="M242"/>
  <c r="L242"/>
  <c r="K242"/>
  <c r="J242"/>
  <c r="I242"/>
  <c r="H242"/>
  <c r="G242"/>
  <c r="F242"/>
  <c r="E242"/>
  <c r="D242"/>
  <c r="C242"/>
  <c r="R235"/>
  <c r="Q235"/>
  <c r="P235"/>
  <c r="O235"/>
  <c r="N235"/>
  <c r="M235"/>
  <c r="L235"/>
  <c r="K235"/>
  <c r="J235"/>
  <c r="I235"/>
  <c r="H235"/>
  <c r="G235"/>
  <c r="F235"/>
  <c r="E235"/>
  <c r="D235"/>
  <c r="C235"/>
  <c r="R234"/>
  <c r="Q234"/>
  <c r="P234"/>
  <c r="O234"/>
  <c r="N234"/>
  <c r="M234"/>
  <c r="L234"/>
  <c r="K234"/>
  <c r="J234"/>
  <c r="I234"/>
  <c r="H234"/>
  <c r="G234"/>
  <c r="F234"/>
  <c r="E234"/>
  <c r="D234"/>
  <c r="C234"/>
  <c r="R232"/>
  <c r="R233" s="1"/>
  <c r="Q232"/>
  <c r="Q233" s="1"/>
  <c r="P232"/>
  <c r="P233" s="1"/>
  <c r="O232"/>
  <c r="O233" s="1"/>
  <c r="N232"/>
  <c r="N233" s="1"/>
  <c r="M232"/>
  <c r="M233" s="1"/>
  <c r="L232"/>
  <c r="L233" s="1"/>
  <c r="K232"/>
  <c r="K233" s="1"/>
  <c r="J232"/>
  <c r="J233" s="1"/>
  <c r="I232"/>
  <c r="I233" s="1"/>
  <c r="H232"/>
  <c r="H233" s="1"/>
  <c r="G232"/>
  <c r="G233" s="1"/>
  <c r="F232"/>
  <c r="F233" s="1"/>
  <c r="E232"/>
  <c r="E233" s="1"/>
  <c r="D232"/>
  <c r="D233" s="1"/>
  <c r="C232"/>
  <c r="C233" s="1"/>
  <c r="R231"/>
  <c r="R236" s="1"/>
  <c r="R256" s="1"/>
  <c r="Q231"/>
  <c r="Q236" s="1"/>
  <c r="Q256" s="1"/>
  <c r="P231"/>
  <c r="P236" s="1"/>
  <c r="P256" s="1"/>
  <c r="O231"/>
  <c r="O236" s="1"/>
  <c r="O256" s="1"/>
  <c r="N231"/>
  <c r="N236" s="1"/>
  <c r="N256" s="1"/>
  <c r="M231"/>
  <c r="M236" s="1"/>
  <c r="M256" s="1"/>
  <c r="L231"/>
  <c r="L236" s="1"/>
  <c r="L256" s="1"/>
  <c r="K231"/>
  <c r="K236" s="1"/>
  <c r="K256" s="1"/>
  <c r="J231"/>
  <c r="J236" s="1"/>
  <c r="J256" s="1"/>
  <c r="I231"/>
  <c r="I236" s="1"/>
  <c r="I256" s="1"/>
  <c r="H231"/>
  <c r="H236" s="1"/>
  <c r="H256" s="1"/>
  <c r="G231"/>
  <c r="G236" s="1"/>
  <c r="G256" s="1"/>
  <c r="F231"/>
  <c r="F236" s="1"/>
  <c r="F256" s="1"/>
  <c r="E231"/>
  <c r="E236" s="1"/>
  <c r="E256" s="1"/>
  <c r="D231"/>
  <c r="D236" s="1"/>
  <c r="D256" s="1"/>
  <c r="C231"/>
  <c r="C236" s="1"/>
  <c r="C256" s="1"/>
  <c r="R230"/>
  <c r="Q230"/>
  <c r="P230"/>
  <c r="O230"/>
  <c r="N230"/>
  <c r="M230"/>
  <c r="L230"/>
  <c r="K230"/>
  <c r="J230"/>
  <c r="I230"/>
  <c r="H230"/>
  <c r="G230"/>
  <c r="F230"/>
  <c r="E230"/>
  <c r="D230"/>
  <c r="C230"/>
  <c r="R226"/>
  <c r="Q226"/>
  <c r="P226"/>
  <c r="O226"/>
  <c r="N226"/>
  <c r="M226"/>
  <c r="L226"/>
  <c r="K226"/>
  <c r="J226"/>
  <c r="I226"/>
  <c r="H226"/>
  <c r="G226"/>
  <c r="F226"/>
  <c r="E226"/>
  <c r="D226"/>
  <c r="C226"/>
  <c r="R224"/>
  <c r="Q224"/>
  <c r="P224"/>
  <c r="O224"/>
  <c r="N224"/>
  <c r="M224"/>
  <c r="L224"/>
  <c r="K224"/>
  <c r="J224"/>
  <c r="I224"/>
  <c r="H224"/>
  <c r="G224"/>
  <c r="F224"/>
  <c r="E224"/>
  <c r="D224"/>
  <c r="C224"/>
  <c r="R222"/>
  <c r="Q222"/>
  <c r="P222"/>
  <c r="O222"/>
  <c r="N222"/>
  <c r="M222"/>
  <c r="L222"/>
  <c r="K222"/>
  <c r="J222"/>
  <c r="I222"/>
  <c r="H222"/>
  <c r="G222"/>
  <c r="F222"/>
  <c r="E222"/>
  <c r="D222"/>
  <c r="C222"/>
  <c r="R221"/>
  <c r="R223" s="1"/>
  <c r="Q221"/>
  <c r="Q223" s="1"/>
  <c r="P221"/>
  <c r="P223" s="1"/>
  <c r="O221"/>
  <c r="O223" s="1"/>
  <c r="N221"/>
  <c r="N223" s="1"/>
  <c r="M221"/>
  <c r="M223" s="1"/>
  <c r="L221"/>
  <c r="L223" s="1"/>
  <c r="K221"/>
  <c r="K223" s="1"/>
  <c r="J221"/>
  <c r="J223" s="1"/>
  <c r="I221"/>
  <c r="I223" s="1"/>
  <c r="H221"/>
  <c r="H223" s="1"/>
  <c r="G221"/>
  <c r="G223" s="1"/>
  <c r="F221"/>
  <c r="F223" s="1"/>
  <c r="E221"/>
  <c r="E223" s="1"/>
  <c r="D221"/>
  <c r="D223" s="1"/>
  <c r="C221"/>
  <c r="C223" s="1"/>
  <c r="R211"/>
  <c r="R213" s="1"/>
  <c r="Q211"/>
  <c r="Q213" s="1"/>
  <c r="P211"/>
  <c r="P213" s="1"/>
  <c r="O211"/>
  <c r="O213" s="1"/>
  <c r="N211"/>
  <c r="N213" s="1"/>
  <c r="M211"/>
  <c r="M213" s="1"/>
  <c r="L211"/>
  <c r="L213" s="1"/>
  <c r="K211"/>
  <c r="K213" s="1"/>
  <c r="J211"/>
  <c r="J213" s="1"/>
  <c r="I211"/>
  <c r="I213" s="1"/>
  <c r="H211"/>
  <c r="H213" s="1"/>
  <c r="G211"/>
  <c r="G213" s="1"/>
  <c r="F211"/>
  <c r="F213" s="1"/>
  <c r="E211"/>
  <c r="E213" s="1"/>
  <c r="D211"/>
  <c r="D213" s="1"/>
  <c r="C211"/>
  <c r="C213" s="1"/>
  <c r="R208"/>
  <c r="Q208"/>
  <c r="P208"/>
  <c r="O208"/>
  <c r="N208"/>
  <c r="M208"/>
  <c r="L208"/>
  <c r="K208"/>
  <c r="J208"/>
  <c r="I208"/>
  <c r="H208"/>
  <c r="G208"/>
  <c r="F208"/>
  <c r="E208"/>
  <c r="D208"/>
  <c r="C208"/>
  <c r="R207"/>
  <c r="Q207"/>
  <c r="P207"/>
  <c r="O207"/>
  <c r="N207"/>
  <c r="M207"/>
  <c r="L207"/>
  <c r="K207"/>
  <c r="J207"/>
  <c r="I207"/>
  <c r="H207"/>
  <c r="G207"/>
  <c r="F207"/>
  <c r="E207"/>
  <c r="D207"/>
  <c r="C207"/>
  <c r="R206"/>
  <c r="Q206"/>
  <c r="P206"/>
  <c r="O206"/>
  <c r="N206"/>
  <c r="M206"/>
  <c r="L206"/>
  <c r="K206"/>
  <c r="J206"/>
  <c r="I206"/>
  <c r="H206"/>
  <c r="G206"/>
  <c r="F206"/>
  <c r="E206"/>
  <c r="D206"/>
  <c r="C206"/>
  <c r="R205"/>
  <c r="Q205"/>
  <c r="P205"/>
  <c r="O205"/>
  <c r="N205"/>
  <c r="M205"/>
  <c r="L205"/>
  <c r="K205"/>
  <c r="J205"/>
  <c r="I205"/>
  <c r="H205"/>
  <c r="G205"/>
  <c r="F205"/>
  <c r="E205"/>
  <c r="D205"/>
  <c r="C205"/>
  <c r="R203"/>
  <c r="Q203"/>
  <c r="P203"/>
  <c r="O203"/>
  <c r="N203"/>
  <c r="M203"/>
  <c r="L203"/>
  <c r="K203"/>
  <c r="J203"/>
  <c r="I203"/>
  <c r="H203"/>
  <c r="G203"/>
  <c r="F203"/>
  <c r="E203"/>
  <c r="D203"/>
  <c r="C203"/>
  <c r="R201"/>
  <c r="Q201"/>
  <c r="P201"/>
  <c r="O201"/>
  <c r="N201"/>
  <c r="M201"/>
  <c r="L201"/>
  <c r="K201"/>
  <c r="J201"/>
  <c r="I201"/>
  <c r="H201"/>
  <c r="G201"/>
  <c r="F201"/>
  <c r="E201"/>
  <c r="D201"/>
  <c r="C201"/>
  <c r="R199"/>
  <c r="R200" s="1"/>
  <c r="Q199"/>
  <c r="Q200" s="1"/>
  <c r="P199"/>
  <c r="P200" s="1"/>
  <c r="O199"/>
  <c r="O200" s="1"/>
  <c r="N199"/>
  <c r="N200" s="1"/>
  <c r="M199"/>
  <c r="M200" s="1"/>
  <c r="L199"/>
  <c r="L200" s="1"/>
  <c r="K199"/>
  <c r="K200" s="1"/>
  <c r="J199"/>
  <c r="J200" s="1"/>
  <c r="I199"/>
  <c r="I200" s="1"/>
  <c r="H199"/>
  <c r="H200" s="1"/>
  <c r="G199"/>
  <c r="G200" s="1"/>
  <c r="F199"/>
  <c r="F200" s="1"/>
  <c r="E199"/>
  <c r="E200" s="1"/>
  <c r="D199"/>
  <c r="D200" s="1"/>
  <c r="C199"/>
  <c r="C200" s="1"/>
  <c r="R198"/>
  <c r="R210" s="1"/>
  <c r="Q198"/>
  <c r="Q210" s="1"/>
  <c r="P198"/>
  <c r="P210" s="1"/>
  <c r="O198"/>
  <c r="O210" s="1"/>
  <c r="N198"/>
  <c r="N210" s="1"/>
  <c r="M198"/>
  <c r="M210" s="1"/>
  <c r="L198"/>
  <c r="L210" s="1"/>
  <c r="K198"/>
  <c r="K210" s="1"/>
  <c r="J198"/>
  <c r="J210" s="1"/>
  <c r="I198"/>
  <c r="I210" s="1"/>
  <c r="H198"/>
  <c r="H210" s="1"/>
  <c r="G198"/>
  <c r="G210" s="1"/>
  <c r="F198"/>
  <c r="F210" s="1"/>
  <c r="E198"/>
  <c r="E210" s="1"/>
  <c r="D198"/>
  <c r="D210" s="1"/>
  <c r="C198"/>
  <c r="C210" s="1"/>
  <c r="R182"/>
  <c r="Q182"/>
  <c r="P182"/>
  <c r="O182"/>
  <c r="N182"/>
  <c r="M182"/>
  <c r="L182"/>
  <c r="K182"/>
  <c r="J182"/>
  <c r="I182"/>
  <c r="H182"/>
  <c r="G182"/>
  <c r="F182"/>
  <c r="E182"/>
  <c r="D182"/>
  <c r="C182"/>
  <c r="R117"/>
  <c r="Q6" i="28" s="1"/>
  <c r="Q117" i="27"/>
  <c r="P6" i="28" s="1"/>
  <c r="P117" i="27"/>
  <c r="O6" i="28" s="1"/>
  <c r="O117" i="27"/>
  <c r="N6" i="28" s="1"/>
  <c r="N117" i="27"/>
  <c r="M6" i="28" s="1"/>
  <c r="M117" i="27"/>
  <c r="L6" i="28" s="1"/>
  <c r="L117" i="27"/>
  <c r="K6" i="28" s="1"/>
  <c r="K117" i="27"/>
  <c r="J6" i="28" s="1"/>
  <c r="J117" i="27"/>
  <c r="I6" i="28" s="1"/>
  <c r="I117" i="27"/>
  <c r="H6" i="28" s="1"/>
  <c r="H117" i="27"/>
  <c r="G6" i="28" s="1"/>
  <c r="G117" i="27"/>
  <c r="F6" i="28" s="1"/>
  <c r="F117" i="27"/>
  <c r="E6" i="28" s="1"/>
  <c r="E117" i="27"/>
  <c r="D6" i="28" s="1"/>
  <c r="D117" i="27"/>
  <c r="C6" i="28" s="1"/>
  <c r="C117" i="27"/>
  <c r="B6" i="28" s="1"/>
  <c r="R93" i="27"/>
  <c r="Q93"/>
  <c r="P93"/>
  <c r="O93"/>
  <c r="N93"/>
  <c r="M93"/>
  <c r="L93"/>
  <c r="K93"/>
  <c r="J93"/>
  <c r="I93"/>
  <c r="H93"/>
  <c r="G93"/>
  <c r="F93"/>
  <c r="E93"/>
  <c r="D93"/>
  <c r="C93"/>
  <c r="R79"/>
  <c r="Q79"/>
  <c r="P79"/>
  <c r="O79"/>
  <c r="N79"/>
  <c r="M79"/>
  <c r="L79"/>
  <c r="K79"/>
  <c r="J79"/>
  <c r="I79"/>
  <c r="H79"/>
  <c r="G79"/>
  <c r="F79"/>
  <c r="E79"/>
  <c r="D79"/>
  <c r="C79"/>
  <c r="R78"/>
  <c r="Q78"/>
  <c r="P78"/>
  <c r="O78"/>
  <c r="N78"/>
  <c r="M78"/>
  <c r="L78"/>
  <c r="K78"/>
  <c r="J78"/>
  <c r="I78"/>
  <c r="H78"/>
  <c r="G78"/>
  <c r="F78"/>
  <c r="E78"/>
  <c r="D78"/>
  <c r="C78"/>
  <c r="R73"/>
  <c r="Q73"/>
  <c r="P73"/>
  <c r="O73"/>
  <c r="N73"/>
  <c r="M73"/>
  <c r="L73"/>
  <c r="K73"/>
  <c r="J73"/>
  <c r="I73"/>
  <c r="H73"/>
  <c r="G73"/>
  <c r="F73"/>
  <c r="E73"/>
  <c r="D73"/>
  <c r="C73"/>
  <c r="R72"/>
  <c r="Q72"/>
  <c r="P72"/>
  <c r="O72"/>
  <c r="N72"/>
  <c r="M72"/>
  <c r="L72"/>
  <c r="K72"/>
  <c r="J72"/>
  <c r="I72"/>
  <c r="H72"/>
  <c r="G72"/>
  <c r="F72"/>
  <c r="E72"/>
  <c r="D72"/>
  <c r="C72"/>
  <c r="R70"/>
  <c r="Q70"/>
  <c r="P70"/>
  <c r="O70"/>
  <c r="N70"/>
  <c r="M70"/>
  <c r="L70"/>
  <c r="K70"/>
  <c r="J70"/>
  <c r="I70"/>
  <c r="H70"/>
  <c r="G70"/>
  <c r="F70"/>
  <c r="E70"/>
  <c r="D70"/>
  <c r="C70"/>
  <c r="R66"/>
  <c r="Q66"/>
  <c r="P66"/>
  <c r="O66"/>
  <c r="N66"/>
  <c r="M66"/>
  <c r="L66"/>
  <c r="K66"/>
  <c r="J66"/>
  <c r="I66"/>
  <c r="H66"/>
  <c r="G66"/>
  <c r="F66"/>
  <c r="E66"/>
  <c r="D66"/>
  <c r="C66"/>
  <c r="F63"/>
  <c r="E63"/>
  <c r="D63"/>
  <c r="C63"/>
  <c r="F50"/>
  <c r="E50"/>
  <c r="D50"/>
  <c r="C50"/>
  <c r="R47"/>
  <c r="Q47"/>
  <c r="P47"/>
  <c r="O47"/>
  <c r="N47"/>
  <c r="M47"/>
  <c r="L47"/>
  <c r="K47"/>
  <c r="J47"/>
  <c r="I47"/>
  <c r="H47"/>
  <c r="G47"/>
  <c r="G89" s="1"/>
  <c r="F47"/>
  <c r="E47"/>
  <c r="X65" s="1"/>
  <c r="D47"/>
  <c r="C47"/>
  <c r="V65" s="1"/>
  <c r="F46"/>
  <c r="E46"/>
  <c r="D46"/>
  <c r="C46"/>
  <c r="R37"/>
  <c r="Q37"/>
  <c r="P37"/>
  <c r="O37"/>
  <c r="N37"/>
  <c r="M37"/>
  <c r="L37"/>
  <c r="K37"/>
  <c r="J37"/>
  <c r="I37"/>
  <c r="H37"/>
  <c r="G37"/>
  <c r="F37"/>
  <c r="E37"/>
  <c r="D37"/>
  <c r="C37"/>
  <c r="R36"/>
  <c r="Q36"/>
  <c r="P36"/>
  <c r="O36"/>
  <c r="N36"/>
  <c r="M36"/>
  <c r="L36"/>
  <c r="K36"/>
  <c r="J36"/>
  <c r="I36"/>
  <c r="H36"/>
  <c r="G36"/>
  <c r="F36"/>
  <c r="E36"/>
  <c r="D36"/>
  <c r="C36"/>
  <c r="R34"/>
  <c r="Q34"/>
  <c r="P34"/>
  <c r="O34"/>
  <c r="N34"/>
  <c r="M34"/>
  <c r="L34"/>
  <c r="K34"/>
  <c r="J34"/>
  <c r="I34"/>
  <c r="H34"/>
  <c r="G34"/>
  <c r="F34"/>
  <c r="E34"/>
  <c r="D34"/>
  <c r="C34"/>
  <c r="R33"/>
  <c r="Q33"/>
  <c r="P33"/>
  <c r="O33"/>
  <c r="N33"/>
  <c r="M33"/>
  <c r="L33"/>
  <c r="K33"/>
  <c r="J33"/>
  <c r="I33"/>
  <c r="H33"/>
  <c r="G33"/>
  <c r="F33"/>
  <c r="E33"/>
  <c r="D33"/>
  <c r="C33"/>
  <c r="R32"/>
  <c r="Q32"/>
  <c r="P32"/>
  <c r="O32"/>
  <c r="N32"/>
  <c r="M32"/>
  <c r="L32"/>
  <c r="K32"/>
  <c r="J32"/>
  <c r="I32"/>
  <c r="H32"/>
  <c r="G32"/>
  <c r="F32"/>
  <c r="E32"/>
  <c r="D32"/>
  <c r="C32"/>
  <c r="R31"/>
  <c r="Q31"/>
  <c r="P31"/>
  <c r="O31"/>
  <c r="N31"/>
  <c r="M31"/>
  <c r="L31"/>
  <c r="K31"/>
  <c r="J31"/>
  <c r="I31"/>
  <c r="H31"/>
  <c r="G31"/>
  <c r="F31"/>
  <c r="E31"/>
  <c r="D31"/>
  <c r="C31"/>
  <c r="R30"/>
  <c r="Q30"/>
  <c r="P30"/>
  <c r="O30"/>
  <c r="N30"/>
  <c r="M30"/>
  <c r="L30"/>
  <c r="K30"/>
  <c r="J30"/>
  <c r="I30"/>
  <c r="H30"/>
  <c r="G30"/>
  <c r="F30"/>
  <c r="E30"/>
  <c r="D30"/>
  <c r="C30"/>
  <c r="R29"/>
  <c r="Q29"/>
  <c r="P29"/>
  <c r="O29"/>
  <c r="N29"/>
  <c r="M29"/>
  <c r="L29"/>
  <c r="K29"/>
  <c r="J29"/>
  <c r="I29"/>
  <c r="H29"/>
  <c r="G29"/>
  <c r="F29"/>
  <c r="E29"/>
  <c r="D29"/>
  <c r="C29"/>
  <c r="R28"/>
  <c r="Q28"/>
  <c r="P28"/>
  <c r="O28"/>
  <c r="N28"/>
  <c r="M28"/>
  <c r="L28"/>
  <c r="K28"/>
  <c r="J28"/>
  <c r="I28"/>
  <c r="H28"/>
  <c r="G28"/>
  <c r="F28"/>
  <c r="E28"/>
  <c r="D28"/>
  <c r="C28"/>
  <c r="R27"/>
  <c r="Q27"/>
  <c r="P27"/>
  <c r="O27"/>
  <c r="N27"/>
  <c r="M27"/>
  <c r="L27"/>
  <c r="K27"/>
  <c r="J27"/>
  <c r="I27"/>
  <c r="H27"/>
  <c r="G27"/>
  <c r="F27"/>
  <c r="E27"/>
  <c r="D27"/>
  <c r="C27"/>
  <c r="R26"/>
  <c r="Q26"/>
  <c r="P26"/>
  <c r="O26"/>
  <c r="N26"/>
  <c r="M26"/>
  <c r="L26"/>
  <c r="K26"/>
  <c r="J26"/>
  <c r="I26"/>
  <c r="H26"/>
  <c r="G26"/>
  <c r="F26"/>
  <c r="E26"/>
  <c r="D26"/>
  <c r="C26"/>
  <c r="R25"/>
  <c r="Q25"/>
  <c r="P25"/>
  <c r="O25"/>
  <c r="N25"/>
  <c r="M25"/>
  <c r="L25"/>
  <c r="K25"/>
  <c r="J25"/>
  <c r="I25"/>
  <c r="H25"/>
  <c r="G25"/>
  <c r="F25"/>
  <c r="E25"/>
  <c r="D25"/>
  <c r="C25"/>
  <c r="R24"/>
  <c r="Q24"/>
  <c r="P24"/>
  <c r="O24"/>
  <c r="N24"/>
  <c r="M24"/>
  <c r="L24"/>
  <c r="K24"/>
  <c r="J24"/>
  <c r="I24"/>
  <c r="H24"/>
  <c r="G24"/>
  <c r="F24"/>
  <c r="E24"/>
  <c r="D24"/>
  <c r="C24"/>
  <c r="R23"/>
  <c r="Q23"/>
  <c r="P23"/>
  <c r="O23"/>
  <c r="N23"/>
  <c r="M23"/>
  <c r="L23"/>
  <c r="K23"/>
  <c r="J23"/>
  <c r="I23"/>
  <c r="H23"/>
  <c r="G23"/>
  <c r="F23"/>
  <c r="E23"/>
  <c r="D23"/>
  <c r="C23"/>
  <c r="R22"/>
  <c r="Q22"/>
  <c r="P22"/>
  <c r="O22"/>
  <c r="N22"/>
  <c r="M22"/>
  <c r="L22"/>
  <c r="K22"/>
  <c r="J22"/>
  <c r="I22"/>
  <c r="H22"/>
  <c r="G22"/>
  <c r="F22"/>
  <c r="E22"/>
  <c r="D22"/>
  <c r="C22"/>
  <c r="R21"/>
  <c r="Q21"/>
  <c r="P21"/>
  <c r="O21"/>
  <c r="N21"/>
  <c r="M21"/>
  <c r="L21"/>
  <c r="K21"/>
  <c r="J21"/>
  <c r="I21"/>
  <c r="H21"/>
  <c r="G21"/>
  <c r="F21"/>
  <c r="E21"/>
  <c r="D21"/>
  <c r="C21"/>
  <c r="R20"/>
  <c r="Q20"/>
  <c r="P20"/>
  <c r="O20"/>
  <c r="N20"/>
  <c r="M20"/>
  <c r="L20"/>
  <c r="K20"/>
  <c r="J20"/>
  <c r="I20"/>
  <c r="H20"/>
  <c r="G20"/>
  <c r="F20"/>
  <c r="E20"/>
  <c r="D20"/>
  <c r="C20"/>
  <c r="C433" i="18"/>
  <c r="D64" i="30" l="1"/>
  <c r="D83"/>
  <c r="H83"/>
  <c r="C83"/>
  <c r="G83"/>
  <c r="D66"/>
  <c r="D64" i="29"/>
  <c r="D66" s="1"/>
  <c r="D83"/>
  <c r="H83"/>
  <c r="C83"/>
  <c r="G83"/>
  <c r="D3" i="28"/>
  <c r="E3" s="1"/>
  <c r="F3" s="1"/>
  <c r="G3" s="1"/>
  <c r="H3" s="1"/>
  <c r="I3" s="1"/>
  <c r="J3" s="1"/>
  <c r="K3" s="1"/>
  <c r="L3" s="1"/>
  <c r="M3" s="1"/>
  <c r="N3" s="1"/>
  <c r="O3" s="1"/>
  <c r="P3" s="1"/>
  <c r="Q3" s="1"/>
  <c r="Q14" s="1"/>
  <c r="J14"/>
  <c r="D14"/>
  <c r="K14"/>
  <c r="G14"/>
  <c r="F89" i="27"/>
  <c r="D89"/>
  <c r="G88"/>
  <c r="E88"/>
  <c r="C89"/>
  <c r="E89"/>
  <c r="F88"/>
  <c r="D88"/>
  <c r="C88"/>
  <c r="N192"/>
  <c r="C38"/>
  <c r="E38"/>
  <c r="G38"/>
  <c r="I38"/>
  <c r="K38"/>
  <c r="M38"/>
  <c r="O38"/>
  <c r="Q38"/>
  <c r="V63"/>
  <c r="X63"/>
  <c r="D254"/>
  <c r="F254"/>
  <c r="H254"/>
  <c r="J254"/>
  <c r="L254"/>
  <c r="N254"/>
  <c r="P254"/>
  <c r="R254"/>
  <c r="S224"/>
  <c r="C254"/>
  <c r="E254"/>
  <c r="G254"/>
  <c r="I254"/>
  <c r="K254"/>
  <c r="M254"/>
  <c r="O254"/>
  <c r="Q254"/>
  <c r="D214"/>
  <c r="D186"/>
  <c r="F214"/>
  <c r="F186"/>
  <c r="H214"/>
  <c r="H186"/>
  <c r="J214"/>
  <c r="J186"/>
  <c r="L214"/>
  <c r="L186"/>
  <c r="N214"/>
  <c r="N186"/>
  <c r="P214"/>
  <c r="P186"/>
  <c r="R214"/>
  <c r="R186"/>
  <c r="E186"/>
  <c r="E214"/>
  <c r="G186"/>
  <c r="G214"/>
  <c r="I186"/>
  <c r="I214"/>
  <c r="K186"/>
  <c r="K214"/>
  <c r="V213"/>
  <c r="M186"/>
  <c r="M214"/>
  <c r="W213"/>
  <c r="O186"/>
  <c r="O214"/>
  <c r="Q186"/>
  <c r="Q214"/>
  <c r="D38"/>
  <c r="U37" s="1"/>
  <c r="F38"/>
  <c r="H38"/>
  <c r="J38"/>
  <c r="L38"/>
  <c r="N38"/>
  <c r="P38"/>
  <c r="R38"/>
  <c r="W47"/>
  <c r="Y47"/>
  <c r="AA47"/>
  <c r="V48"/>
  <c r="X48"/>
  <c r="W49"/>
  <c r="Y49"/>
  <c r="V50"/>
  <c r="X50"/>
  <c r="W51"/>
  <c r="Y51"/>
  <c r="V52"/>
  <c r="X52"/>
  <c r="W53"/>
  <c r="Y53"/>
  <c r="V54"/>
  <c r="X54"/>
  <c r="W55"/>
  <c r="Y55"/>
  <c r="V56"/>
  <c r="X56"/>
  <c r="W57"/>
  <c r="Y57"/>
  <c r="V58"/>
  <c r="X58"/>
  <c r="W59"/>
  <c r="Y59"/>
  <c r="V60"/>
  <c r="X60"/>
  <c r="W61"/>
  <c r="Y61"/>
  <c r="V62"/>
  <c r="X62"/>
  <c r="W63"/>
  <c r="Y63"/>
  <c r="V64"/>
  <c r="X64"/>
  <c r="W65"/>
  <c r="Y65"/>
  <c r="C74"/>
  <c r="E74"/>
  <c r="G74"/>
  <c r="I74"/>
  <c r="K74"/>
  <c r="M74"/>
  <c r="O74"/>
  <c r="Q74"/>
  <c r="C75"/>
  <c r="E75"/>
  <c r="G75"/>
  <c r="I75"/>
  <c r="K75"/>
  <c r="M75"/>
  <c r="O75"/>
  <c r="Q75"/>
  <c r="C76"/>
  <c r="E76"/>
  <c r="G76"/>
  <c r="I76"/>
  <c r="K76"/>
  <c r="M76"/>
  <c r="O76"/>
  <c r="Q76"/>
  <c r="C77"/>
  <c r="E77"/>
  <c r="G77"/>
  <c r="I77"/>
  <c r="K77"/>
  <c r="M77"/>
  <c r="O77"/>
  <c r="Q77"/>
  <c r="C92"/>
  <c r="E92"/>
  <c r="G92"/>
  <c r="I92"/>
  <c r="K92"/>
  <c r="M92"/>
  <c r="O92"/>
  <c r="Q92"/>
  <c r="V47"/>
  <c r="X47"/>
  <c r="Z47"/>
  <c r="AB47"/>
  <c r="W48"/>
  <c r="Y48"/>
  <c r="V49"/>
  <c r="X49"/>
  <c r="W50"/>
  <c r="Y50"/>
  <c r="V51"/>
  <c r="X51"/>
  <c r="W52"/>
  <c r="Y52"/>
  <c r="V53"/>
  <c r="X53"/>
  <c r="W54"/>
  <c r="Y54"/>
  <c r="V55"/>
  <c r="X55"/>
  <c r="W56"/>
  <c r="Y56"/>
  <c r="V57"/>
  <c r="X57"/>
  <c r="W58"/>
  <c r="Y58"/>
  <c r="V59"/>
  <c r="X59"/>
  <c r="W60"/>
  <c r="Y60"/>
  <c r="V61"/>
  <c r="X61"/>
  <c r="W62"/>
  <c r="Y62"/>
  <c r="W64"/>
  <c r="Y64"/>
  <c r="D74"/>
  <c r="F74"/>
  <c r="H74"/>
  <c r="J74"/>
  <c r="L74"/>
  <c r="N74"/>
  <c r="P74"/>
  <c r="R74"/>
  <c r="D75"/>
  <c r="F75"/>
  <c r="H75"/>
  <c r="J75"/>
  <c r="L75"/>
  <c r="N75"/>
  <c r="P75"/>
  <c r="R75"/>
  <c r="D76"/>
  <c r="F76"/>
  <c r="H76"/>
  <c r="J76"/>
  <c r="L76"/>
  <c r="N76"/>
  <c r="P76"/>
  <c r="R76"/>
  <c r="D77"/>
  <c r="F77"/>
  <c r="H77"/>
  <c r="J77"/>
  <c r="L77"/>
  <c r="N77"/>
  <c r="P77"/>
  <c r="R77"/>
  <c r="D92"/>
  <c r="F92"/>
  <c r="H92"/>
  <c r="J92"/>
  <c r="L92"/>
  <c r="N92"/>
  <c r="P92"/>
  <c r="R92"/>
  <c r="R49" i="26"/>
  <c r="Q49"/>
  <c r="P49"/>
  <c r="O49"/>
  <c r="N49"/>
  <c r="M49"/>
  <c r="L49"/>
  <c r="K49"/>
  <c r="J49"/>
  <c r="I49"/>
  <c r="H49"/>
  <c r="G49"/>
  <c r="F49"/>
  <c r="E49"/>
  <c r="D49"/>
  <c r="C49"/>
  <c r="R44"/>
  <c r="R59" s="1"/>
  <c r="Q44"/>
  <c r="P44"/>
  <c r="O44"/>
  <c r="N44"/>
  <c r="N59" s="1"/>
  <c r="M44"/>
  <c r="M59" s="1"/>
  <c r="L44"/>
  <c r="L59" s="1"/>
  <c r="K44"/>
  <c r="K59" s="1"/>
  <c r="J44"/>
  <c r="J59" s="1"/>
  <c r="I44"/>
  <c r="H44"/>
  <c r="G44"/>
  <c r="F44"/>
  <c r="F59" s="1"/>
  <c r="E44"/>
  <c r="E59" s="1"/>
  <c r="D44"/>
  <c r="D59" s="1"/>
  <c r="C44"/>
  <c r="R42"/>
  <c r="Q42"/>
  <c r="P42"/>
  <c r="O42"/>
  <c r="N42"/>
  <c r="M42"/>
  <c r="L42"/>
  <c r="K42"/>
  <c r="J42"/>
  <c r="I42"/>
  <c r="H42"/>
  <c r="G42"/>
  <c r="F42"/>
  <c r="E42"/>
  <c r="D42"/>
  <c r="C42"/>
  <c r="C57" s="1"/>
  <c r="C79" s="1"/>
  <c r="R41"/>
  <c r="R78" s="1"/>
  <c r="Q41"/>
  <c r="Q78" s="1"/>
  <c r="P41"/>
  <c r="P78" s="1"/>
  <c r="O41"/>
  <c r="O78" s="1"/>
  <c r="N41"/>
  <c r="N78" s="1"/>
  <c r="M41"/>
  <c r="M78" s="1"/>
  <c r="L41"/>
  <c r="L78" s="1"/>
  <c r="K41"/>
  <c r="K78" s="1"/>
  <c r="J41"/>
  <c r="J78" s="1"/>
  <c r="I41"/>
  <c r="I78" s="1"/>
  <c r="H41"/>
  <c r="H78" s="1"/>
  <c r="G41"/>
  <c r="G78" s="1"/>
  <c r="F41"/>
  <c r="F78" s="1"/>
  <c r="E41"/>
  <c r="E78" s="1"/>
  <c r="D41"/>
  <c r="D78" s="1"/>
  <c r="C41"/>
  <c r="C78" s="1"/>
  <c r="R40"/>
  <c r="R55" s="1"/>
  <c r="Q40"/>
  <c r="Q55" s="1"/>
  <c r="P40"/>
  <c r="P55" s="1"/>
  <c r="O40"/>
  <c r="O55" s="1"/>
  <c r="N40"/>
  <c r="N55" s="1"/>
  <c r="M40"/>
  <c r="M55" s="1"/>
  <c r="L40"/>
  <c r="L55" s="1"/>
  <c r="K40"/>
  <c r="K55" s="1"/>
  <c r="J40"/>
  <c r="J55" s="1"/>
  <c r="I40"/>
  <c r="I55" s="1"/>
  <c r="H40"/>
  <c r="H55" s="1"/>
  <c r="H77" s="1"/>
  <c r="H76" s="1"/>
  <c r="G40"/>
  <c r="G55" s="1"/>
  <c r="G77" s="1"/>
  <c r="G76" s="1"/>
  <c r="F40"/>
  <c r="F55" s="1"/>
  <c r="F77" s="1"/>
  <c r="F76" s="1"/>
  <c r="E40"/>
  <c r="E55" s="1"/>
  <c r="E77" s="1"/>
  <c r="E76" s="1"/>
  <c r="D40"/>
  <c r="D55" s="1"/>
  <c r="D77" s="1"/>
  <c r="D76" s="1"/>
  <c r="C40"/>
  <c r="C55" s="1"/>
  <c r="R39"/>
  <c r="Q39"/>
  <c r="P39"/>
  <c r="O39"/>
  <c r="N39"/>
  <c r="M39"/>
  <c r="L39"/>
  <c r="K39"/>
  <c r="J39"/>
  <c r="I39"/>
  <c r="H39"/>
  <c r="G39"/>
  <c r="F39"/>
  <c r="E39"/>
  <c r="D39"/>
  <c r="C39"/>
  <c r="R38"/>
  <c r="Q38"/>
  <c r="P38"/>
  <c r="O38"/>
  <c r="N38"/>
  <c r="M38"/>
  <c r="L38"/>
  <c r="K38"/>
  <c r="J38"/>
  <c r="I38"/>
  <c r="H38"/>
  <c r="G38"/>
  <c r="F38"/>
  <c r="E38"/>
  <c r="D38"/>
  <c r="C38"/>
  <c r="D37"/>
  <c r="D3"/>
  <c r="E3" s="1"/>
  <c r="D62" i="10"/>
  <c r="D63" s="1"/>
  <c r="C62"/>
  <c r="C63" s="1"/>
  <c r="B62"/>
  <c r="B63" s="1"/>
  <c r="L56"/>
  <c r="K56"/>
  <c r="J56"/>
  <c r="I56"/>
  <c r="H56"/>
  <c r="G56"/>
  <c r="F56"/>
  <c r="E56"/>
  <c r="D56"/>
  <c r="C56"/>
  <c r="B56"/>
  <c r="C54"/>
  <c r="L53"/>
  <c r="B53"/>
  <c r="L48"/>
  <c r="K48"/>
  <c r="J48"/>
  <c r="I48"/>
  <c r="H48"/>
  <c r="G48"/>
  <c r="F48"/>
  <c r="E48"/>
  <c r="D48"/>
  <c r="C48"/>
  <c r="B48"/>
  <c r="C34"/>
  <c r="D34" s="1"/>
  <c r="F25"/>
  <c r="F27" s="1"/>
  <c r="E25"/>
  <c r="E27" s="1"/>
  <c r="D25"/>
  <c r="D27" s="1"/>
  <c r="C25"/>
  <c r="C27" s="1"/>
  <c r="B25"/>
  <c r="B27" s="1"/>
  <c r="C390" i="16"/>
  <c r="C372"/>
  <c r="B372"/>
  <c r="C353"/>
  <c r="C352"/>
  <c r="C312"/>
  <c r="C296"/>
  <c r="B296"/>
  <c r="C277"/>
  <c r="C276"/>
  <c r="E14" i="28" l="1"/>
  <c r="I14"/>
  <c r="O14"/>
  <c r="F14"/>
  <c r="N14"/>
  <c r="D88" i="30"/>
  <c r="D79" s="1"/>
  <c r="D75" s="1"/>
  <c r="D84" s="1"/>
  <c r="D67"/>
  <c r="E64"/>
  <c r="D88" i="29"/>
  <c r="D79" s="1"/>
  <c r="D75" s="1"/>
  <c r="D84" s="1"/>
  <c r="D67"/>
  <c r="E64"/>
  <c r="M14" i="28"/>
  <c r="H14"/>
  <c r="L14"/>
  <c r="P14"/>
  <c r="AD65" i="27"/>
  <c r="G65" s="1"/>
  <c r="AD63"/>
  <c r="U36"/>
  <c r="R65"/>
  <c r="P65"/>
  <c r="AD64"/>
  <c r="AD62"/>
  <c r="AD60"/>
  <c r="AD58"/>
  <c r="AD56"/>
  <c r="AD54"/>
  <c r="AD52"/>
  <c r="AD50"/>
  <c r="AD48"/>
  <c r="AD61"/>
  <c r="AD59"/>
  <c r="AD57"/>
  <c r="AD55"/>
  <c r="AD53"/>
  <c r="AD51"/>
  <c r="AD49"/>
  <c r="AE47"/>
  <c r="AD47"/>
  <c r="U38"/>
  <c r="U35"/>
  <c r="I47" i="26"/>
  <c r="H47" s="1"/>
  <c r="Q47"/>
  <c r="P47" s="1"/>
  <c r="H46"/>
  <c r="G46" s="1"/>
  <c r="P46"/>
  <c r="O46" s="1"/>
  <c r="C46"/>
  <c r="G47"/>
  <c r="F47" s="1"/>
  <c r="O47"/>
  <c r="N47" s="1"/>
  <c r="F81"/>
  <c r="F83" s="1"/>
  <c r="J81"/>
  <c r="N81"/>
  <c r="R81"/>
  <c r="E81"/>
  <c r="E83" s="1"/>
  <c r="M81"/>
  <c r="C59"/>
  <c r="D81"/>
  <c r="L81"/>
  <c r="C77"/>
  <c r="C76" s="1"/>
  <c r="K81"/>
  <c r="G57"/>
  <c r="O57"/>
  <c r="F46"/>
  <c r="E46" s="1"/>
  <c r="E57" s="1"/>
  <c r="N46"/>
  <c r="M46" s="1"/>
  <c r="M57" s="1"/>
  <c r="E47"/>
  <c r="D47" s="1"/>
  <c r="M47"/>
  <c r="L47" s="1"/>
  <c r="D56"/>
  <c r="H56"/>
  <c r="L56"/>
  <c r="P56"/>
  <c r="I59"/>
  <c r="Q59"/>
  <c r="D46"/>
  <c r="D57" s="1"/>
  <c r="L46"/>
  <c r="K46" s="1"/>
  <c r="K57" s="1"/>
  <c r="C47"/>
  <c r="K47"/>
  <c r="J47" s="1"/>
  <c r="R47"/>
  <c r="C56"/>
  <c r="G56"/>
  <c r="K56"/>
  <c r="O56"/>
  <c r="H59"/>
  <c r="P59"/>
  <c r="C64"/>
  <c r="J46"/>
  <c r="I46" s="1"/>
  <c r="I57" s="1"/>
  <c r="R46"/>
  <c r="Q46" s="1"/>
  <c r="Q57" s="1"/>
  <c r="F56"/>
  <c r="J56"/>
  <c r="N56"/>
  <c r="R56"/>
  <c r="R54" s="1"/>
  <c r="G59"/>
  <c r="O59"/>
  <c r="E56"/>
  <c r="I56"/>
  <c r="M56"/>
  <c r="Q56"/>
  <c r="C233" i="16"/>
  <c r="C94"/>
  <c r="C93"/>
  <c r="C48"/>
  <c r="D48" s="1"/>
  <c r="C20"/>
  <c r="C19"/>
  <c r="D19" s="1"/>
  <c r="L72" i="6"/>
  <c r="B72"/>
  <c r="D66"/>
  <c r="C66"/>
  <c r="B66"/>
  <c r="D65"/>
  <c r="C65"/>
  <c r="B65"/>
  <c r="D64"/>
  <c r="C64"/>
  <c r="B64"/>
  <c r="C58"/>
  <c r="C57"/>
  <c r="C47"/>
  <c r="B47"/>
  <c r="C46"/>
  <c r="C15"/>
  <c r="C14"/>
  <c r="C13"/>
  <c r="C12"/>
  <c r="D12" s="1"/>
  <c r="G699" i="18"/>
  <c r="R695"/>
  <c r="Q695"/>
  <c r="P695"/>
  <c r="O695"/>
  <c r="N695"/>
  <c r="M695"/>
  <c r="L695"/>
  <c r="K695"/>
  <c r="J695"/>
  <c r="I695"/>
  <c r="H695"/>
  <c r="G695"/>
  <c r="F695"/>
  <c r="E695"/>
  <c r="D695"/>
  <c r="C695"/>
  <c r="R636"/>
  <c r="R699" s="1"/>
  <c r="M636"/>
  <c r="H636"/>
  <c r="F636"/>
  <c r="E636"/>
  <c r="D636"/>
  <c r="C636"/>
  <c r="R630"/>
  <c r="Q630"/>
  <c r="P630"/>
  <c r="O630"/>
  <c r="N630"/>
  <c r="M630"/>
  <c r="L630"/>
  <c r="K630"/>
  <c r="J630"/>
  <c r="I630"/>
  <c r="H630"/>
  <c r="G630"/>
  <c r="F630"/>
  <c r="E630"/>
  <c r="E664" s="1"/>
  <c r="D630"/>
  <c r="C630"/>
  <c r="R619"/>
  <c r="Q619"/>
  <c r="P619"/>
  <c r="O619"/>
  <c r="N619"/>
  <c r="M619"/>
  <c r="U619" s="1"/>
  <c r="L619"/>
  <c r="K619"/>
  <c r="J619"/>
  <c r="I619"/>
  <c r="H619"/>
  <c r="G619"/>
  <c r="F619"/>
  <c r="E619"/>
  <c r="D619"/>
  <c r="C619"/>
  <c r="R618"/>
  <c r="M618"/>
  <c r="H618"/>
  <c r="F618"/>
  <c r="E618"/>
  <c r="D618"/>
  <c r="C618"/>
  <c r="R617"/>
  <c r="M617"/>
  <c r="H617"/>
  <c r="U617" s="1"/>
  <c r="F617"/>
  <c r="E617"/>
  <c r="D617"/>
  <c r="C617"/>
  <c r="R616"/>
  <c r="M616"/>
  <c r="H616"/>
  <c r="F616"/>
  <c r="E616"/>
  <c r="D616"/>
  <c r="C616"/>
  <c r="R615"/>
  <c r="Q615"/>
  <c r="P615"/>
  <c r="O615"/>
  <c r="N615"/>
  <c r="M615"/>
  <c r="M601" s="1"/>
  <c r="L615"/>
  <c r="K615"/>
  <c r="J615"/>
  <c r="I615"/>
  <c r="H615"/>
  <c r="G615"/>
  <c r="F615"/>
  <c r="E615"/>
  <c r="D615"/>
  <c r="C615"/>
  <c r="R614"/>
  <c r="Q614"/>
  <c r="P614"/>
  <c r="O614"/>
  <c r="N614"/>
  <c r="M614"/>
  <c r="L614"/>
  <c r="K614"/>
  <c r="J614"/>
  <c r="I614"/>
  <c r="H614"/>
  <c r="G614"/>
  <c r="F614"/>
  <c r="E614"/>
  <c r="D614"/>
  <c r="C614"/>
  <c r="R613"/>
  <c r="Q613"/>
  <c r="P613"/>
  <c r="O613"/>
  <c r="N613"/>
  <c r="M613"/>
  <c r="L613"/>
  <c r="K613"/>
  <c r="J613"/>
  <c r="I613"/>
  <c r="H613"/>
  <c r="G613"/>
  <c r="F613"/>
  <c r="E613"/>
  <c r="D613"/>
  <c r="C613"/>
  <c r="R612"/>
  <c r="Q612"/>
  <c r="P612"/>
  <c r="O612"/>
  <c r="N612"/>
  <c r="M612"/>
  <c r="L612"/>
  <c r="K612"/>
  <c r="J612"/>
  <c r="I612"/>
  <c r="H612"/>
  <c r="G612"/>
  <c r="F612"/>
  <c r="E612"/>
  <c r="E628" s="1"/>
  <c r="D612"/>
  <c r="C612"/>
  <c r="W610"/>
  <c r="V610"/>
  <c r="U610"/>
  <c r="F601"/>
  <c r="D601"/>
  <c r="C601" s="1"/>
  <c r="R597"/>
  <c r="Q597" s="1"/>
  <c r="P597" s="1"/>
  <c r="M597"/>
  <c r="L597" s="1"/>
  <c r="G597"/>
  <c r="F597" s="1"/>
  <c r="E597" s="1"/>
  <c r="D597" s="1"/>
  <c r="C597" s="1"/>
  <c r="H589"/>
  <c r="G589" s="1"/>
  <c r="F589" s="1"/>
  <c r="E589" s="1"/>
  <c r="D589"/>
  <c r="R557"/>
  <c r="Q557"/>
  <c r="P557"/>
  <c r="O557"/>
  <c r="N557"/>
  <c r="M557"/>
  <c r="L557"/>
  <c r="K557"/>
  <c r="J557"/>
  <c r="I557"/>
  <c r="H557"/>
  <c r="R555"/>
  <c r="Q555"/>
  <c r="P555"/>
  <c r="O555"/>
  <c r="N555"/>
  <c r="M555"/>
  <c r="L555"/>
  <c r="K555"/>
  <c r="J555"/>
  <c r="I555"/>
  <c r="H555"/>
  <c r="R553"/>
  <c r="Q553"/>
  <c r="P553"/>
  <c r="O553"/>
  <c r="N553"/>
  <c r="M553"/>
  <c r="M572" s="1"/>
  <c r="L553"/>
  <c r="K553"/>
  <c r="J553"/>
  <c r="I553"/>
  <c r="H553"/>
  <c r="R551"/>
  <c r="Q551"/>
  <c r="P551"/>
  <c r="O551"/>
  <c r="N551"/>
  <c r="M551"/>
  <c r="L551"/>
  <c r="K551"/>
  <c r="J551"/>
  <c r="I551"/>
  <c r="H551"/>
  <c r="R549"/>
  <c r="Q549"/>
  <c r="P549"/>
  <c r="O549"/>
  <c r="N549"/>
  <c r="M549"/>
  <c r="L549"/>
  <c r="K549"/>
  <c r="J549"/>
  <c r="I549"/>
  <c r="H549"/>
  <c r="C540"/>
  <c r="D86" i="30" l="1"/>
  <c r="F64"/>
  <c r="E66"/>
  <c r="F66"/>
  <c r="F88" s="1"/>
  <c r="D86" i="29"/>
  <c r="F64"/>
  <c r="E66"/>
  <c r="F66"/>
  <c r="F88" s="1"/>
  <c r="M65" i="27"/>
  <c r="J65"/>
  <c r="H65"/>
  <c r="K65"/>
  <c r="D20" i="16"/>
  <c r="L65" i="27"/>
  <c r="Q65"/>
  <c r="I65"/>
  <c r="AB65" s="1"/>
  <c r="N65"/>
  <c r="O65"/>
  <c r="V612" i="18"/>
  <c r="V614"/>
  <c r="I48" i="27"/>
  <c r="M48"/>
  <c r="Q48"/>
  <c r="H48"/>
  <c r="L48"/>
  <c r="P48"/>
  <c r="G48"/>
  <c r="K48"/>
  <c r="O48"/>
  <c r="J48"/>
  <c r="N48"/>
  <c r="R48"/>
  <c r="I52"/>
  <c r="M52"/>
  <c r="Q52"/>
  <c r="H52"/>
  <c r="L52"/>
  <c r="P52"/>
  <c r="G52"/>
  <c r="K52"/>
  <c r="O52"/>
  <c r="J52"/>
  <c r="N52"/>
  <c r="R52"/>
  <c r="I54"/>
  <c r="M54"/>
  <c r="Q54"/>
  <c r="H54"/>
  <c r="L54"/>
  <c r="P54"/>
  <c r="G54"/>
  <c r="K54"/>
  <c r="O54"/>
  <c r="J54"/>
  <c r="N54"/>
  <c r="R54"/>
  <c r="I56"/>
  <c r="M56"/>
  <c r="Q56"/>
  <c r="H56"/>
  <c r="L56"/>
  <c r="P56"/>
  <c r="G56"/>
  <c r="K56"/>
  <c r="O56"/>
  <c r="J56"/>
  <c r="N56"/>
  <c r="R56"/>
  <c r="I58"/>
  <c r="M58"/>
  <c r="Q58"/>
  <c r="H58"/>
  <c r="L58"/>
  <c r="P58"/>
  <c r="G58"/>
  <c r="K58"/>
  <c r="O58"/>
  <c r="J58"/>
  <c r="N58"/>
  <c r="R58"/>
  <c r="I60"/>
  <c r="M60"/>
  <c r="Q60"/>
  <c r="H60"/>
  <c r="L60"/>
  <c r="P60"/>
  <c r="G60"/>
  <c r="K60"/>
  <c r="O60"/>
  <c r="J60"/>
  <c r="N60"/>
  <c r="R60"/>
  <c r="I62"/>
  <c r="M62"/>
  <c r="Q62"/>
  <c r="H62"/>
  <c r="L62"/>
  <c r="P62"/>
  <c r="G62"/>
  <c r="K62"/>
  <c r="O62"/>
  <c r="J62"/>
  <c r="N62"/>
  <c r="R62"/>
  <c r="I64"/>
  <c r="M64"/>
  <c r="Q64"/>
  <c r="H64"/>
  <c r="L64"/>
  <c r="P64"/>
  <c r="G64"/>
  <c r="K64"/>
  <c r="O64"/>
  <c r="J64"/>
  <c r="N64"/>
  <c r="R64"/>
  <c r="Z65"/>
  <c r="J49"/>
  <c r="N49"/>
  <c r="R49"/>
  <c r="G49"/>
  <c r="K49"/>
  <c r="O49"/>
  <c r="H49"/>
  <c r="L49"/>
  <c r="P49"/>
  <c r="I49"/>
  <c r="M49"/>
  <c r="Q49"/>
  <c r="J51"/>
  <c r="N51"/>
  <c r="R51"/>
  <c r="G51"/>
  <c r="K51"/>
  <c r="O51"/>
  <c r="H51"/>
  <c r="L51"/>
  <c r="P51"/>
  <c r="I51"/>
  <c r="M51"/>
  <c r="Q51"/>
  <c r="J53"/>
  <c r="N53"/>
  <c r="R53"/>
  <c r="G53"/>
  <c r="K53"/>
  <c r="O53"/>
  <c r="H53"/>
  <c r="L53"/>
  <c r="P53"/>
  <c r="I53"/>
  <c r="M53"/>
  <c r="Q53"/>
  <c r="J55"/>
  <c r="N55"/>
  <c r="R55"/>
  <c r="G55"/>
  <c r="K55"/>
  <c r="O55"/>
  <c r="H55"/>
  <c r="L55"/>
  <c r="P55"/>
  <c r="I55"/>
  <c r="M55"/>
  <c r="Q55"/>
  <c r="J57"/>
  <c r="N57"/>
  <c r="R57"/>
  <c r="G57"/>
  <c r="K57"/>
  <c r="O57"/>
  <c r="H57"/>
  <c r="L57"/>
  <c r="P57"/>
  <c r="I57"/>
  <c r="M57"/>
  <c r="Q57"/>
  <c r="J59"/>
  <c r="N59"/>
  <c r="R59"/>
  <c r="G59"/>
  <c r="K59"/>
  <c r="O59"/>
  <c r="H59"/>
  <c r="L59"/>
  <c r="P59"/>
  <c r="I59"/>
  <c r="M59"/>
  <c r="Q59"/>
  <c r="J61"/>
  <c r="N61"/>
  <c r="R61"/>
  <c r="G61"/>
  <c r="K61"/>
  <c r="O61"/>
  <c r="H61"/>
  <c r="L61"/>
  <c r="P61"/>
  <c r="I61"/>
  <c r="M61"/>
  <c r="Q61"/>
  <c r="AA65"/>
  <c r="U614" i="18"/>
  <c r="U636"/>
  <c r="C72" i="6"/>
  <c r="H57" i="26"/>
  <c r="P57"/>
  <c r="Q54"/>
  <c r="P54" s="1"/>
  <c r="O54" s="1"/>
  <c r="N54" s="1"/>
  <c r="R61"/>
  <c r="O81"/>
  <c r="H81"/>
  <c r="H83" s="1"/>
  <c r="C81"/>
  <c r="L57"/>
  <c r="F57"/>
  <c r="P81"/>
  <c r="I81"/>
  <c r="D83"/>
  <c r="J57"/>
  <c r="C86"/>
  <c r="Q81"/>
  <c r="N57"/>
  <c r="G81"/>
  <c r="G83" s="1"/>
  <c r="C75"/>
  <c r="R57"/>
  <c r="L598" i="18"/>
  <c r="G616"/>
  <c r="G617"/>
  <c r="D628"/>
  <c r="D664"/>
  <c r="C664" s="1"/>
  <c r="G618"/>
  <c r="R598"/>
  <c r="U612"/>
  <c r="V619"/>
  <c r="H628"/>
  <c r="H640" s="1"/>
  <c r="M576"/>
  <c r="E634"/>
  <c r="L601"/>
  <c r="M602"/>
  <c r="L576"/>
  <c r="Q572"/>
  <c r="H564"/>
  <c r="L572"/>
  <c r="P572"/>
  <c r="Q598"/>
  <c r="E601"/>
  <c r="V613"/>
  <c r="V615"/>
  <c r="V616"/>
  <c r="V618"/>
  <c r="D627"/>
  <c r="C628"/>
  <c r="G628"/>
  <c r="G640" s="1"/>
  <c r="V636"/>
  <c r="E627"/>
  <c r="C589"/>
  <c r="O597"/>
  <c r="O572" s="1"/>
  <c r="P598"/>
  <c r="U613"/>
  <c r="U615"/>
  <c r="U616"/>
  <c r="I617"/>
  <c r="V617"/>
  <c r="U618"/>
  <c r="C627"/>
  <c r="G627"/>
  <c r="F628"/>
  <c r="D634"/>
  <c r="H590"/>
  <c r="R589" s="1"/>
  <c r="K597"/>
  <c r="F627"/>
  <c r="E88" i="30" l="1"/>
  <c r="E67"/>
  <c r="F67"/>
  <c r="G64"/>
  <c r="G66" s="1"/>
  <c r="E79"/>
  <c r="E75" s="1"/>
  <c r="E84" s="1"/>
  <c r="E88" i="29"/>
  <c r="E67"/>
  <c r="F67"/>
  <c r="G64"/>
  <c r="G66" s="1"/>
  <c r="E79"/>
  <c r="E75" s="1"/>
  <c r="E84" s="1"/>
  <c r="E20" i="16"/>
  <c r="AA61" i="27"/>
  <c r="AA59"/>
  <c r="AA57"/>
  <c r="AA55"/>
  <c r="AA53"/>
  <c r="M50"/>
  <c r="P50"/>
  <c r="H50"/>
  <c r="AA51"/>
  <c r="K50"/>
  <c r="R50"/>
  <c r="J50"/>
  <c r="AA49"/>
  <c r="N63"/>
  <c r="O63"/>
  <c r="G63"/>
  <c r="Z64"/>
  <c r="L63"/>
  <c r="Q63"/>
  <c r="I63"/>
  <c r="AB64"/>
  <c r="Z62"/>
  <c r="AB62"/>
  <c r="Z60"/>
  <c r="AB60"/>
  <c r="Z58"/>
  <c r="AB58"/>
  <c r="Z56"/>
  <c r="AB56"/>
  <c r="Z54"/>
  <c r="AB54"/>
  <c r="Z52"/>
  <c r="AB52"/>
  <c r="Z48"/>
  <c r="AB48"/>
  <c r="AB61"/>
  <c r="Z61"/>
  <c r="AB59"/>
  <c r="Z59"/>
  <c r="AB57"/>
  <c r="Z57"/>
  <c r="AB55"/>
  <c r="Z55"/>
  <c r="AB53"/>
  <c r="Z53"/>
  <c r="Q50"/>
  <c r="AB51"/>
  <c r="I50"/>
  <c r="L50"/>
  <c r="O50"/>
  <c r="Z51"/>
  <c r="G50"/>
  <c r="G46" s="1"/>
  <c r="N50"/>
  <c r="AB49"/>
  <c r="Z49"/>
  <c r="R63"/>
  <c r="J63"/>
  <c r="K63"/>
  <c r="P63"/>
  <c r="AA64"/>
  <c r="H63"/>
  <c r="M63"/>
  <c r="AA62"/>
  <c r="AA60"/>
  <c r="AA58"/>
  <c r="AA56"/>
  <c r="AA54"/>
  <c r="AA52"/>
  <c r="AA48"/>
  <c r="AE65"/>
  <c r="Q61" i="26"/>
  <c r="P61"/>
  <c r="M54"/>
  <c r="N61"/>
  <c r="C84"/>
  <c r="C83"/>
  <c r="O61"/>
  <c r="H634" i="18"/>
  <c r="H565"/>
  <c r="Q589"/>
  <c r="F640"/>
  <c r="E640" s="1"/>
  <c r="D640" s="1"/>
  <c r="F634"/>
  <c r="C634"/>
  <c r="C640"/>
  <c r="K601"/>
  <c r="L602"/>
  <c r="D639"/>
  <c r="F633"/>
  <c r="N597"/>
  <c r="O598"/>
  <c r="E639"/>
  <c r="E633"/>
  <c r="D633" s="1"/>
  <c r="G634"/>
  <c r="R564"/>
  <c r="G633"/>
  <c r="J597"/>
  <c r="K598"/>
  <c r="C633"/>
  <c r="C610"/>
  <c r="C639"/>
  <c r="K572"/>
  <c r="G501"/>
  <c r="G88" i="30" l="1"/>
  <c r="G67"/>
  <c r="E86"/>
  <c r="H64"/>
  <c r="H66" s="1"/>
  <c r="H88" s="1"/>
  <c r="G88" i="29"/>
  <c r="G67"/>
  <c r="E86"/>
  <c r="H64"/>
  <c r="H66"/>
  <c r="H88" s="1"/>
  <c r="H46" i="27"/>
  <c r="AE53"/>
  <c r="AE61"/>
  <c r="AE57"/>
  <c r="F20" i="16"/>
  <c r="AE49" i="27"/>
  <c r="AE55"/>
  <c r="AE59"/>
  <c r="K46"/>
  <c r="AE51"/>
  <c r="AA63"/>
  <c r="AB50"/>
  <c r="Z63"/>
  <c r="M46"/>
  <c r="P46"/>
  <c r="J46"/>
  <c r="R46"/>
  <c r="L46"/>
  <c r="AE48"/>
  <c r="O46"/>
  <c r="AE64"/>
  <c r="Z50"/>
  <c r="AB63"/>
  <c r="AA50"/>
  <c r="I46"/>
  <c r="Q46"/>
  <c r="N46"/>
  <c r="AE52"/>
  <c r="AE54"/>
  <c r="AE56"/>
  <c r="AE58"/>
  <c r="AE60"/>
  <c r="AE62"/>
  <c r="L54" i="26"/>
  <c r="M61"/>
  <c r="R565" i="18"/>
  <c r="I597"/>
  <c r="J598"/>
  <c r="J572"/>
  <c r="P589"/>
  <c r="Q564"/>
  <c r="N598"/>
  <c r="M598" s="1"/>
  <c r="N572"/>
  <c r="J601"/>
  <c r="K602"/>
  <c r="K576"/>
  <c r="H67" i="30" l="1"/>
  <c r="I64"/>
  <c r="I66"/>
  <c r="I88" s="1"/>
  <c r="F79"/>
  <c r="F75" s="1"/>
  <c r="F84" s="1"/>
  <c r="F86" s="1"/>
  <c r="H67" i="29"/>
  <c r="I64"/>
  <c r="I66"/>
  <c r="I88" s="1"/>
  <c r="F79"/>
  <c r="F75" s="1"/>
  <c r="F84" s="1"/>
  <c r="F86" s="1"/>
  <c r="G20" i="16"/>
  <c r="AE50" i="27"/>
  <c r="AE63"/>
  <c r="K54" i="26"/>
  <c r="L61"/>
  <c r="O589" i="18"/>
  <c r="P564"/>
  <c r="H597"/>
  <c r="I598"/>
  <c r="I572"/>
  <c r="I601"/>
  <c r="J602"/>
  <c r="J576"/>
  <c r="Q565"/>
  <c r="P565" s="1"/>
  <c r="R404"/>
  <c r="Q404"/>
  <c r="P404"/>
  <c r="O404"/>
  <c r="N404"/>
  <c r="M404"/>
  <c r="L404"/>
  <c r="K404"/>
  <c r="J404"/>
  <c r="I404"/>
  <c r="H404"/>
  <c r="G404"/>
  <c r="F404"/>
  <c r="E404"/>
  <c r="D404"/>
  <c r="C404"/>
  <c r="V393"/>
  <c r="R392"/>
  <c r="Q392"/>
  <c r="P392"/>
  <c r="O392"/>
  <c r="N392"/>
  <c r="M392"/>
  <c r="L392"/>
  <c r="K392"/>
  <c r="J392"/>
  <c r="I392"/>
  <c r="H392"/>
  <c r="B392"/>
  <c r="R391"/>
  <c r="Q391"/>
  <c r="P391"/>
  <c r="O391"/>
  <c r="N391"/>
  <c r="M391"/>
  <c r="L391"/>
  <c r="K391"/>
  <c r="J391"/>
  <c r="I391"/>
  <c r="H391"/>
  <c r="B391"/>
  <c r="R390"/>
  <c r="Q390"/>
  <c r="P390"/>
  <c r="O390"/>
  <c r="N390"/>
  <c r="M390"/>
  <c r="L390"/>
  <c r="K390"/>
  <c r="J390"/>
  <c r="I390"/>
  <c r="H390"/>
  <c r="B390"/>
  <c r="R389"/>
  <c r="Q389"/>
  <c r="P389"/>
  <c r="O389"/>
  <c r="N389"/>
  <c r="M389"/>
  <c r="L389"/>
  <c r="K389"/>
  <c r="J389"/>
  <c r="I389"/>
  <c r="H389"/>
  <c r="B389"/>
  <c r="R388"/>
  <c r="Q388"/>
  <c r="P388"/>
  <c r="O388"/>
  <c r="N388"/>
  <c r="M388"/>
  <c r="L388"/>
  <c r="K388"/>
  <c r="J388"/>
  <c r="I388"/>
  <c r="H388"/>
  <c r="B388"/>
  <c r="R387"/>
  <c r="Q387"/>
  <c r="P387"/>
  <c r="O387"/>
  <c r="N387"/>
  <c r="M387"/>
  <c r="L387"/>
  <c r="K387"/>
  <c r="J387"/>
  <c r="I387"/>
  <c r="H387"/>
  <c r="B387"/>
  <c r="R386"/>
  <c r="Q386"/>
  <c r="P386"/>
  <c r="O386"/>
  <c r="N386"/>
  <c r="M386"/>
  <c r="L386"/>
  <c r="K386"/>
  <c r="J386"/>
  <c r="I386"/>
  <c r="H386"/>
  <c r="B386"/>
  <c r="R385"/>
  <c r="Q385"/>
  <c r="P385"/>
  <c r="O385"/>
  <c r="N385"/>
  <c r="M385"/>
  <c r="L385"/>
  <c r="K385"/>
  <c r="J385"/>
  <c r="I385"/>
  <c r="H385"/>
  <c r="B385"/>
  <c r="R384"/>
  <c r="Q384"/>
  <c r="P384"/>
  <c r="O384"/>
  <c r="N384"/>
  <c r="M384"/>
  <c r="L384"/>
  <c r="K384"/>
  <c r="J384"/>
  <c r="I384"/>
  <c r="H384"/>
  <c r="B384"/>
  <c r="R383"/>
  <c r="Q383"/>
  <c r="P383"/>
  <c r="O383"/>
  <c r="N383"/>
  <c r="M383"/>
  <c r="L383"/>
  <c r="K383"/>
  <c r="J383"/>
  <c r="I383"/>
  <c r="H383"/>
  <c r="B383"/>
  <c r="R382"/>
  <c r="Q382"/>
  <c r="P382"/>
  <c r="O382"/>
  <c r="N382"/>
  <c r="M382"/>
  <c r="L382"/>
  <c r="K382"/>
  <c r="J382"/>
  <c r="I382"/>
  <c r="H382"/>
  <c r="B382"/>
  <c r="R381"/>
  <c r="Q381"/>
  <c r="P381"/>
  <c r="O381"/>
  <c r="N381"/>
  <c r="M381"/>
  <c r="L381"/>
  <c r="K381"/>
  <c r="J381"/>
  <c r="I381"/>
  <c r="H381"/>
  <c r="B381"/>
  <c r="R380"/>
  <c r="Q380"/>
  <c r="P380"/>
  <c r="O380"/>
  <c r="N380"/>
  <c r="M380"/>
  <c r="L380"/>
  <c r="K380"/>
  <c r="J380"/>
  <c r="I380"/>
  <c r="H380"/>
  <c r="B380"/>
  <c r="R379"/>
  <c r="Q379"/>
  <c r="P379"/>
  <c r="O379"/>
  <c r="N379"/>
  <c r="M379"/>
  <c r="L379"/>
  <c r="K379"/>
  <c r="J379"/>
  <c r="I379"/>
  <c r="H379"/>
  <c r="B379"/>
  <c r="R378"/>
  <c r="Q378"/>
  <c r="P378"/>
  <c r="O378"/>
  <c r="N378"/>
  <c r="M378"/>
  <c r="L378"/>
  <c r="K378"/>
  <c r="J378"/>
  <c r="I378"/>
  <c r="H378"/>
  <c r="B378"/>
  <c r="R377"/>
  <c r="Q377"/>
  <c r="P377"/>
  <c r="O377"/>
  <c r="N377"/>
  <c r="M377"/>
  <c r="L377"/>
  <c r="K377"/>
  <c r="J377"/>
  <c r="I377"/>
  <c r="H377"/>
  <c r="B377"/>
  <c r="R376"/>
  <c r="Q376"/>
  <c r="P376"/>
  <c r="O376"/>
  <c r="N376"/>
  <c r="M376"/>
  <c r="L376"/>
  <c r="K376"/>
  <c r="J376"/>
  <c r="I376"/>
  <c r="H376"/>
  <c r="B376"/>
  <c r="R375"/>
  <c r="Q375"/>
  <c r="P375"/>
  <c r="O375"/>
  <c r="N375"/>
  <c r="M375"/>
  <c r="L375"/>
  <c r="K375"/>
  <c r="J375"/>
  <c r="I375"/>
  <c r="H375"/>
  <c r="B375"/>
  <c r="R374"/>
  <c r="Q374"/>
  <c r="P374"/>
  <c r="O374"/>
  <c r="N374"/>
  <c r="M374"/>
  <c r="L374"/>
  <c r="K374"/>
  <c r="J374"/>
  <c r="I374"/>
  <c r="H374"/>
  <c r="B374"/>
  <c r="R373"/>
  <c r="Q373"/>
  <c r="P373"/>
  <c r="O373"/>
  <c r="N373"/>
  <c r="M373"/>
  <c r="L373"/>
  <c r="K373"/>
  <c r="J373"/>
  <c r="I373"/>
  <c r="H373"/>
  <c r="B373"/>
  <c r="R372"/>
  <c r="Q372"/>
  <c r="P372"/>
  <c r="O372"/>
  <c r="N372"/>
  <c r="M372"/>
  <c r="L372"/>
  <c r="K372"/>
  <c r="J372"/>
  <c r="I372"/>
  <c r="H372"/>
  <c r="B372"/>
  <c r="R371"/>
  <c r="Q371"/>
  <c r="P371"/>
  <c r="O371"/>
  <c r="N371"/>
  <c r="M371"/>
  <c r="L371"/>
  <c r="K371"/>
  <c r="J371"/>
  <c r="I371"/>
  <c r="H371"/>
  <c r="B371"/>
  <c r="R370"/>
  <c r="Q370"/>
  <c r="P370"/>
  <c r="O370"/>
  <c r="N370"/>
  <c r="M370"/>
  <c r="L370"/>
  <c r="K370"/>
  <c r="J370"/>
  <c r="I370"/>
  <c r="H370"/>
  <c r="B370"/>
  <c r="R369"/>
  <c r="Q369"/>
  <c r="P369"/>
  <c r="O369"/>
  <c r="N369"/>
  <c r="M369"/>
  <c r="L369"/>
  <c r="K369"/>
  <c r="J369"/>
  <c r="I369"/>
  <c r="H369"/>
  <c r="B369"/>
  <c r="R368"/>
  <c r="Q368"/>
  <c r="P368"/>
  <c r="O368"/>
  <c r="N368"/>
  <c r="M368"/>
  <c r="L368"/>
  <c r="K368"/>
  <c r="J368"/>
  <c r="I368"/>
  <c r="H368"/>
  <c r="B368"/>
  <c r="R367"/>
  <c r="Q367"/>
  <c r="P367"/>
  <c r="O367"/>
  <c r="N367"/>
  <c r="M367"/>
  <c r="L367"/>
  <c r="K367"/>
  <c r="J367"/>
  <c r="I367"/>
  <c r="H367"/>
  <c r="B367"/>
  <c r="R366"/>
  <c r="Q366"/>
  <c r="P366"/>
  <c r="O366"/>
  <c r="N366"/>
  <c r="M366"/>
  <c r="L366"/>
  <c r="K366"/>
  <c r="J366"/>
  <c r="I366"/>
  <c r="H366"/>
  <c r="B366"/>
  <c r="R365"/>
  <c r="Q365"/>
  <c r="P365"/>
  <c r="O365"/>
  <c r="N365"/>
  <c r="M365"/>
  <c r="L365"/>
  <c r="K365"/>
  <c r="J365"/>
  <c r="I365"/>
  <c r="H365"/>
  <c r="B365"/>
  <c r="R364"/>
  <c r="Q364"/>
  <c r="P364"/>
  <c r="O364"/>
  <c r="N364"/>
  <c r="M364"/>
  <c r="L364"/>
  <c r="K364"/>
  <c r="J364"/>
  <c r="I364"/>
  <c r="H364"/>
  <c r="B364"/>
  <c r="R363"/>
  <c r="Q363"/>
  <c r="P363"/>
  <c r="O363"/>
  <c r="N363"/>
  <c r="M363"/>
  <c r="L363"/>
  <c r="K363"/>
  <c r="J363"/>
  <c r="I363"/>
  <c r="H363"/>
  <c r="B363"/>
  <c r="R362"/>
  <c r="Q362"/>
  <c r="P362"/>
  <c r="O362"/>
  <c r="N362"/>
  <c r="M362"/>
  <c r="L362"/>
  <c r="K362"/>
  <c r="J362"/>
  <c r="I362"/>
  <c r="H362"/>
  <c r="B362"/>
  <c r="R361"/>
  <c r="Q361"/>
  <c r="P361"/>
  <c r="O361"/>
  <c r="N361"/>
  <c r="M361"/>
  <c r="L361"/>
  <c r="K361"/>
  <c r="J361"/>
  <c r="I361"/>
  <c r="H361"/>
  <c r="B361"/>
  <c r="R360"/>
  <c r="Q360"/>
  <c r="P360"/>
  <c r="O360"/>
  <c r="N360"/>
  <c r="M360"/>
  <c r="L360"/>
  <c r="K360"/>
  <c r="J360"/>
  <c r="I360"/>
  <c r="H360"/>
  <c r="B360"/>
  <c r="R359"/>
  <c r="Q359"/>
  <c r="P359"/>
  <c r="O359"/>
  <c r="N359"/>
  <c r="M359"/>
  <c r="L359"/>
  <c r="K359"/>
  <c r="J359"/>
  <c r="I359"/>
  <c r="H359"/>
  <c r="B359"/>
  <c r="R358"/>
  <c r="Q358"/>
  <c r="P358"/>
  <c r="O358"/>
  <c r="N358"/>
  <c r="M358"/>
  <c r="L358"/>
  <c r="K358"/>
  <c r="J358"/>
  <c r="I358"/>
  <c r="H358"/>
  <c r="B358"/>
  <c r="R357"/>
  <c r="Q357"/>
  <c r="P357"/>
  <c r="O357"/>
  <c r="N357"/>
  <c r="M357"/>
  <c r="L357"/>
  <c r="K357"/>
  <c r="J357"/>
  <c r="I357"/>
  <c r="H357"/>
  <c r="B357"/>
  <c r="R356"/>
  <c r="Q356"/>
  <c r="P356"/>
  <c r="O356"/>
  <c r="N356"/>
  <c r="M356"/>
  <c r="L356"/>
  <c r="K356"/>
  <c r="J356"/>
  <c r="I356"/>
  <c r="H356"/>
  <c r="B356"/>
  <c r="R355"/>
  <c r="Q355"/>
  <c r="P355"/>
  <c r="O355"/>
  <c r="N355"/>
  <c r="M355"/>
  <c r="L355"/>
  <c r="K355"/>
  <c r="J355"/>
  <c r="I355"/>
  <c r="H355"/>
  <c r="B355"/>
  <c r="R354"/>
  <c r="Q354"/>
  <c r="P354"/>
  <c r="O354"/>
  <c r="N354"/>
  <c r="M354"/>
  <c r="L354"/>
  <c r="K354"/>
  <c r="J354"/>
  <c r="I354"/>
  <c r="H354"/>
  <c r="B354"/>
  <c r="R353"/>
  <c r="Q353"/>
  <c r="P353"/>
  <c r="O353"/>
  <c r="N353"/>
  <c r="M353"/>
  <c r="L353"/>
  <c r="K353"/>
  <c r="J353"/>
  <c r="I353"/>
  <c r="H353"/>
  <c r="B353"/>
  <c r="R352"/>
  <c r="Q352"/>
  <c r="P352"/>
  <c r="O352"/>
  <c r="N352"/>
  <c r="M352"/>
  <c r="L352"/>
  <c r="K352"/>
  <c r="J352"/>
  <c r="I352"/>
  <c r="H352"/>
  <c r="B352"/>
  <c r="R351"/>
  <c r="Q351"/>
  <c r="P351"/>
  <c r="O351"/>
  <c r="N351"/>
  <c r="M351"/>
  <c r="L351"/>
  <c r="K351"/>
  <c r="J351"/>
  <c r="I351"/>
  <c r="H351"/>
  <c r="B351"/>
  <c r="R350"/>
  <c r="Q350"/>
  <c r="P350"/>
  <c r="O350"/>
  <c r="N350"/>
  <c r="M350"/>
  <c r="L350"/>
  <c r="K350"/>
  <c r="J350"/>
  <c r="I350"/>
  <c r="H350"/>
  <c r="B350"/>
  <c r="R349"/>
  <c r="Q349"/>
  <c r="P349"/>
  <c r="O349"/>
  <c r="N349"/>
  <c r="M349"/>
  <c r="L349"/>
  <c r="K349"/>
  <c r="J349"/>
  <c r="I349"/>
  <c r="H349"/>
  <c r="B349"/>
  <c r="R348"/>
  <c r="Q348"/>
  <c r="P348"/>
  <c r="O348"/>
  <c r="N348"/>
  <c r="M348"/>
  <c r="L348"/>
  <c r="K348"/>
  <c r="J348"/>
  <c r="I348"/>
  <c r="H348"/>
  <c r="B348"/>
  <c r="H347"/>
  <c r="B347"/>
  <c r="G330"/>
  <c r="R326"/>
  <c r="R701" s="1"/>
  <c r="Q326"/>
  <c r="P326"/>
  <c r="O326"/>
  <c r="N326"/>
  <c r="M326"/>
  <c r="L326"/>
  <c r="K326"/>
  <c r="J326"/>
  <c r="I326"/>
  <c r="H326"/>
  <c r="H261" s="1"/>
  <c r="G261" s="1"/>
  <c r="G326"/>
  <c r="G701" s="1"/>
  <c r="F326"/>
  <c r="F701" s="1"/>
  <c r="E326"/>
  <c r="E701" s="1"/>
  <c r="D326"/>
  <c r="D332" s="1"/>
  <c r="C326"/>
  <c r="C701" s="1"/>
  <c r="R277"/>
  <c r="R159" s="1"/>
  <c r="M277"/>
  <c r="H277"/>
  <c r="F277"/>
  <c r="F501" s="1"/>
  <c r="E277"/>
  <c r="E501" s="1"/>
  <c r="D277"/>
  <c r="D159" s="1"/>
  <c r="C277"/>
  <c r="C501" s="1"/>
  <c r="R273"/>
  <c r="Q273"/>
  <c r="P273"/>
  <c r="O273"/>
  <c r="N273"/>
  <c r="M273"/>
  <c r="L273"/>
  <c r="K273"/>
  <c r="J273"/>
  <c r="I273"/>
  <c r="H273"/>
  <c r="G273"/>
  <c r="F273"/>
  <c r="E273"/>
  <c r="D273"/>
  <c r="C273"/>
  <c r="R270"/>
  <c r="Q270"/>
  <c r="P270"/>
  <c r="O270"/>
  <c r="N270"/>
  <c r="M270"/>
  <c r="L270"/>
  <c r="K270"/>
  <c r="J270"/>
  <c r="I270"/>
  <c r="H270"/>
  <c r="G270"/>
  <c r="F270"/>
  <c r="E270"/>
  <c r="D270"/>
  <c r="C270"/>
  <c r="R269"/>
  <c r="M269"/>
  <c r="H269"/>
  <c r="F269"/>
  <c r="E269"/>
  <c r="D269"/>
  <c r="C269"/>
  <c r="R268"/>
  <c r="M268"/>
  <c r="H268"/>
  <c r="F268"/>
  <c r="E268"/>
  <c r="D268"/>
  <c r="C268"/>
  <c r="R267"/>
  <c r="M267"/>
  <c r="H267"/>
  <c r="F267"/>
  <c r="E267"/>
  <c r="D267"/>
  <c r="C267"/>
  <c r="R266"/>
  <c r="Q266"/>
  <c r="P266"/>
  <c r="O266"/>
  <c r="N266"/>
  <c r="M266"/>
  <c r="L266"/>
  <c r="K266"/>
  <c r="J266"/>
  <c r="I266"/>
  <c r="H266"/>
  <c r="G266"/>
  <c r="F266"/>
  <c r="E266"/>
  <c r="D266"/>
  <c r="C266"/>
  <c r="R265"/>
  <c r="Q265"/>
  <c r="P265"/>
  <c r="O265"/>
  <c r="N265"/>
  <c r="M265"/>
  <c r="L265"/>
  <c r="K265"/>
  <c r="J265"/>
  <c r="I265"/>
  <c r="H265"/>
  <c r="G265"/>
  <c r="F265"/>
  <c r="E265"/>
  <c r="D265"/>
  <c r="C265"/>
  <c r="R264"/>
  <c r="Q264"/>
  <c r="P264"/>
  <c r="O264"/>
  <c r="N264"/>
  <c r="M264"/>
  <c r="L264"/>
  <c r="K264"/>
  <c r="J264"/>
  <c r="I264"/>
  <c r="H264"/>
  <c r="G264"/>
  <c r="F264"/>
  <c r="E264"/>
  <c r="D264"/>
  <c r="C264"/>
  <c r="R263"/>
  <c r="Q263"/>
  <c r="P263"/>
  <c r="O263"/>
  <c r="N263"/>
  <c r="M263"/>
  <c r="L263"/>
  <c r="K263"/>
  <c r="J263"/>
  <c r="J271" s="1"/>
  <c r="J503" s="1"/>
  <c r="I263"/>
  <c r="H263"/>
  <c r="G263"/>
  <c r="F263"/>
  <c r="E263"/>
  <c r="D263"/>
  <c r="C263"/>
  <c r="B262"/>
  <c r="B261"/>
  <c r="C253"/>
  <c r="R239"/>
  <c r="Q239"/>
  <c r="P239"/>
  <c r="O239"/>
  <c r="N239"/>
  <c r="M239"/>
  <c r="L239"/>
  <c r="K239"/>
  <c r="J239"/>
  <c r="I239"/>
  <c r="H239"/>
  <c r="G239"/>
  <c r="F239"/>
  <c r="E239"/>
  <c r="D239"/>
  <c r="C239"/>
  <c r="R238"/>
  <c r="R203" s="1"/>
  <c r="Q238"/>
  <c r="Q201" s="1"/>
  <c r="P238"/>
  <c r="O238"/>
  <c r="N238"/>
  <c r="M238"/>
  <c r="M203" s="1"/>
  <c r="L238"/>
  <c r="K238"/>
  <c r="J238"/>
  <c r="I238"/>
  <c r="I203" s="1"/>
  <c r="H203" s="1"/>
  <c r="H238"/>
  <c r="G238"/>
  <c r="F238"/>
  <c r="E238"/>
  <c r="E201" s="1"/>
  <c r="D238"/>
  <c r="D201" s="1"/>
  <c r="C238"/>
  <c r="R237"/>
  <c r="Q237"/>
  <c r="P237"/>
  <c r="O237"/>
  <c r="N237"/>
  <c r="M237"/>
  <c r="L237"/>
  <c r="K237"/>
  <c r="J237"/>
  <c r="I237"/>
  <c r="H237"/>
  <c r="G237"/>
  <c r="F237"/>
  <c r="E237"/>
  <c r="D237"/>
  <c r="C237"/>
  <c r="R236"/>
  <c r="Q236"/>
  <c r="P236"/>
  <c r="O236"/>
  <c r="N236"/>
  <c r="M236"/>
  <c r="L236"/>
  <c r="K236"/>
  <c r="J236"/>
  <c r="I236"/>
  <c r="H236"/>
  <c r="G236"/>
  <c r="F236"/>
  <c r="E236"/>
  <c r="D236"/>
  <c r="C236"/>
  <c r="R234"/>
  <c r="Q234"/>
  <c r="P234"/>
  <c r="O234"/>
  <c r="N234"/>
  <c r="M234"/>
  <c r="L234"/>
  <c r="K234"/>
  <c r="J234"/>
  <c r="I234"/>
  <c r="H234"/>
  <c r="G234"/>
  <c r="F234"/>
  <c r="E234"/>
  <c r="D234"/>
  <c r="C234"/>
  <c r="R232"/>
  <c r="Q232"/>
  <c r="P232"/>
  <c r="O232"/>
  <c r="N232"/>
  <c r="M232"/>
  <c r="L232"/>
  <c r="K232"/>
  <c r="J232"/>
  <c r="I232"/>
  <c r="H232"/>
  <c r="G232"/>
  <c r="F232"/>
  <c r="E232"/>
  <c r="D232"/>
  <c r="C232"/>
  <c r="R229"/>
  <c r="Q229"/>
  <c r="P229"/>
  <c r="O229"/>
  <c r="N229"/>
  <c r="M229"/>
  <c r="L229"/>
  <c r="K229"/>
  <c r="J229"/>
  <c r="I229"/>
  <c r="H229"/>
  <c r="G229"/>
  <c r="F229"/>
  <c r="E229"/>
  <c r="D229"/>
  <c r="C229"/>
  <c r="R228"/>
  <c r="Q228"/>
  <c r="P228"/>
  <c r="O228"/>
  <c r="N228"/>
  <c r="M228"/>
  <c r="L228"/>
  <c r="K228"/>
  <c r="J228"/>
  <c r="I228"/>
  <c r="H228"/>
  <c r="G228"/>
  <c r="F228"/>
  <c r="E228"/>
  <c r="D228"/>
  <c r="C228"/>
  <c r="R227"/>
  <c r="Q227"/>
  <c r="P227"/>
  <c r="O227"/>
  <c r="N227"/>
  <c r="M227"/>
  <c r="L227"/>
  <c r="K227"/>
  <c r="J227"/>
  <c r="I227"/>
  <c r="H227"/>
  <c r="G227"/>
  <c r="F227"/>
  <c r="E227"/>
  <c r="D227"/>
  <c r="C227"/>
  <c r="R226"/>
  <c r="Q226"/>
  <c r="P226"/>
  <c r="O226"/>
  <c r="N226"/>
  <c r="M226"/>
  <c r="L226"/>
  <c r="K226"/>
  <c r="J226"/>
  <c r="I226"/>
  <c r="H226"/>
  <c r="G226"/>
  <c r="F226"/>
  <c r="E226"/>
  <c r="D226"/>
  <c r="C226"/>
  <c r="R224"/>
  <c r="Q224"/>
  <c r="P224"/>
  <c r="O224"/>
  <c r="N224"/>
  <c r="M224"/>
  <c r="L224"/>
  <c r="K224"/>
  <c r="J224"/>
  <c r="I224"/>
  <c r="H224"/>
  <c r="G224"/>
  <c r="F224"/>
  <c r="E224"/>
  <c r="D224"/>
  <c r="C224"/>
  <c r="R222"/>
  <c r="Q222"/>
  <c r="P222"/>
  <c r="O222"/>
  <c r="N222"/>
  <c r="M222"/>
  <c r="L222"/>
  <c r="K222"/>
  <c r="J222"/>
  <c r="I222"/>
  <c r="H222"/>
  <c r="G222"/>
  <c r="F222"/>
  <c r="E222"/>
  <c r="D222"/>
  <c r="C222"/>
  <c r="R221"/>
  <c r="Q221"/>
  <c r="P221"/>
  <c r="O221"/>
  <c r="N221"/>
  <c r="M221"/>
  <c r="L221"/>
  <c r="K221"/>
  <c r="J221"/>
  <c r="I221"/>
  <c r="H221"/>
  <c r="G221"/>
  <c r="F221"/>
  <c r="E221"/>
  <c r="D221"/>
  <c r="C221"/>
  <c r="R220"/>
  <c r="Q220"/>
  <c r="P220"/>
  <c r="O220"/>
  <c r="N220"/>
  <c r="M220"/>
  <c r="L220"/>
  <c r="K220"/>
  <c r="J220"/>
  <c r="I220"/>
  <c r="H220"/>
  <c r="G220"/>
  <c r="F220"/>
  <c r="E220"/>
  <c r="D220"/>
  <c r="R212"/>
  <c r="Q212"/>
  <c r="P212"/>
  <c r="O212"/>
  <c r="N212"/>
  <c r="M212"/>
  <c r="L212"/>
  <c r="K212"/>
  <c r="J212"/>
  <c r="I212"/>
  <c r="H212"/>
  <c r="G212"/>
  <c r="F212"/>
  <c r="E212"/>
  <c r="D212"/>
  <c r="C212"/>
  <c r="R211"/>
  <c r="Q211"/>
  <c r="P211"/>
  <c r="O211"/>
  <c r="N211"/>
  <c r="M211"/>
  <c r="L211"/>
  <c r="K211"/>
  <c r="J211"/>
  <c r="I211"/>
  <c r="H211"/>
  <c r="G211"/>
  <c r="F211"/>
  <c r="E211"/>
  <c r="D211"/>
  <c r="C211"/>
  <c r="R209"/>
  <c r="Q209"/>
  <c r="Q210" s="1"/>
  <c r="P209"/>
  <c r="P210" s="1"/>
  <c r="O209"/>
  <c r="O210" s="1"/>
  <c r="N209"/>
  <c r="M209"/>
  <c r="M210" s="1"/>
  <c r="L209"/>
  <c r="L210" s="1"/>
  <c r="K209"/>
  <c r="K210" s="1"/>
  <c r="J209"/>
  <c r="I209"/>
  <c r="I210" s="1"/>
  <c r="H209"/>
  <c r="H210" s="1"/>
  <c r="G209"/>
  <c r="G210" s="1"/>
  <c r="F209"/>
  <c r="E209"/>
  <c r="E210" s="1"/>
  <c r="D209"/>
  <c r="D210" s="1"/>
  <c r="C209"/>
  <c r="C210" s="1"/>
  <c r="R208"/>
  <c r="Q208"/>
  <c r="Q213" s="1"/>
  <c r="P208"/>
  <c r="P213" s="1"/>
  <c r="O208"/>
  <c r="O213" s="1"/>
  <c r="N208"/>
  <c r="M208"/>
  <c r="M213" s="1"/>
  <c r="L208"/>
  <c r="L213" s="1"/>
  <c r="K208"/>
  <c r="K213" s="1"/>
  <c r="J208"/>
  <c r="I208"/>
  <c r="I213" s="1"/>
  <c r="H208"/>
  <c r="H213" s="1"/>
  <c r="G208"/>
  <c r="G213" s="1"/>
  <c r="F208"/>
  <c r="E208"/>
  <c r="E213" s="1"/>
  <c r="D208"/>
  <c r="D213" s="1"/>
  <c r="C208"/>
  <c r="R207"/>
  <c r="Q207"/>
  <c r="P207"/>
  <c r="O207"/>
  <c r="N207"/>
  <c r="M207"/>
  <c r="L207"/>
  <c r="K207"/>
  <c r="J207"/>
  <c r="I207"/>
  <c r="H207"/>
  <c r="G207"/>
  <c r="F207"/>
  <c r="E207"/>
  <c r="D207"/>
  <c r="C207"/>
  <c r="P201"/>
  <c r="R199"/>
  <c r="Q199"/>
  <c r="P199"/>
  <c r="O199"/>
  <c r="N199"/>
  <c r="M199"/>
  <c r="L199"/>
  <c r="K199"/>
  <c r="J199"/>
  <c r="I199"/>
  <c r="H199"/>
  <c r="G199"/>
  <c r="F199"/>
  <c r="E199"/>
  <c r="D199"/>
  <c r="C199"/>
  <c r="R198"/>
  <c r="Q198"/>
  <c r="P198"/>
  <c r="O198"/>
  <c r="N198"/>
  <c r="M198"/>
  <c r="M200" s="1"/>
  <c r="L198"/>
  <c r="L200" s="1"/>
  <c r="K198"/>
  <c r="J198"/>
  <c r="I198"/>
  <c r="I200" s="1"/>
  <c r="H198"/>
  <c r="G198"/>
  <c r="F198"/>
  <c r="E198"/>
  <c r="D198"/>
  <c r="C198"/>
  <c r="R188"/>
  <c r="R190" s="1"/>
  <c r="Q188"/>
  <c r="Q190" s="1"/>
  <c r="P188"/>
  <c r="P190" s="1"/>
  <c r="O188"/>
  <c r="O190" s="1"/>
  <c r="N188"/>
  <c r="N190" s="1"/>
  <c r="M188"/>
  <c r="M190" s="1"/>
  <c r="L188"/>
  <c r="L190" s="1"/>
  <c r="K188"/>
  <c r="K190" s="1"/>
  <c r="J188"/>
  <c r="J190" s="1"/>
  <c r="I188"/>
  <c r="I190" s="1"/>
  <c r="H188"/>
  <c r="H190" s="1"/>
  <c r="G188"/>
  <c r="G190" s="1"/>
  <c r="F188"/>
  <c r="F190" s="1"/>
  <c r="E188"/>
  <c r="E190" s="1"/>
  <c r="D188"/>
  <c r="D190" s="1"/>
  <c r="C188"/>
  <c r="C190" s="1"/>
  <c r="R185"/>
  <c r="Q185"/>
  <c r="P185"/>
  <c r="O185"/>
  <c r="N185"/>
  <c r="M185"/>
  <c r="L185"/>
  <c r="K185"/>
  <c r="J185"/>
  <c r="I185"/>
  <c r="H185"/>
  <c r="G185"/>
  <c r="F185"/>
  <c r="E185"/>
  <c r="D185"/>
  <c r="C185"/>
  <c r="R184"/>
  <c r="Q184"/>
  <c r="P184"/>
  <c r="O184"/>
  <c r="N184"/>
  <c r="M184"/>
  <c r="L184"/>
  <c r="K184"/>
  <c r="J184"/>
  <c r="I184"/>
  <c r="H184"/>
  <c r="G184"/>
  <c r="F184"/>
  <c r="E184"/>
  <c r="D184"/>
  <c r="C184"/>
  <c r="R183"/>
  <c r="Q183"/>
  <c r="P183"/>
  <c r="O183"/>
  <c r="O182" s="1"/>
  <c r="N183"/>
  <c r="M183"/>
  <c r="M182" s="1"/>
  <c r="L183"/>
  <c r="K183"/>
  <c r="K182" s="1"/>
  <c r="J183"/>
  <c r="I183"/>
  <c r="I182" s="1"/>
  <c r="H183"/>
  <c r="G183"/>
  <c r="G182" s="1"/>
  <c r="F183"/>
  <c r="E183"/>
  <c r="E182" s="1"/>
  <c r="D183"/>
  <c r="C183"/>
  <c r="C182" s="1"/>
  <c r="R182"/>
  <c r="Q182"/>
  <c r="P182"/>
  <c r="N182"/>
  <c r="L182"/>
  <c r="J182"/>
  <c r="H182"/>
  <c r="F182"/>
  <c r="D182"/>
  <c r="R180"/>
  <c r="Q180"/>
  <c r="P180"/>
  <c r="O180"/>
  <c r="N180"/>
  <c r="M180"/>
  <c r="L180"/>
  <c r="K180"/>
  <c r="J180"/>
  <c r="I180"/>
  <c r="H180"/>
  <c r="G180"/>
  <c r="F180"/>
  <c r="E180"/>
  <c r="D180"/>
  <c r="C180"/>
  <c r="R178"/>
  <c r="Q178"/>
  <c r="P178"/>
  <c r="O178"/>
  <c r="N178"/>
  <c r="M178"/>
  <c r="L178"/>
  <c r="K178"/>
  <c r="J178"/>
  <c r="I178"/>
  <c r="H178"/>
  <c r="G178"/>
  <c r="F178"/>
  <c r="E178"/>
  <c r="D178"/>
  <c r="C178"/>
  <c r="R176"/>
  <c r="R177" s="1"/>
  <c r="Q176"/>
  <c r="Q177" s="1"/>
  <c r="P176"/>
  <c r="P177" s="1"/>
  <c r="O176"/>
  <c r="O177" s="1"/>
  <c r="N176"/>
  <c r="N177" s="1"/>
  <c r="M176"/>
  <c r="M177" s="1"/>
  <c r="L176"/>
  <c r="L177" s="1"/>
  <c r="K176"/>
  <c r="K177" s="1"/>
  <c r="J176"/>
  <c r="J177" s="1"/>
  <c r="I176"/>
  <c r="H176"/>
  <c r="H177" s="1"/>
  <c r="G176"/>
  <c r="G177" s="1"/>
  <c r="F176"/>
  <c r="F177" s="1"/>
  <c r="E176"/>
  <c r="E177" s="1"/>
  <c r="D176"/>
  <c r="D177" s="1"/>
  <c r="C176"/>
  <c r="C177" s="1"/>
  <c r="R175"/>
  <c r="R187" s="1"/>
  <c r="Q175"/>
  <c r="P175"/>
  <c r="P187" s="1"/>
  <c r="O175"/>
  <c r="N175"/>
  <c r="N187" s="1"/>
  <c r="M175"/>
  <c r="L175"/>
  <c r="L187" s="1"/>
  <c r="K175"/>
  <c r="J175"/>
  <c r="J187" s="1"/>
  <c r="I175"/>
  <c r="H175"/>
  <c r="H187" s="1"/>
  <c r="G175"/>
  <c r="F175"/>
  <c r="F187" s="1"/>
  <c r="E175"/>
  <c r="D175"/>
  <c r="D187" s="1"/>
  <c r="C175"/>
  <c r="G159"/>
  <c r="F159" s="1"/>
  <c r="E159" s="1"/>
  <c r="R106"/>
  <c r="Q106"/>
  <c r="P106"/>
  <c r="O106"/>
  <c r="N106"/>
  <c r="M106"/>
  <c r="L106"/>
  <c r="K106"/>
  <c r="J106"/>
  <c r="I106"/>
  <c r="H106"/>
  <c r="G106"/>
  <c r="F106"/>
  <c r="E106"/>
  <c r="D106"/>
  <c r="C106"/>
  <c r="R81"/>
  <c r="Q81"/>
  <c r="P81"/>
  <c r="O81"/>
  <c r="N81"/>
  <c r="M81"/>
  <c r="L81"/>
  <c r="K81"/>
  <c r="J81"/>
  <c r="I81"/>
  <c r="H81"/>
  <c r="G81"/>
  <c r="F81"/>
  <c r="E81"/>
  <c r="D81"/>
  <c r="C81"/>
  <c r="R79"/>
  <c r="Q79"/>
  <c r="P79"/>
  <c r="O79"/>
  <c r="N79"/>
  <c r="M79"/>
  <c r="L79"/>
  <c r="K79"/>
  <c r="J79"/>
  <c r="I79"/>
  <c r="H79"/>
  <c r="G79"/>
  <c r="F79"/>
  <c r="E79"/>
  <c r="D79"/>
  <c r="C79"/>
  <c r="R78"/>
  <c r="Q78"/>
  <c r="P78"/>
  <c r="O78"/>
  <c r="N78"/>
  <c r="M78"/>
  <c r="L78"/>
  <c r="K78"/>
  <c r="J78"/>
  <c r="I78"/>
  <c r="H78"/>
  <c r="G78"/>
  <c r="F78"/>
  <c r="E78"/>
  <c r="D78"/>
  <c r="C78"/>
  <c r="R73"/>
  <c r="R76" s="1"/>
  <c r="Q73"/>
  <c r="P73"/>
  <c r="O73"/>
  <c r="O77" s="1"/>
  <c r="N73"/>
  <c r="N76" s="1"/>
  <c r="M73"/>
  <c r="L73"/>
  <c r="K73"/>
  <c r="K77" s="1"/>
  <c r="J73"/>
  <c r="J76" s="1"/>
  <c r="I73"/>
  <c r="H73"/>
  <c r="G73"/>
  <c r="G77" s="1"/>
  <c r="F73"/>
  <c r="F76" s="1"/>
  <c r="E73"/>
  <c r="D73"/>
  <c r="C73"/>
  <c r="C77" s="1"/>
  <c r="R72"/>
  <c r="Q72"/>
  <c r="P72"/>
  <c r="O72"/>
  <c r="N72"/>
  <c r="M72"/>
  <c r="L72"/>
  <c r="K72"/>
  <c r="J72"/>
  <c r="I72"/>
  <c r="H72"/>
  <c r="G72"/>
  <c r="F72"/>
  <c r="E72"/>
  <c r="D72"/>
  <c r="C72"/>
  <c r="R70"/>
  <c r="Q70"/>
  <c r="P70"/>
  <c r="O70"/>
  <c r="N70"/>
  <c r="M70"/>
  <c r="L70"/>
  <c r="K70"/>
  <c r="J70"/>
  <c r="I70"/>
  <c r="H70"/>
  <c r="G70"/>
  <c r="F70"/>
  <c r="E70"/>
  <c r="D70"/>
  <c r="C70"/>
  <c r="R66"/>
  <c r="Q66"/>
  <c r="P66"/>
  <c r="O66"/>
  <c r="N66"/>
  <c r="M66"/>
  <c r="L66"/>
  <c r="K66"/>
  <c r="J66"/>
  <c r="I66"/>
  <c r="H66"/>
  <c r="G66"/>
  <c r="F66"/>
  <c r="E66"/>
  <c r="D66"/>
  <c r="C66"/>
  <c r="F63"/>
  <c r="E63"/>
  <c r="D63"/>
  <c r="C63"/>
  <c r="F50"/>
  <c r="E50"/>
  <c r="D50"/>
  <c r="C50"/>
  <c r="R47"/>
  <c r="Q47"/>
  <c r="P47"/>
  <c r="O47"/>
  <c r="N47"/>
  <c r="N80" s="1"/>
  <c r="M47"/>
  <c r="L47"/>
  <c r="K47"/>
  <c r="J47"/>
  <c r="J80" s="1"/>
  <c r="I47"/>
  <c r="H47"/>
  <c r="G47"/>
  <c r="F47"/>
  <c r="Y60" s="1"/>
  <c r="E47"/>
  <c r="X62" s="1"/>
  <c r="D47"/>
  <c r="W63" s="1"/>
  <c r="C47"/>
  <c r="V53" s="1"/>
  <c r="D6" i="26" l="1"/>
  <c r="D5" s="1"/>
  <c r="D4" s="1"/>
  <c r="D6" i="30"/>
  <c r="D6" i="29"/>
  <c r="H6" i="26"/>
  <c r="H6" i="30"/>
  <c r="H6" i="29"/>
  <c r="L6" i="26"/>
  <c r="L5" s="1"/>
  <c r="L4" s="1"/>
  <c r="L6" i="30"/>
  <c r="L6" i="29"/>
  <c r="R6" i="26"/>
  <c r="R6" i="30"/>
  <c r="R6" i="29"/>
  <c r="F8" i="26"/>
  <c r="F8" i="30"/>
  <c r="F8" i="29"/>
  <c r="J8" i="26"/>
  <c r="J8" i="30"/>
  <c r="J8" i="29"/>
  <c r="N8" i="26"/>
  <c r="N8" i="30"/>
  <c r="N8" i="29"/>
  <c r="P8" i="26"/>
  <c r="P8" i="30"/>
  <c r="P8" i="29"/>
  <c r="D7" i="26"/>
  <c r="D22" s="1"/>
  <c r="D7" i="30"/>
  <c r="D22" s="1"/>
  <c r="D7" i="29"/>
  <c r="D22" s="1"/>
  <c r="F7" i="26"/>
  <c r="F22" s="1"/>
  <c r="F7" i="30"/>
  <c r="F22" s="1"/>
  <c r="F7" i="29"/>
  <c r="F22" s="1"/>
  <c r="H7" i="26"/>
  <c r="H22" s="1"/>
  <c r="H7" i="30"/>
  <c r="H22" s="1"/>
  <c r="H7" i="29"/>
  <c r="H22" s="1"/>
  <c r="J7" i="26"/>
  <c r="J22" s="1"/>
  <c r="J7" i="30"/>
  <c r="J22" s="1"/>
  <c r="J7" i="29"/>
  <c r="J22" s="1"/>
  <c r="N7" i="26"/>
  <c r="N22" s="1"/>
  <c r="N7" i="30"/>
  <c r="N22" s="1"/>
  <c r="N7" i="29"/>
  <c r="N22" s="1"/>
  <c r="P7" i="26"/>
  <c r="P22" s="1"/>
  <c r="P7" i="30"/>
  <c r="P22" s="1"/>
  <c r="P7" i="29"/>
  <c r="P22" s="1"/>
  <c r="R7" i="26"/>
  <c r="R22" s="1"/>
  <c r="R7" i="30"/>
  <c r="R22" s="1"/>
  <c r="R7" i="29"/>
  <c r="R22" s="1"/>
  <c r="I15" i="30"/>
  <c r="I15" i="29"/>
  <c r="M15" i="26"/>
  <c r="M15" i="30"/>
  <c r="M15" i="29"/>
  <c r="F6" i="26"/>
  <c r="F5" s="1"/>
  <c r="F4" s="1"/>
  <c r="F6" i="30"/>
  <c r="F6" i="29"/>
  <c r="J6" i="26"/>
  <c r="J6" i="30"/>
  <c r="J6" i="29"/>
  <c r="N6" i="26"/>
  <c r="N5" s="1"/>
  <c r="N4" s="1"/>
  <c r="N6" i="30"/>
  <c r="N6" i="29"/>
  <c r="P6" i="26"/>
  <c r="P6" i="30"/>
  <c r="P6" i="29"/>
  <c r="D8" i="26"/>
  <c r="D8" i="30"/>
  <c r="D8" i="29"/>
  <c r="H8" i="26"/>
  <c r="H8" i="30"/>
  <c r="H8" i="29"/>
  <c r="L8" i="26"/>
  <c r="L8" i="30"/>
  <c r="L8" i="29"/>
  <c r="R8" i="26"/>
  <c r="R8" i="30"/>
  <c r="R8" i="29"/>
  <c r="L7" i="26"/>
  <c r="L22" s="1"/>
  <c r="L7" i="30"/>
  <c r="L22" s="1"/>
  <c r="L7" i="29"/>
  <c r="L22" s="1"/>
  <c r="C6" i="26"/>
  <c r="C6" i="30"/>
  <c r="C6" i="29"/>
  <c r="E6" i="26"/>
  <c r="E21" s="1"/>
  <c r="E20" s="1"/>
  <c r="E6" i="30"/>
  <c r="E6" i="29"/>
  <c r="G6" i="26"/>
  <c r="G6" i="30"/>
  <c r="G6" i="29"/>
  <c r="K6" i="26"/>
  <c r="K5" s="1"/>
  <c r="K4" s="1"/>
  <c r="K6" i="30"/>
  <c r="K6" i="29"/>
  <c r="M6" i="26"/>
  <c r="M6" i="30"/>
  <c r="M6" i="29"/>
  <c r="O6" i="26"/>
  <c r="O5" s="1"/>
  <c r="O4" s="1"/>
  <c r="O6" i="30"/>
  <c r="O6" i="29"/>
  <c r="Q6" i="26"/>
  <c r="Q6" i="30"/>
  <c r="Q6" i="29"/>
  <c r="C8" i="26"/>
  <c r="C8" i="30"/>
  <c r="C23" s="1"/>
  <c r="C8" i="29"/>
  <c r="C23" s="1"/>
  <c r="E8" i="26"/>
  <c r="E8" i="30"/>
  <c r="E8" i="29"/>
  <c r="G8" i="26"/>
  <c r="G8" i="30"/>
  <c r="G8" i="29"/>
  <c r="I8" i="26"/>
  <c r="I8" i="30"/>
  <c r="I8" i="29"/>
  <c r="K8" i="26"/>
  <c r="K8" i="30"/>
  <c r="K8" i="29"/>
  <c r="M8" i="26"/>
  <c r="M8" i="30"/>
  <c r="M8" i="29"/>
  <c r="O8" i="26"/>
  <c r="O8" i="30"/>
  <c r="O8" i="29"/>
  <c r="Q8" i="26"/>
  <c r="Q8" i="30"/>
  <c r="Q8" i="29"/>
  <c r="C7" i="30"/>
  <c r="C22" s="1"/>
  <c r="C7" i="29"/>
  <c r="C22" s="1"/>
  <c r="E7" i="30"/>
  <c r="E22" s="1"/>
  <c r="E7" i="29"/>
  <c r="E22" s="1"/>
  <c r="G7" i="30"/>
  <c r="G22" s="1"/>
  <c r="G7" i="29"/>
  <c r="G22" s="1"/>
  <c r="I7" i="30"/>
  <c r="I22" s="1"/>
  <c r="I7" i="29"/>
  <c r="I22" s="1"/>
  <c r="K7" i="30"/>
  <c r="K22" s="1"/>
  <c r="K7" i="29"/>
  <c r="K22" s="1"/>
  <c r="M7" i="30"/>
  <c r="M22" s="1"/>
  <c r="M7" i="29"/>
  <c r="M22" s="1"/>
  <c r="O7" i="30"/>
  <c r="O22" s="1"/>
  <c r="O7" i="29"/>
  <c r="O22" s="1"/>
  <c r="Q7" i="30"/>
  <c r="Q22" s="1"/>
  <c r="Q7" i="29"/>
  <c r="Q22" s="1"/>
  <c r="L15" i="30"/>
  <c r="L15" i="29"/>
  <c r="J64" i="30"/>
  <c r="G79"/>
  <c r="G75" s="1"/>
  <c r="G84" s="1"/>
  <c r="I67"/>
  <c r="J64" i="29"/>
  <c r="J66" s="1"/>
  <c r="J88" s="1"/>
  <c r="G79"/>
  <c r="G75" s="1"/>
  <c r="G84" s="1"/>
  <c r="I67"/>
  <c r="C187" i="18"/>
  <c r="E187"/>
  <c r="G187"/>
  <c r="I187"/>
  <c r="K187"/>
  <c r="M187"/>
  <c r="Q187"/>
  <c r="C7" i="26"/>
  <c r="C22" s="1"/>
  <c r="E7"/>
  <c r="E22" s="1"/>
  <c r="G7"/>
  <c r="G22" s="1"/>
  <c r="I7"/>
  <c r="I22" s="1"/>
  <c r="K7"/>
  <c r="K22" s="1"/>
  <c r="M7"/>
  <c r="M22" s="1"/>
  <c r="Q7"/>
  <c r="Q22" s="1"/>
  <c r="O187" i="18"/>
  <c r="O7" i="26"/>
  <c r="O22" s="1"/>
  <c r="I177" i="18"/>
  <c r="H20" i="16"/>
  <c r="Q203" i="18"/>
  <c r="T265"/>
  <c r="C220"/>
  <c r="D261"/>
  <c r="R271"/>
  <c r="R503" s="1"/>
  <c r="G267"/>
  <c r="U267"/>
  <c r="C159"/>
  <c r="D701"/>
  <c r="C213"/>
  <c r="L203"/>
  <c r="L201"/>
  <c r="H201"/>
  <c r="P203"/>
  <c r="C23" i="26"/>
  <c r="J54"/>
  <c r="K61"/>
  <c r="F261" i="18"/>
  <c r="E261" s="1"/>
  <c r="F271"/>
  <c r="F262" s="1"/>
  <c r="U264"/>
  <c r="T264" s="1"/>
  <c r="F286"/>
  <c r="J286"/>
  <c r="R286"/>
  <c r="F287"/>
  <c r="U268"/>
  <c r="U270"/>
  <c r="G201"/>
  <c r="F283"/>
  <c r="J283"/>
  <c r="U263"/>
  <c r="R284"/>
  <c r="F285"/>
  <c r="J290"/>
  <c r="N271"/>
  <c r="N262" s="1"/>
  <c r="N589"/>
  <c r="O564"/>
  <c r="J284"/>
  <c r="F288"/>
  <c r="G332"/>
  <c r="F332" s="1"/>
  <c r="L191"/>
  <c r="U266"/>
  <c r="T268"/>
  <c r="U269"/>
  <c r="T270"/>
  <c r="E271"/>
  <c r="E284" s="1"/>
  <c r="I271"/>
  <c r="I285" s="1"/>
  <c r="M271"/>
  <c r="Q271"/>
  <c r="F279"/>
  <c r="I284"/>
  <c r="F289"/>
  <c r="R289"/>
  <c r="F290"/>
  <c r="E332"/>
  <c r="H598"/>
  <c r="H572"/>
  <c r="T267"/>
  <c r="F284"/>
  <c r="F291" s="1"/>
  <c r="R287"/>
  <c r="M159"/>
  <c r="C261"/>
  <c r="T263"/>
  <c r="T266"/>
  <c r="G268"/>
  <c r="T269"/>
  <c r="D271"/>
  <c r="D289" s="1"/>
  <c r="H271"/>
  <c r="H279" s="1"/>
  <c r="L271"/>
  <c r="L284" s="1"/>
  <c r="P271"/>
  <c r="P283" s="1"/>
  <c r="U271"/>
  <c r="F275"/>
  <c r="J275"/>
  <c r="N275"/>
  <c r="R275"/>
  <c r="N285"/>
  <c r="R285"/>
  <c r="M289"/>
  <c r="H601"/>
  <c r="I602"/>
  <c r="I576"/>
  <c r="D501"/>
  <c r="H547"/>
  <c r="H701"/>
  <c r="R283"/>
  <c r="R288"/>
  <c r="K203"/>
  <c r="J262"/>
  <c r="R262"/>
  <c r="U265"/>
  <c r="G269"/>
  <c r="C271"/>
  <c r="C285" s="1"/>
  <c r="G271"/>
  <c r="G286" s="1"/>
  <c r="K271"/>
  <c r="O271"/>
  <c r="O284" s="1"/>
  <c r="R279"/>
  <c r="C284"/>
  <c r="D290"/>
  <c r="H290"/>
  <c r="C332"/>
  <c r="C201"/>
  <c r="O201"/>
  <c r="G203"/>
  <c r="O203"/>
  <c r="V392"/>
  <c r="N169"/>
  <c r="K201"/>
  <c r="J201" s="1"/>
  <c r="I201" s="1"/>
  <c r="C203"/>
  <c r="H159"/>
  <c r="V350"/>
  <c r="V354"/>
  <c r="V358"/>
  <c r="V362"/>
  <c r="V366"/>
  <c r="V370"/>
  <c r="V374"/>
  <c r="V378"/>
  <c r="V382"/>
  <c r="V386"/>
  <c r="V391"/>
  <c r="X48"/>
  <c r="X51"/>
  <c r="X55"/>
  <c r="X60"/>
  <c r="X64"/>
  <c r="M74"/>
  <c r="M75"/>
  <c r="M76"/>
  <c r="J77"/>
  <c r="R77"/>
  <c r="R200"/>
  <c r="M330"/>
  <c r="V371"/>
  <c r="V383"/>
  <c r="V387"/>
  <c r="W51"/>
  <c r="W53"/>
  <c r="X58"/>
  <c r="W62"/>
  <c r="I74"/>
  <c r="I75"/>
  <c r="I76"/>
  <c r="I77"/>
  <c r="Q77"/>
  <c r="U277"/>
  <c r="V348"/>
  <c r="V349"/>
  <c r="V351"/>
  <c r="V352"/>
  <c r="V353"/>
  <c r="V355"/>
  <c r="V356"/>
  <c r="V357"/>
  <c r="V359"/>
  <c r="V360"/>
  <c r="V361"/>
  <c r="V363"/>
  <c r="V364"/>
  <c r="V365"/>
  <c r="V367"/>
  <c r="V368"/>
  <c r="V369"/>
  <c r="V372"/>
  <c r="V373"/>
  <c r="V375"/>
  <c r="V376"/>
  <c r="V377"/>
  <c r="V379"/>
  <c r="V380"/>
  <c r="V381"/>
  <c r="V384"/>
  <c r="V385"/>
  <c r="V388"/>
  <c r="V389"/>
  <c r="V390"/>
  <c r="X50"/>
  <c r="W52"/>
  <c r="X57"/>
  <c r="X61"/>
  <c r="E74"/>
  <c r="E75"/>
  <c r="E76"/>
  <c r="F77"/>
  <c r="E77" s="1"/>
  <c r="N77"/>
  <c r="X49"/>
  <c r="V52"/>
  <c r="X56"/>
  <c r="W61"/>
  <c r="X65"/>
  <c r="Q74"/>
  <c r="Q75"/>
  <c r="Q76"/>
  <c r="M77"/>
  <c r="Z47"/>
  <c r="Y56"/>
  <c r="Y58"/>
  <c r="V63"/>
  <c r="R80"/>
  <c r="Y65"/>
  <c r="Y61"/>
  <c r="Y51"/>
  <c r="Y63"/>
  <c r="Y62"/>
  <c r="Y53"/>
  <c r="Y52"/>
  <c r="W65"/>
  <c r="D77"/>
  <c r="D76"/>
  <c r="D75"/>
  <c r="H77"/>
  <c r="H76"/>
  <c r="H75"/>
  <c r="H74"/>
  <c r="L77"/>
  <c r="L76"/>
  <c r="L75"/>
  <c r="L74"/>
  <c r="P77"/>
  <c r="P76"/>
  <c r="P75"/>
  <c r="P74"/>
  <c r="Y47"/>
  <c r="Y54"/>
  <c r="Y64"/>
  <c r="C80"/>
  <c r="V64"/>
  <c r="V60"/>
  <c r="V58"/>
  <c r="V57"/>
  <c r="V56"/>
  <c r="V55"/>
  <c r="V50"/>
  <c r="V49"/>
  <c r="V48"/>
  <c r="V65"/>
  <c r="V61"/>
  <c r="V51"/>
  <c r="V62"/>
  <c r="G80"/>
  <c r="K80"/>
  <c r="O80"/>
  <c r="V47"/>
  <c r="Y48"/>
  <c r="Y50"/>
  <c r="V54"/>
  <c r="Y55"/>
  <c r="Y57"/>
  <c r="D74"/>
  <c r="E5" i="26"/>
  <c r="E4" s="1"/>
  <c r="M21"/>
  <c r="M5"/>
  <c r="M4" s="1"/>
  <c r="Q21"/>
  <c r="Q20" s="1"/>
  <c r="Q5"/>
  <c r="Q4" s="1"/>
  <c r="E698" i="18"/>
  <c r="E635"/>
  <c r="E500"/>
  <c r="E487"/>
  <c r="E329"/>
  <c r="E276"/>
  <c r="E191"/>
  <c r="E314"/>
  <c r="E313"/>
  <c r="E312"/>
  <c r="E311"/>
  <c r="E310"/>
  <c r="E309"/>
  <c r="E308"/>
  <c r="E307"/>
  <c r="E163"/>
  <c r="C14" i="10"/>
  <c r="I698" i="18"/>
  <c r="C14" i="16"/>
  <c r="I635" i="18"/>
  <c r="I500"/>
  <c r="I276"/>
  <c r="I191"/>
  <c r="I315"/>
  <c r="I314"/>
  <c r="I310"/>
  <c r="I329"/>
  <c r="I309"/>
  <c r="I308"/>
  <c r="I307"/>
  <c r="I163"/>
  <c r="G14" i="10"/>
  <c r="M698" i="18"/>
  <c r="G14" i="16"/>
  <c r="M635" i="18"/>
  <c r="M500"/>
  <c r="M276"/>
  <c r="M191"/>
  <c r="M315"/>
  <c r="M314"/>
  <c r="M313"/>
  <c r="M312"/>
  <c r="M311"/>
  <c r="M310"/>
  <c r="V190"/>
  <c r="M309"/>
  <c r="M308"/>
  <c r="M307"/>
  <c r="W190"/>
  <c r="M163"/>
  <c r="K14" i="10"/>
  <c r="Q698" i="18"/>
  <c r="K9" i="6"/>
  <c r="K14" i="16"/>
  <c r="Q635" i="18"/>
  <c r="Q500"/>
  <c r="Q276"/>
  <c r="Q191"/>
  <c r="Q315"/>
  <c r="Q314"/>
  <c r="Q310"/>
  <c r="Q309"/>
  <c r="Q308"/>
  <c r="Q307"/>
  <c r="Q163"/>
  <c r="Y59"/>
  <c r="F80"/>
  <c r="Q200"/>
  <c r="R210"/>
  <c r="R213"/>
  <c r="R233" s="1"/>
  <c r="Q233" s="1"/>
  <c r="P233" s="1"/>
  <c r="O233" s="1"/>
  <c r="D21" i="26"/>
  <c r="D20" s="1"/>
  <c r="H21"/>
  <c r="H20" s="1"/>
  <c r="L21"/>
  <c r="L20" s="1"/>
  <c r="P5"/>
  <c r="P4" s="1"/>
  <c r="P21"/>
  <c r="P20" s="1"/>
  <c r="D698" i="18"/>
  <c r="D635"/>
  <c r="D500"/>
  <c r="D488"/>
  <c r="D487"/>
  <c r="D314"/>
  <c r="D313"/>
  <c r="D312"/>
  <c r="D311"/>
  <c r="D310"/>
  <c r="C310" s="1"/>
  <c r="D309"/>
  <c r="D308"/>
  <c r="D307"/>
  <c r="D329"/>
  <c r="D276"/>
  <c r="D163"/>
  <c r="B14" i="10"/>
  <c r="B14" i="16"/>
  <c r="H698" i="18"/>
  <c r="H635"/>
  <c r="H500"/>
  <c r="H315"/>
  <c r="H314"/>
  <c r="H313"/>
  <c r="H312"/>
  <c r="H311"/>
  <c r="H310"/>
  <c r="H329"/>
  <c r="H309"/>
  <c r="H308"/>
  <c r="H307"/>
  <c r="H276"/>
  <c r="H163"/>
  <c r="F14" i="16"/>
  <c r="F9" i="6"/>
  <c r="L698" i="18"/>
  <c r="L635"/>
  <c r="L500"/>
  <c r="L314"/>
  <c r="L310"/>
  <c r="L309"/>
  <c r="L308"/>
  <c r="L307"/>
  <c r="L276"/>
  <c r="L163"/>
  <c r="J14" i="10"/>
  <c r="J9" i="6"/>
  <c r="J14" i="16"/>
  <c r="P698" i="18"/>
  <c r="P635"/>
  <c r="P500"/>
  <c r="P315"/>
  <c r="P314"/>
  <c r="P310"/>
  <c r="P309"/>
  <c r="P308"/>
  <c r="P307"/>
  <c r="P276"/>
  <c r="P163"/>
  <c r="C74"/>
  <c r="E80"/>
  <c r="I80"/>
  <c r="M80"/>
  <c r="Q80"/>
  <c r="H191"/>
  <c r="N210"/>
  <c r="N213"/>
  <c r="C21" i="26"/>
  <c r="C20" s="1"/>
  <c r="C5"/>
  <c r="G21"/>
  <c r="G20" s="1"/>
  <c r="G5"/>
  <c r="K21"/>
  <c r="K20" s="1"/>
  <c r="O21"/>
  <c r="O20" s="1"/>
  <c r="C635" i="18"/>
  <c r="C698"/>
  <c r="C500"/>
  <c r="C487"/>
  <c r="C488"/>
  <c r="C315"/>
  <c r="C314"/>
  <c r="C313"/>
  <c r="C312"/>
  <c r="C311"/>
  <c r="C309"/>
  <c r="C308"/>
  <c r="C307"/>
  <c r="C329"/>
  <c r="C276"/>
  <c r="G698"/>
  <c r="G635"/>
  <c r="G500"/>
  <c r="G487"/>
  <c r="G488"/>
  <c r="G314"/>
  <c r="G312"/>
  <c r="G311"/>
  <c r="G310"/>
  <c r="G329"/>
  <c r="F329" s="1"/>
  <c r="G309"/>
  <c r="G308"/>
  <c r="G307"/>
  <c r="G276"/>
  <c r="G163"/>
  <c r="G191"/>
  <c r="E14" i="10"/>
  <c r="K635" i="18"/>
  <c r="E14" i="16"/>
  <c r="K698" i="18"/>
  <c r="K500"/>
  <c r="K315"/>
  <c r="K314"/>
  <c r="K310"/>
  <c r="K309"/>
  <c r="K308"/>
  <c r="K307"/>
  <c r="K276"/>
  <c r="K329" s="1"/>
  <c r="J329" s="1"/>
  <c r="K163"/>
  <c r="K191"/>
  <c r="I14" i="10"/>
  <c r="I9" i="6"/>
  <c r="O635" i="18"/>
  <c r="I14" i="16"/>
  <c r="O698" i="18"/>
  <c r="O500"/>
  <c r="O315"/>
  <c r="O314"/>
  <c r="O310"/>
  <c r="O309"/>
  <c r="O308"/>
  <c r="O307"/>
  <c r="O276"/>
  <c r="O163"/>
  <c r="O191"/>
  <c r="H200"/>
  <c r="I15" i="26"/>
  <c r="X47" i="18"/>
  <c r="AB47"/>
  <c r="W48"/>
  <c r="W49"/>
  <c r="W50"/>
  <c r="X54"/>
  <c r="W55"/>
  <c r="W56"/>
  <c r="W57"/>
  <c r="W58"/>
  <c r="X59"/>
  <c r="W60"/>
  <c r="X63"/>
  <c r="W64"/>
  <c r="G74"/>
  <c r="K74"/>
  <c r="O74"/>
  <c r="C75"/>
  <c r="G75"/>
  <c r="K75"/>
  <c r="O75"/>
  <c r="C76"/>
  <c r="G76"/>
  <c r="K76"/>
  <c r="O76"/>
  <c r="D80"/>
  <c r="H80"/>
  <c r="L80"/>
  <c r="P80"/>
  <c r="D191"/>
  <c r="J210"/>
  <c r="J213"/>
  <c r="F21" i="26"/>
  <c r="F20" s="1"/>
  <c r="J21"/>
  <c r="J20" s="1"/>
  <c r="J5"/>
  <c r="J4" s="1"/>
  <c r="N21"/>
  <c r="N20" s="1"/>
  <c r="R21"/>
  <c r="R20" s="1"/>
  <c r="F635" i="18"/>
  <c r="F698"/>
  <c r="F500"/>
  <c r="F488"/>
  <c r="E488" s="1"/>
  <c r="F487"/>
  <c r="F309"/>
  <c r="F308"/>
  <c r="F307"/>
  <c r="F276"/>
  <c r="F163"/>
  <c r="F191"/>
  <c r="F315"/>
  <c r="F314"/>
  <c r="F313"/>
  <c r="F312"/>
  <c r="F311"/>
  <c r="F310"/>
  <c r="D14" i="10"/>
  <c r="D14" i="16"/>
  <c r="J635" i="18"/>
  <c r="D9" i="6"/>
  <c r="J698" i="18"/>
  <c r="J500"/>
  <c r="J309"/>
  <c r="J308"/>
  <c r="J307"/>
  <c r="J276"/>
  <c r="J163"/>
  <c r="J191"/>
  <c r="J315"/>
  <c r="J314"/>
  <c r="J310"/>
  <c r="H14" i="10"/>
  <c r="H14" i="16"/>
  <c r="N635" i="18"/>
  <c r="N698"/>
  <c r="H9" i="6"/>
  <c r="N500" i="18"/>
  <c r="N309"/>
  <c r="N308"/>
  <c r="N307"/>
  <c r="N276"/>
  <c r="N163"/>
  <c r="N191"/>
  <c r="N315"/>
  <c r="N314"/>
  <c r="N310"/>
  <c r="L14" i="10"/>
  <c r="L14" i="16"/>
  <c r="R635" i="18"/>
  <c r="R698"/>
  <c r="R700" s="1"/>
  <c r="L9" i="6"/>
  <c r="R500" i="18"/>
  <c r="R309"/>
  <c r="R308"/>
  <c r="R307"/>
  <c r="R276"/>
  <c r="R163"/>
  <c r="R191"/>
  <c r="R315"/>
  <c r="R314"/>
  <c r="R313"/>
  <c r="R312"/>
  <c r="R311"/>
  <c r="R310"/>
  <c r="K200"/>
  <c r="L15" i="26"/>
  <c r="W47" i="18"/>
  <c r="AA47"/>
  <c r="X52"/>
  <c r="X53"/>
  <c r="W54"/>
  <c r="W59"/>
  <c r="V59" s="1"/>
  <c r="F74"/>
  <c r="J74"/>
  <c r="N74"/>
  <c r="R74"/>
  <c r="F75"/>
  <c r="J75"/>
  <c r="N75"/>
  <c r="R75"/>
  <c r="P191"/>
  <c r="F210"/>
  <c r="F213"/>
  <c r="J203"/>
  <c r="T277"/>
  <c r="M279"/>
  <c r="R501"/>
  <c r="F201"/>
  <c r="N203"/>
  <c r="N201"/>
  <c r="F203"/>
  <c r="E203" s="1"/>
  <c r="D203" s="1"/>
  <c r="R219"/>
  <c r="Q219" s="1"/>
  <c r="P219" s="1"/>
  <c r="O219" s="1"/>
  <c r="N219" s="1"/>
  <c r="R330"/>
  <c r="F46"/>
  <c r="E46"/>
  <c r="D46"/>
  <c r="C46"/>
  <c r="R37"/>
  <c r="Q37"/>
  <c r="P37"/>
  <c r="O37"/>
  <c r="N37"/>
  <c r="M37"/>
  <c r="L37"/>
  <c r="K37"/>
  <c r="J37"/>
  <c r="I37"/>
  <c r="H37"/>
  <c r="G37"/>
  <c r="F37"/>
  <c r="E37"/>
  <c r="D37"/>
  <c r="C37"/>
  <c r="R36"/>
  <c r="Q36"/>
  <c r="P36"/>
  <c r="O36"/>
  <c r="N36"/>
  <c r="M36"/>
  <c r="L36"/>
  <c r="K36"/>
  <c r="J36"/>
  <c r="I36"/>
  <c r="H36"/>
  <c r="G36"/>
  <c r="F36"/>
  <c r="E36"/>
  <c r="D36"/>
  <c r="C36"/>
  <c r="R34"/>
  <c r="Q34"/>
  <c r="P34"/>
  <c r="O34"/>
  <c r="N34"/>
  <c r="M34"/>
  <c r="L34"/>
  <c r="K34"/>
  <c r="J34"/>
  <c r="I34"/>
  <c r="H34"/>
  <c r="G34"/>
  <c r="F34"/>
  <c r="E34"/>
  <c r="D34"/>
  <c r="C34"/>
  <c r="R33"/>
  <c r="Q33"/>
  <c r="P33"/>
  <c r="O33"/>
  <c r="N33"/>
  <c r="M33"/>
  <c r="L33"/>
  <c r="K33"/>
  <c r="J33"/>
  <c r="I33"/>
  <c r="H33"/>
  <c r="G33"/>
  <c r="F33"/>
  <c r="E33"/>
  <c r="D33"/>
  <c r="C33"/>
  <c r="R32"/>
  <c r="Q32"/>
  <c r="P32"/>
  <c r="O32"/>
  <c r="N32"/>
  <c r="M32"/>
  <c r="L32"/>
  <c r="K32"/>
  <c r="J32"/>
  <c r="I32"/>
  <c r="H32"/>
  <c r="G32"/>
  <c r="F32"/>
  <c r="E32"/>
  <c r="D32"/>
  <c r="C32"/>
  <c r="R31"/>
  <c r="Q31"/>
  <c r="P31"/>
  <c r="O31"/>
  <c r="N31"/>
  <c r="M31"/>
  <c r="L31"/>
  <c r="K31"/>
  <c r="J31"/>
  <c r="I31"/>
  <c r="H31"/>
  <c r="G31"/>
  <c r="F31"/>
  <c r="E31"/>
  <c r="D31"/>
  <c r="C31"/>
  <c r="R30"/>
  <c r="Q30"/>
  <c r="P30"/>
  <c r="O30"/>
  <c r="N30"/>
  <c r="M30"/>
  <c r="L30"/>
  <c r="K30"/>
  <c r="J30"/>
  <c r="I30"/>
  <c r="H30"/>
  <c r="G30"/>
  <c r="F30"/>
  <c r="E30"/>
  <c r="D30"/>
  <c r="C30"/>
  <c r="R29"/>
  <c r="Q29"/>
  <c r="P29"/>
  <c r="O29"/>
  <c r="N29"/>
  <c r="M29"/>
  <c r="L29"/>
  <c r="K29"/>
  <c r="J29"/>
  <c r="I29"/>
  <c r="H29"/>
  <c r="G29"/>
  <c r="F29"/>
  <c r="E29"/>
  <c r="D29"/>
  <c r="C29"/>
  <c r="R28"/>
  <c r="Q28"/>
  <c r="P28"/>
  <c r="O28"/>
  <c r="N28"/>
  <c r="M28"/>
  <c r="L28"/>
  <c r="K28"/>
  <c r="J28"/>
  <c r="I28"/>
  <c r="H28"/>
  <c r="G28"/>
  <c r="F28"/>
  <c r="E28"/>
  <c r="D28"/>
  <c r="C28"/>
  <c r="R27"/>
  <c r="Q27"/>
  <c r="P27"/>
  <c r="O27"/>
  <c r="N27"/>
  <c r="M27"/>
  <c r="L27"/>
  <c r="K27"/>
  <c r="J27"/>
  <c r="I27"/>
  <c r="H27"/>
  <c r="G27"/>
  <c r="F27"/>
  <c r="E27"/>
  <c r="D27"/>
  <c r="C27"/>
  <c r="R26"/>
  <c r="Q26"/>
  <c r="P26"/>
  <c r="O26"/>
  <c r="N26"/>
  <c r="M26"/>
  <c r="L26"/>
  <c r="K26"/>
  <c r="J26"/>
  <c r="I26"/>
  <c r="H26"/>
  <c r="G26"/>
  <c r="F26"/>
  <c r="E26"/>
  <c r="D26"/>
  <c r="C26"/>
  <c r="R25"/>
  <c r="Q25"/>
  <c r="P25"/>
  <c r="O25"/>
  <c r="N25"/>
  <c r="M25"/>
  <c r="L25"/>
  <c r="K25"/>
  <c r="J25"/>
  <c r="I25"/>
  <c r="H25"/>
  <c r="G25"/>
  <c r="F25"/>
  <c r="E25"/>
  <c r="D25"/>
  <c r="C25"/>
  <c r="R24"/>
  <c r="Q24"/>
  <c r="P24"/>
  <c r="O24"/>
  <c r="N24"/>
  <c r="M24"/>
  <c r="L24"/>
  <c r="K24"/>
  <c r="J24"/>
  <c r="I24"/>
  <c r="H24"/>
  <c r="G24"/>
  <c r="F24"/>
  <c r="E24"/>
  <c r="D24"/>
  <c r="C24"/>
  <c r="R23"/>
  <c r="Q23"/>
  <c r="P23"/>
  <c r="O23"/>
  <c r="N23"/>
  <c r="M23"/>
  <c r="L23"/>
  <c r="K23"/>
  <c r="J23"/>
  <c r="I23"/>
  <c r="H23"/>
  <c r="G23"/>
  <c r="F23"/>
  <c r="E23"/>
  <c r="D23"/>
  <c r="C23"/>
  <c r="R22"/>
  <c r="Q22"/>
  <c r="P22"/>
  <c r="O22"/>
  <c r="N22"/>
  <c r="M22"/>
  <c r="L22"/>
  <c r="K22"/>
  <c r="J22"/>
  <c r="I22"/>
  <c r="H22"/>
  <c r="G22"/>
  <c r="F22"/>
  <c r="E22"/>
  <c r="D22"/>
  <c r="C22"/>
  <c r="R21"/>
  <c r="Q21"/>
  <c r="P21"/>
  <c r="O21"/>
  <c r="N21"/>
  <c r="M21"/>
  <c r="L21"/>
  <c r="K21"/>
  <c r="J21"/>
  <c r="I21"/>
  <c r="H21"/>
  <c r="H20" s="1"/>
  <c r="G21"/>
  <c r="G20" s="1"/>
  <c r="F21"/>
  <c r="F20" s="1"/>
  <c r="E21"/>
  <c r="D21"/>
  <c r="D20" s="1"/>
  <c r="C21"/>
  <c r="C20" s="1"/>
  <c r="R20"/>
  <c r="Q20"/>
  <c r="P20"/>
  <c r="O20"/>
  <c r="N20"/>
  <c r="M20"/>
  <c r="L20"/>
  <c r="K20"/>
  <c r="J20"/>
  <c r="N137" i="17"/>
  <c r="I137"/>
  <c r="D137"/>
  <c r="N136"/>
  <c r="I136"/>
  <c r="D136"/>
  <c r="N135"/>
  <c r="I135"/>
  <c r="D135"/>
  <c r="N134"/>
  <c r="I134"/>
  <c r="D134"/>
  <c r="N133"/>
  <c r="N132"/>
  <c r="I132"/>
  <c r="D132"/>
  <c r="N131"/>
  <c r="I131"/>
  <c r="D131"/>
  <c r="N130"/>
  <c r="I130"/>
  <c r="D130"/>
  <c r="N129"/>
  <c r="I129"/>
  <c r="D129"/>
  <c r="N128"/>
  <c r="I128"/>
  <c r="D128"/>
  <c r="Q92"/>
  <c r="P92"/>
  <c r="J92"/>
  <c r="K92" s="1"/>
  <c r="Q91"/>
  <c r="P91"/>
  <c r="J91"/>
  <c r="Q90"/>
  <c r="J90" s="1"/>
  <c r="K90" s="1"/>
  <c r="L90" s="1"/>
  <c r="P90"/>
  <c r="Q89"/>
  <c r="J89" s="1"/>
  <c r="P89"/>
  <c r="I88"/>
  <c r="I133" s="1"/>
  <c r="H88"/>
  <c r="G88"/>
  <c r="F88"/>
  <c r="E88"/>
  <c r="D88"/>
  <c r="Q86"/>
  <c r="P86"/>
  <c r="Q85"/>
  <c r="P85"/>
  <c r="Q84"/>
  <c r="P84"/>
  <c r="Q83"/>
  <c r="P83"/>
  <c r="Q79"/>
  <c r="P79"/>
  <c r="J79"/>
  <c r="K79" s="1"/>
  <c r="E79"/>
  <c r="Q78"/>
  <c r="P78"/>
  <c r="J78"/>
  <c r="E78"/>
  <c r="F78" s="1"/>
  <c r="G78" s="1"/>
  <c r="H78" s="1"/>
  <c r="L277" i="18" s="1"/>
  <c r="Q77" i="17"/>
  <c r="J77" s="1"/>
  <c r="K77" s="1"/>
  <c r="L77" s="1"/>
  <c r="M77" s="1"/>
  <c r="P77"/>
  <c r="E77"/>
  <c r="Q76"/>
  <c r="P76"/>
  <c r="E76" s="1"/>
  <c r="F76" s="1"/>
  <c r="G76" s="1"/>
  <c r="J76"/>
  <c r="K76" s="1"/>
  <c r="Q75"/>
  <c r="D75"/>
  <c r="P75" s="1"/>
  <c r="Q74"/>
  <c r="P74"/>
  <c r="Q73"/>
  <c r="P73"/>
  <c r="Q72"/>
  <c r="P72"/>
  <c r="Q71"/>
  <c r="P71"/>
  <c r="Q70"/>
  <c r="P70"/>
  <c r="Q105" i="1"/>
  <c r="P105"/>
  <c r="O105"/>
  <c r="N105"/>
  <c r="M105"/>
  <c r="L105"/>
  <c r="K105"/>
  <c r="J105"/>
  <c r="I105"/>
  <c r="H105"/>
  <c r="G105"/>
  <c r="F105"/>
  <c r="E105"/>
  <c r="D105"/>
  <c r="C105"/>
  <c r="Q104"/>
  <c r="P104"/>
  <c r="O104"/>
  <c r="N104"/>
  <c r="M104"/>
  <c r="L104"/>
  <c r="K104"/>
  <c r="J104"/>
  <c r="I104"/>
  <c r="H104"/>
  <c r="G104"/>
  <c r="F104"/>
  <c r="E104"/>
  <c r="D104"/>
  <c r="C104"/>
  <c r="Q103"/>
  <c r="P103"/>
  <c r="O103"/>
  <c r="N103"/>
  <c r="M103"/>
  <c r="L103"/>
  <c r="K103"/>
  <c r="J103"/>
  <c r="I103"/>
  <c r="H103"/>
  <c r="G103"/>
  <c r="F103"/>
  <c r="E103"/>
  <c r="D103"/>
  <c r="C103"/>
  <c r="G96"/>
  <c r="F96"/>
  <c r="E96"/>
  <c r="D96"/>
  <c r="C96"/>
  <c r="B96"/>
  <c r="F94"/>
  <c r="F93"/>
  <c r="F92"/>
  <c r="E89"/>
  <c r="D89"/>
  <c r="C89"/>
  <c r="B89"/>
  <c r="F88"/>
  <c r="E88"/>
  <c r="D88"/>
  <c r="C88"/>
  <c r="B88"/>
  <c r="E87"/>
  <c r="D87"/>
  <c r="C87"/>
  <c r="B87"/>
  <c r="Q58"/>
  <c r="Q32" s="1"/>
  <c r="P58"/>
  <c r="P32" s="1"/>
  <c r="O58"/>
  <c r="O33" s="1"/>
  <c r="N58"/>
  <c r="N32" s="1"/>
  <c r="M58"/>
  <c r="M32" s="1"/>
  <c r="L58"/>
  <c r="L32" s="1"/>
  <c r="K58"/>
  <c r="K33" s="1"/>
  <c r="J58"/>
  <c r="I58"/>
  <c r="I32" s="1"/>
  <c r="H58"/>
  <c r="H32" s="1"/>
  <c r="G58"/>
  <c r="F58"/>
  <c r="E58"/>
  <c r="D58"/>
  <c r="C58"/>
  <c r="B58"/>
  <c r="Q44"/>
  <c r="Q14" s="1"/>
  <c r="P44"/>
  <c r="P14" s="1"/>
  <c r="O44"/>
  <c r="O14" s="1"/>
  <c r="N44"/>
  <c r="N14" s="1"/>
  <c r="M44"/>
  <c r="M14" s="1"/>
  <c r="L44"/>
  <c r="K44"/>
  <c r="J44"/>
  <c r="I44"/>
  <c r="I14" s="1"/>
  <c r="H44"/>
  <c r="G44"/>
  <c r="F44"/>
  <c r="E44"/>
  <c r="D44"/>
  <c r="C44"/>
  <c r="B44"/>
  <c r="Q38"/>
  <c r="P38"/>
  <c r="O38"/>
  <c r="N38"/>
  <c r="M38"/>
  <c r="L38"/>
  <c r="K38"/>
  <c r="J38"/>
  <c r="I38"/>
  <c r="H38"/>
  <c r="G38"/>
  <c r="F38"/>
  <c r="E38"/>
  <c r="D38"/>
  <c r="C38"/>
  <c r="B38"/>
  <c r="M33"/>
  <c r="J31"/>
  <c r="I31"/>
  <c r="R30"/>
  <c r="F25"/>
  <c r="E25"/>
  <c r="D25"/>
  <c r="C25"/>
  <c r="H24"/>
  <c r="H23"/>
  <c r="I23" s="1"/>
  <c r="J23" s="1"/>
  <c r="K23" s="1"/>
  <c r="L23" s="1"/>
  <c r="M23" s="1"/>
  <c r="N23" s="1"/>
  <c r="O23" s="1"/>
  <c r="P23" s="1"/>
  <c r="H22"/>
  <c r="I22" s="1"/>
  <c r="J22" s="1"/>
  <c r="E53" i="10" s="1"/>
  <c r="D53" s="1"/>
  <c r="H21" i="1"/>
  <c r="H25" s="1"/>
  <c r="H20"/>
  <c r="I20" s="1"/>
  <c r="J20" s="1"/>
  <c r="K20" s="1"/>
  <c r="L20" s="1"/>
  <c r="M20" s="1"/>
  <c r="N20" s="1"/>
  <c r="O20" s="1"/>
  <c r="P20" s="1"/>
  <c r="Q11"/>
  <c r="P11"/>
  <c r="O11"/>
  <c r="N11"/>
  <c r="M11"/>
  <c r="L11"/>
  <c r="K11"/>
  <c r="J11"/>
  <c r="I11"/>
  <c r="H11"/>
  <c r="G11"/>
  <c r="F11"/>
  <c r="E11"/>
  <c r="D11"/>
  <c r="C11"/>
  <c r="B11"/>
  <c r="E6"/>
  <c r="E5"/>
  <c r="F3"/>
  <c r="C173" i="25"/>
  <c r="R12"/>
  <c r="Q78" i="1" s="1"/>
  <c r="Q12" i="25"/>
  <c r="P78" i="1" s="1"/>
  <c r="P12" i="25"/>
  <c r="O12"/>
  <c r="N12"/>
  <c r="M12"/>
  <c r="L78" i="1" s="1"/>
  <c r="L12" i="25"/>
  <c r="K78" i="1" s="1"/>
  <c r="J78" s="1"/>
  <c r="K12" i="25"/>
  <c r="J12"/>
  <c r="I12"/>
  <c r="H78" i="1" s="1"/>
  <c r="H12" i="25"/>
  <c r="G78" i="1" s="1"/>
  <c r="G12" i="25"/>
  <c r="F78" i="1" s="1"/>
  <c r="F12" i="25"/>
  <c r="E12"/>
  <c r="D12"/>
  <c r="C78" i="1" s="1"/>
  <c r="C12" i="25"/>
  <c r="B78" i="1" s="1"/>
  <c r="R7" i="25"/>
  <c r="Q7"/>
  <c r="P7"/>
  <c r="O7"/>
  <c r="N7"/>
  <c r="M7"/>
  <c r="L7"/>
  <c r="K7"/>
  <c r="J7"/>
  <c r="I7"/>
  <c r="H7"/>
  <c r="G7"/>
  <c r="F7"/>
  <c r="E7"/>
  <c r="D7"/>
  <c r="B7"/>
  <c r="R3"/>
  <c r="Q3"/>
  <c r="P3"/>
  <c r="O3"/>
  <c r="N3"/>
  <c r="M3"/>
  <c r="L3"/>
  <c r="K3"/>
  <c r="J3"/>
  <c r="I3"/>
  <c r="H3"/>
  <c r="G3"/>
  <c r="F3"/>
  <c r="E3"/>
  <c r="D3"/>
  <c r="C3"/>
  <c r="Q189" i="4"/>
  <c r="P189"/>
  <c r="O189"/>
  <c r="N189"/>
  <c r="M189"/>
  <c r="L189"/>
  <c r="K189"/>
  <c r="J189"/>
  <c r="I189"/>
  <c r="H189"/>
  <c r="G189"/>
  <c r="F189"/>
  <c r="E189"/>
  <c r="D189"/>
  <c r="C189"/>
  <c r="Q188"/>
  <c r="P188"/>
  <c r="O188"/>
  <c r="N188"/>
  <c r="M188"/>
  <c r="L188"/>
  <c r="K188"/>
  <c r="J188"/>
  <c r="I188"/>
  <c r="H188"/>
  <c r="G188"/>
  <c r="F188"/>
  <c r="E188"/>
  <c r="D188"/>
  <c r="C188"/>
  <c r="Q187"/>
  <c r="P187"/>
  <c r="O187"/>
  <c r="N187"/>
  <c r="M187"/>
  <c r="L187"/>
  <c r="K187"/>
  <c r="J187"/>
  <c r="I187"/>
  <c r="H187"/>
  <c r="G187"/>
  <c r="F187"/>
  <c r="E187"/>
  <c r="D187"/>
  <c r="C187"/>
  <c r="Q186"/>
  <c r="P186"/>
  <c r="O186"/>
  <c r="N186"/>
  <c r="M186"/>
  <c r="L186"/>
  <c r="K186"/>
  <c r="J186"/>
  <c r="I186"/>
  <c r="H186"/>
  <c r="G186"/>
  <c r="F186"/>
  <c r="E186"/>
  <c r="D186"/>
  <c r="C186"/>
  <c r="Q185"/>
  <c r="P185"/>
  <c r="O185"/>
  <c r="N185"/>
  <c r="M185"/>
  <c r="L185"/>
  <c r="K185"/>
  <c r="J185"/>
  <c r="I185"/>
  <c r="H185"/>
  <c r="G185"/>
  <c r="F185"/>
  <c r="E185"/>
  <c r="D185"/>
  <c r="C185"/>
  <c r="Q184"/>
  <c r="P184"/>
  <c r="O184"/>
  <c r="N184"/>
  <c r="M184"/>
  <c r="L184"/>
  <c r="K184"/>
  <c r="J184"/>
  <c r="I184"/>
  <c r="H184"/>
  <c r="G184"/>
  <c r="F184"/>
  <c r="E184"/>
  <c r="D184"/>
  <c r="C184"/>
  <c r="Q183"/>
  <c r="P183"/>
  <c r="O183"/>
  <c r="N183"/>
  <c r="M183"/>
  <c r="L183"/>
  <c r="K183"/>
  <c r="J183"/>
  <c r="I183"/>
  <c r="H183"/>
  <c r="G183"/>
  <c r="F183"/>
  <c r="E183"/>
  <c r="D183"/>
  <c r="C183"/>
  <c r="Q182"/>
  <c r="P182"/>
  <c r="O182"/>
  <c r="N182"/>
  <c r="M182"/>
  <c r="L182"/>
  <c r="K182"/>
  <c r="J182"/>
  <c r="I182"/>
  <c r="H182"/>
  <c r="G182"/>
  <c r="F182"/>
  <c r="E182"/>
  <c r="D182"/>
  <c r="C182"/>
  <c r="Q181"/>
  <c r="P181"/>
  <c r="O181"/>
  <c r="N181"/>
  <c r="M181"/>
  <c r="L181"/>
  <c r="K181"/>
  <c r="J181"/>
  <c r="I181"/>
  <c r="H181"/>
  <c r="G181"/>
  <c r="F181"/>
  <c r="E181"/>
  <c r="D181"/>
  <c r="C181"/>
  <c r="Q180"/>
  <c r="P180"/>
  <c r="O180"/>
  <c r="N180"/>
  <c r="M180"/>
  <c r="L180"/>
  <c r="K180"/>
  <c r="J180"/>
  <c r="I180"/>
  <c r="H180"/>
  <c r="G180"/>
  <c r="F180"/>
  <c r="E180"/>
  <c r="D180"/>
  <c r="C180"/>
  <c r="Q179"/>
  <c r="P179"/>
  <c r="O179"/>
  <c r="N179"/>
  <c r="M179"/>
  <c r="L179"/>
  <c r="K179"/>
  <c r="J179"/>
  <c r="I179"/>
  <c r="H179"/>
  <c r="G179"/>
  <c r="F179"/>
  <c r="E179"/>
  <c r="D179"/>
  <c r="C179"/>
  <c r="Q170"/>
  <c r="P170"/>
  <c r="O170"/>
  <c r="N170"/>
  <c r="M170"/>
  <c r="L170"/>
  <c r="K170"/>
  <c r="J170"/>
  <c r="I170"/>
  <c r="H170"/>
  <c r="G170"/>
  <c r="F170"/>
  <c r="E170"/>
  <c r="D170"/>
  <c r="C170"/>
  <c r="Q169"/>
  <c r="P169"/>
  <c r="O169"/>
  <c r="N169"/>
  <c r="M169"/>
  <c r="L169"/>
  <c r="K169"/>
  <c r="J169"/>
  <c r="I169"/>
  <c r="H169"/>
  <c r="G169"/>
  <c r="F169"/>
  <c r="E169"/>
  <c r="D169"/>
  <c r="C169"/>
  <c r="Q168"/>
  <c r="P168"/>
  <c r="O168"/>
  <c r="N168"/>
  <c r="M168"/>
  <c r="L168"/>
  <c r="K168"/>
  <c r="J168"/>
  <c r="I168"/>
  <c r="H168"/>
  <c r="G168"/>
  <c r="F168"/>
  <c r="E168"/>
  <c r="D168"/>
  <c r="C168"/>
  <c r="Q167"/>
  <c r="P167"/>
  <c r="O167"/>
  <c r="N167"/>
  <c r="M167"/>
  <c r="L167"/>
  <c r="K167"/>
  <c r="J167"/>
  <c r="I167"/>
  <c r="H167"/>
  <c r="G167"/>
  <c r="F167"/>
  <c r="E167"/>
  <c r="D167"/>
  <c r="C167"/>
  <c r="Q166"/>
  <c r="P166"/>
  <c r="O166"/>
  <c r="N166"/>
  <c r="M166"/>
  <c r="L166"/>
  <c r="K166"/>
  <c r="J166"/>
  <c r="I166"/>
  <c r="H166"/>
  <c r="G166"/>
  <c r="F166"/>
  <c r="E166"/>
  <c r="D166"/>
  <c r="C166"/>
  <c r="Q165"/>
  <c r="P165"/>
  <c r="O165"/>
  <c r="N165"/>
  <c r="M165"/>
  <c r="L165"/>
  <c r="K165"/>
  <c r="J165"/>
  <c r="I165"/>
  <c r="H165"/>
  <c r="G165"/>
  <c r="F165"/>
  <c r="E165"/>
  <c r="D165"/>
  <c r="C165"/>
  <c r="Q164"/>
  <c r="P164"/>
  <c r="O164"/>
  <c r="N164"/>
  <c r="M164"/>
  <c r="L164"/>
  <c r="K164"/>
  <c r="J164"/>
  <c r="I164"/>
  <c r="H164"/>
  <c r="G164"/>
  <c r="F164"/>
  <c r="E164"/>
  <c r="D164"/>
  <c r="C164"/>
  <c r="Q163"/>
  <c r="P163"/>
  <c r="O163"/>
  <c r="N163"/>
  <c r="M163"/>
  <c r="L163"/>
  <c r="K163"/>
  <c r="J163"/>
  <c r="I163"/>
  <c r="H163"/>
  <c r="G163"/>
  <c r="F163"/>
  <c r="E163"/>
  <c r="D163"/>
  <c r="C163"/>
  <c r="Q162"/>
  <c r="P162"/>
  <c r="O162"/>
  <c r="N162"/>
  <c r="M162"/>
  <c r="L162"/>
  <c r="K162"/>
  <c r="J162"/>
  <c r="I162"/>
  <c r="H162"/>
  <c r="G162"/>
  <c r="F162"/>
  <c r="E162"/>
  <c r="D162"/>
  <c r="C162"/>
  <c r="Q161"/>
  <c r="P161"/>
  <c r="O161"/>
  <c r="N161"/>
  <c r="M161"/>
  <c r="L161"/>
  <c r="K161"/>
  <c r="J161"/>
  <c r="I161"/>
  <c r="H161"/>
  <c r="G161"/>
  <c r="F161"/>
  <c r="E161"/>
  <c r="D161"/>
  <c r="C161"/>
  <c r="Q160"/>
  <c r="P160"/>
  <c r="O160"/>
  <c r="N160"/>
  <c r="M160"/>
  <c r="L160"/>
  <c r="K160"/>
  <c r="J160"/>
  <c r="I160"/>
  <c r="H160"/>
  <c r="G160"/>
  <c r="F160"/>
  <c r="E160"/>
  <c r="D160"/>
  <c r="C160"/>
  <c r="Q159"/>
  <c r="P159"/>
  <c r="O159"/>
  <c r="N159"/>
  <c r="M159"/>
  <c r="L159"/>
  <c r="K159"/>
  <c r="J159"/>
  <c r="I159"/>
  <c r="H159"/>
  <c r="G159"/>
  <c r="F159"/>
  <c r="E159"/>
  <c r="D159"/>
  <c r="C159"/>
  <c r="Q158"/>
  <c r="P158"/>
  <c r="O158"/>
  <c r="N158"/>
  <c r="M158"/>
  <c r="L158"/>
  <c r="K158"/>
  <c r="J158"/>
  <c r="I158"/>
  <c r="H158"/>
  <c r="G158"/>
  <c r="F158"/>
  <c r="E158"/>
  <c r="D158"/>
  <c r="C158"/>
  <c r="Q157"/>
  <c r="P157"/>
  <c r="O157"/>
  <c r="N157"/>
  <c r="M157"/>
  <c r="L157"/>
  <c r="K157"/>
  <c r="J157"/>
  <c r="I157"/>
  <c r="H157"/>
  <c r="G157"/>
  <c r="F157"/>
  <c r="E157"/>
  <c r="D157"/>
  <c r="C157"/>
  <c r="Q156"/>
  <c r="P156"/>
  <c r="O156"/>
  <c r="N156"/>
  <c r="M156"/>
  <c r="L156"/>
  <c r="K156"/>
  <c r="J156"/>
  <c r="I156"/>
  <c r="H156"/>
  <c r="G156"/>
  <c r="F156"/>
  <c r="E156"/>
  <c r="D156"/>
  <c r="C156"/>
  <c r="Q150"/>
  <c r="P150"/>
  <c r="O150"/>
  <c r="N150"/>
  <c r="M150"/>
  <c r="L150"/>
  <c r="K150"/>
  <c r="J150"/>
  <c r="I150"/>
  <c r="H150"/>
  <c r="G150"/>
  <c r="F150"/>
  <c r="E150"/>
  <c r="D150"/>
  <c r="C150"/>
  <c r="Q149"/>
  <c r="P149"/>
  <c r="O149"/>
  <c r="N149"/>
  <c r="M149"/>
  <c r="L149"/>
  <c r="K149"/>
  <c r="J149"/>
  <c r="I149"/>
  <c r="H149"/>
  <c r="G149"/>
  <c r="F149"/>
  <c r="E149"/>
  <c r="D149"/>
  <c r="C149"/>
  <c r="Q148"/>
  <c r="P148"/>
  <c r="O148"/>
  <c r="N148"/>
  <c r="M148"/>
  <c r="L148"/>
  <c r="K148"/>
  <c r="J148"/>
  <c r="I148"/>
  <c r="H148"/>
  <c r="G148"/>
  <c r="F148"/>
  <c r="E148"/>
  <c r="D148"/>
  <c r="C148"/>
  <c r="Q147"/>
  <c r="P147"/>
  <c r="O147"/>
  <c r="N147"/>
  <c r="M147"/>
  <c r="L147"/>
  <c r="K147"/>
  <c r="J147"/>
  <c r="I147"/>
  <c r="H147"/>
  <c r="G147"/>
  <c r="F147"/>
  <c r="E147"/>
  <c r="D147"/>
  <c r="C147"/>
  <c r="Q146"/>
  <c r="P146"/>
  <c r="O146"/>
  <c r="N146"/>
  <c r="M146"/>
  <c r="L146"/>
  <c r="K146"/>
  <c r="J146"/>
  <c r="I146"/>
  <c r="H146"/>
  <c r="G146"/>
  <c r="F146"/>
  <c r="E146"/>
  <c r="D146"/>
  <c r="C146"/>
  <c r="Q145"/>
  <c r="P145"/>
  <c r="O145"/>
  <c r="N145"/>
  <c r="M145"/>
  <c r="L145"/>
  <c r="K145"/>
  <c r="J145"/>
  <c r="I145"/>
  <c r="H145"/>
  <c r="G145"/>
  <c r="F145"/>
  <c r="E145"/>
  <c r="D145"/>
  <c r="C145"/>
  <c r="Q144"/>
  <c r="P144"/>
  <c r="O144"/>
  <c r="N144"/>
  <c r="M144"/>
  <c r="L144"/>
  <c r="K144"/>
  <c r="J144"/>
  <c r="I144"/>
  <c r="H144"/>
  <c r="G144"/>
  <c r="F144"/>
  <c r="E144"/>
  <c r="D144"/>
  <c r="C144"/>
  <c r="Q143"/>
  <c r="P143"/>
  <c r="O143"/>
  <c r="N143"/>
  <c r="M143"/>
  <c r="L143"/>
  <c r="K143"/>
  <c r="J143"/>
  <c r="I143"/>
  <c r="H143"/>
  <c r="G143"/>
  <c r="F143"/>
  <c r="E143"/>
  <c r="D143"/>
  <c r="C143"/>
  <c r="Q142"/>
  <c r="P142"/>
  <c r="O142"/>
  <c r="N142"/>
  <c r="M142"/>
  <c r="L142"/>
  <c r="K142"/>
  <c r="J142"/>
  <c r="I142"/>
  <c r="H142"/>
  <c r="G142"/>
  <c r="F142"/>
  <c r="E142"/>
  <c r="D142"/>
  <c r="C142"/>
  <c r="Q141"/>
  <c r="P141"/>
  <c r="O141"/>
  <c r="N141"/>
  <c r="M141"/>
  <c r="L141"/>
  <c r="K141"/>
  <c r="J141"/>
  <c r="I141"/>
  <c r="H141"/>
  <c r="G141"/>
  <c r="F141"/>
  <c r="E141"/>
  <c r="D141"/>
  <c r="C141"/>
  <c r="Q140"/>
  <c r="P140"/>
  <c r="O140"/>
  <c r="N140"/>
  <c r="M140"/>
  <c r="L140"/>
  <c r="K140"/>
  <c r="J140"/>
  <c r="I140"/>
  <c r="H140"/>
  <c r="G140"/>
  <c r="F140"/>
  <c r="E140"/>
  <c r="D140"/>
  <c r="C140"/>
  <c r="Q139"/>
  <c r="P139"/>
  <c r="O139"/>
  <c r="N139"/>
  <c r="M139"/>
  <c r="L139"/>
  <c r="K139"/>
  <c r="J139"/>
  <c r="I139"/>
  <c r="H139"/>
  <c r="G139"/>
  <c r="F139"/>
  <c r="E139"/>
  <c r="D139"/>
  <c r="C139"/>
  <c r="Q138"/>
  <c r="P138"/>
  <c r="O138"/>
  <c r="N138"/>
  <c r="M138"/>
  <c r="L138"/>
  <c r="K138"/>
  <c r="J138"/>
  <c r="I138"/>
  <c r="H138"/>
  <c r="G138"/>
  <c r="F138"/>
  <c r="E138"/>
  <c r="D138"/>
  <c r="C138"/>
  <c r="Q137"/>
  <c r="P137"/>
  <c r="O137"/>
  <c r="N137"/>
  <c r="M137"/>
  <c r="L137"/>
  <c r="K137"/>
  <c r="J137"/>
  <c r="I137"/>
  <c r="H137"/>
  <c r="G137"/>
  <c r="F137"/>
  <c r="E137"/>
  <c r="D137"/>
  <c r="C137"/>
  <c r="Q136"/>
  <c r="P136"/>
  <c r="O136"/>
  <c r="N136"/>
  <c r="M136"/>
  <c r="L136"/>
  <c r="K136"/>
  <c r="J136"/>
  <c r="I136"/>
  <c r="H136"/>
  <c r="G136"/>
  <c r="F136"/>
  <c r="E136"/>
  <c r="D136"/>
  <c r="C136"/>
  <c r="Q114"/>
  <c r="P114"/>
  <c r="Q178" s="1"/>
  <c r="O114"/>
  <c r="P178" s="1"/>
  <c r="N114"/>
  <c r="O178" s="1"/>
  <c r="M114"/>
  <c r="N178" s="1"/>
  <c r="L114"/>
  <c r="M178" s="1"/>
  <c r="K114"/>
  <c r="L178" s="1"/>
  <c r="J114"/>
  <c r="K178" s="1"/>
  <c r="I114"/>
  <c r="J178" s="1"/>
  <c r="H114"/>
  <c r="I178" s="1"/>
  <c r="G114"/>
  <c r="H178" s="1"/>
  <c r="F114"/>
  <c r="G178" s="1"/>
  <c r="E114"/>
  <c r="F178" s="1"/>
  <c r="D114"/>
  <c r="E178" s="1"/>
  <c r="C114"/>
  <c r="D178" s="1"/>
  <c r="B114"/>
  <c r="C178" s="1"/>
  <c r="Q113"/>
  <c r="P113"/>
  <c r="O113"/>
  <c r="N113"/>
  <c r="M113"/>
  <c r="L113"/>
  <c r="K113"/>
  <c r="J113"/>
  <c r="I113"/>
  <c r="H113"/>
  <c r="G113"/>
  <c r="F113"/>
  <c r="E113"/>
  <c r="D113"/>
  <c r="C113"/>
  <c r="B113"/>
  <c r="Q112"/>
  <c r="Q126" s="1"/>
  <c r="P112"/>
  <c r="P126" s="1"/>
  <c r="Q190" s="1"/>
  <c r="P190" s="1"/>
  <c r="O112"/>
  <c r="O126" s="1"/>
  <c r="N112"/>
  <c r="N126" s="1"/>
  <c r="M112"/>
  <c r="M126" s="1"/>
  <c r="L112"/>
  <c r="L126" s="1"/>
  <c r="M190" s="1"/>
  <c r="L190" s="1"/>
  <c r="K112"/>
  <c r="K126" s="1"/>
  <c r="J112"/>
  <c r="J126" s="1"/>
  <c r="I112"/>
  <c r="I126" s="1"/>
  <c r="H112"/>
  <c r="H126" s="1"/>
  <c r="I190" s="1"/>
  <c r="G112"/>
  <c r="G126" s="1"/>
  <c r="F112"/>
  <c r="F126" s="1"/>
  <c r="E112"/>
  <c r="E126" s="1"/>
  <c r="D112"/>
  <c r="D126" s="1"/>
  <c r="E190" s="1"/>
  <c r="C112"/>
  <c r="C126" s="1"/>
  <c r="B112"/>
  <c r="B126" s="1"/>
  <c r="C190" s="1"/>
  <c r="F60"/>
  <c r="F59"/>
  <c r="F58"/>
  <c r="F57"/>
  <c r="F56"/>
  <c r="F55"/>
  <c r="F54"/>
  <c r="F53"/>
  <c r="F52"/>
  <c r="F51"/>
  <c r="F50"/>
  <c r="C49"/>
  <c r="D49" s="1"/>
  <c r="C48"/>
  <c r="C47"/>
  <c r="G40"/>
  <c r="H40" s="1"/>
  <c r="I40" s="1"/>
  <c r="J40" s="1"/>
  <c r="E40"/>
  <c r="D40" s="1"/>
  <c r="E39"/>
  <c r="D39" s="1"/>
  <c r="C39" s="1"/>
  <c r="B39" s="1"/>
  <c r="G38"/>
  <c r="E38"/>
  <c r="D38" s="1"/>
  <c r="C38" s="1"/>
  <c r="G37"/>
  <c r="E37"/>
  <c r="D37" s="1"/>
  <c r="C37" s="1"/>
  <c r="B37" s="1"/>
  <c r="G36"/>
  <c r="H36" s="1"/>
  <c r="E36"/>
  <c r="D36" s="1"/>
  <c r="C36" s="1"/>
  <c r="B36" s="1"/>
  <c r="G35"/>
  <c r="H35" s="1"/>
  <c r="E35"/>
  <c r="D35" s="1"/>
  <c r="C35" s="1"/>
  <c r="B35" s="1"/>
  <c r="G34"/>
  <c r="E34"/>
  <c r="D34" s="1"/>
  <c r="C34" s="1"/>
  <c r="G33"/>
  <c r="E33"/>
  <c r="D33" s="1"/>
  <c r="C33" s="1"/>
  <c r="B33" s="1"/>
  <c r="G32"/>
  <c r="H32" s="1"/>
  <c r="E32"/>
  <c r="D32" s="1"/>
  <c r="C32" s="1"/>
  <c r="G31"/>
  <c r="H31" s="1"/>
  <c r="I31" s="1"/>
  <c r="J31" s="1"/>
  <c r="E31"/>
  <c r="D31" s="1"/>
  <c r="C31" s="1"/>
  <c r="B31" s="1"/>
  <c r="G30"/>
  <c r="H30" s="1"/>
  <c r="I30" s="1"/>
  <c r="J30" s="1"/>
  <c r="K30" s="1"/>
  <c r="E30"/>
  <c r="D30" s="1"/>
  <c r="C30" s="1"/>
  <c r="B30" s="1"/>
  <c r="C29"/>
  <c r="D29" s="1"/>
  <c r="C28"/>
  <c r="C27"/>
  <c r="G20"/>
  <c r="G60" s="1"/>
  <c r="E20"/>
  <c r="E60" s="1"/>
  <c r="G19"/>
  <c r="H19" s="1"/>
  <c r="I19" s="1"/>
  <c r="E19"/>
  <c r="E59" s="1"/>
  <c r="G18"/>
  <c r="G58" s="1"/>
  <c r="E18"/>
  <c r="E58" s="1"/>
  <c r="G17"/>
  <c r="G57" s="1"/>
  <c r="E17"/>
  <c r="E57" s="1"/>
  <c r="D17"/>
  <c r="G16"/>
  <c r="G56" s="1"/>
  <c r="E16"/>
  <c r="E56" s="1"/>
  <c r="G15"/>
  <c r="G55" s="1"/>
  <c r="E15"/>
  <c r="D15" s="1"/>
  <c r="G14"/>
  <c r="G54" s="1"/>
  <c r="E14"/>
  <c r="E54" s="1"/>
  <c r="G13"/>
  <c r="H13" s="1"/>
  <c r="E13"/>
  <c r="D13" s="1"/>
  <c r="D53" s="1"/>
  <c r="G12"/>
  <c r="G52" s="1"/>
  <c r="E12"/>
  <c r="D12" s="1"/>
  <c r="D52" s="1"/>
  <c r="G11"/>
  <c r="G51" s="1"/>
  <c r="E11"/>
  <c r="D11" s="1"/>
  <c r="D51" s="1"/>
  <c r="G10"/>
  <c r="G50" s="1"/>
  <c r="E10"/>
  <c r="E50" s="1"/>
  <c r="D10"/>
  <c r="D50" s="1"/>
  <c r="C9"/>
  <c r="C8"/>
  <c r="C7"/>
  <c r="Q1021" i="2"/>
  <c r="P1021"/>
  <c r="O1021"/>
  <c r="N1021"/>
  <c r="M1021"/>
  <c r="L1021"/>
  <c r="K1021"/>
  <c r="J1021"/>
  <c r="I1021"/>
  <c r="H1021"/>
  <c r="G1021"/>
  <c r="F1021"/>
  <c r="E1021"/>
  <c r="D1021"/>
  <c r="C1021"/>
  <c r="Q1020"/>
  <c r="P1020"/>
  <c r="O1020"/>
  <c r="N1020"/>
  <c r="M1020"/>
  <c r="L1020"/>
  <c r="K1020"/>
  <c r="J1020"/>
  <c r="I1020"/>
  <c r="H1020"/>
  <c r="G1020"/>
  <c r="F1020"/>
  <c r="E1020"/>
  <c r="D1020"/>
  <c r="C1020"/>
  <c r="Q1019"/>
  <c r="P1019"/>
  <c r="O1019"/>
  <c r="N1019"/>
  <c r="M1019"/>
  <c r="L1019"/>
  <c r="K1019"/>
  <c r="J1019"/>
  <c r="I1019"/>
  <c r="H1019"/>
  <c r="G1019"/>
  <c r="F1019"/>
  <c r="E1019"/>
  <c r="D1019"/>
  <c r="C1019"/>
  <c r="Q1018"/>
  <c r="P1018"/>
  <c r="O1018"/>
  <c r="N1018"/>
  <c r="M1018"/>
  <c r="L1018"/>
  <c r="K1018"/>
  <c r="J1018"/>
  <c r="I1018"/>
  <c r="H1018"/>
  <c r="G1018"/>
  <c r="F1018"/>
  <c r="E1018"/>
  <c r="D1018"/>
  <c r="C1018"/>
  <c r="Q1017"/>
  <c r="P1017"/>
  <c r="O1017"/>
  <c r="N1017"/>
  <c r="M1017"/>
  <c r="L1017"/>
  <c r="K1017"/>
  <c r="J1017"/>
  <c r="I1017"/>
  <c r="H1017"/>
  <c r="G1017"/>
  <c r="F1017"/>
  <c r="E1017"/>
  <c r="D1017"/>
  <c r="C1017"/>
  <c r="Q1016"/>
  <c r="P1016"/>
  <c r="O1016"/>
  <c r="N1016"/>
  <c r="M1016"/>
  <c r="L1016"/>
  <c r="K1016"/>
  <c r="J1016"/>
  <c r="I1016"/>
  <c r="H1016"/>
  <c r="G1016"/>
  <c r="F1016"/>
  <c r="E1016"/>
  <c r="D1016"/>
  <c r="C1016"/>
  <c r="Q1015"/>
  <c r="P1015"/>
  <c r="O1015"/>
  <c r="N1015"/>
  <c r="M1015"/>
  <c r="L1015"/>
  <c r="K1015"/>
  <c r="J1015"/>
  <c r="I1015"/>
  <c r="H1015"/>
  <c r="G1015"/>
  <c r="F1015"/>
  <c r="E1015"/>
  <c r="D1015"/>
  <c r="C1015"/>
  <c r="Q1014"/>
  <c r="P1014"/>
  <c r="O1014"/>
  <c r="N1014"/>
  <c r="M1014"/>
  <c r="L1014"/>
  <c r="K1014"/>
  <c r="J1014"/>
  <c r="I1014"/>
  <c r="H1014"/>
  <c r="G1014"/>
  <c r="F1014"/>
  <c r="E1014"/>
  <c r="D1014"/>
  <c r="C1014"/>
  <c r="Q1013"/>
  <c r="P1013"/>
  <c r="O1013"/>
  <c r="N1013"/>
  <c r="M1013"/>
  <c r="L1013"/>
  <c r="K1013"/>
  <c r="J1013"/>
  <c r="I1013"/>
  <c r="H1013"/>
  <c r="G1013"/>
  <c r="F1013"/>
  <c r="E1013"/>
  <c r="D1013"/>
  <c r="C1013"/>
  <c r="Q1012"/>
  <c r="P1012"/>
  <c r="O1012"/>
  <c r="N1012"/>
  <c r="M1012"/>
  <c r="L1012"/>
  <c r="K1012"/>
  <c r="J1012"/>
  <c r="I1012"/>
  <c r="H1012"/>
  <c r="G1012"/>
  <c r="F1012"/>
  <c r="E1012"/>
  <c r="D1012"/>
  <c r="C1012"/>
  <c r="Q1011"/>
  <c r="P1011"/>
  <c r="O1011"/>
  <c r="N1011"/>
  <c r="M1011"/>
  <c r="L1011"/>
  <c r="K1011"/>
  <c r="J1011"/>
  <c r="I1011"/>
  <c r="H1011"/>
  <c r="G1011"/>
  <c r="F1011"/>
  <c r="E1011"/>
  <c r="D1011"/>
  <c r="C1011"/>
  <c r="Q1010"/>
  <c r="P1010"/>
  <c r="O1010"/>
  <c r="N1010"/>
  <c r="M1010"/>
  <c r="L1010"/>
  <c r="K1010"/>
  <c r="J1010"/>
  <c r="I1010"/>
  <c r="H1010"/>
  <c r="G1010"/>
  <c r="F1010"/>
  <c r="E1010"/>
  <c r="D1010"/>
  <c r="C1010"/>
  <c r="Q1009"/>
  <c r="P1009"/>
  <c r="O1009"/>
  <c r="N1009"/>
  <c r="M1009"/>
  <c r="L1009"/>
  <c r="K1009"/>
  <c r="J1009"/>
  <c r="I1009"/>
  <c r="H1009"/>
  <c r="G1009"/>
  <c r="F1009"/>
  <c r="E1009"/>
  <c r="D1009"/>
  <c r="C1009"/>
  <c r="Q1008"/>
  <c r="P1008"/>
  <c r="O1008"/>
  <c r="N1008"/>
  <c r="M1008"/>
  <c r="L1008"/>
  <c r="K1008"/>
  <c r="J1008"/>
  <c r="I1008"/>
  <c r="H1008"/>
  <c r="G1008"/>
  <c r="F1008"/>
  <c r="E1008"/>
  <c r="D1008"/>
  <c r="C1008"/>
  <c r="Q1007"/>
  <c r="P1007"/>
  <c r="O1007"/>
  <c r="N1007"/>
  <c r="M1007"/>
  <c r="L1007"/>
  <c r="K1007"/>
  <c r="J1007"/>
  <c r="I1007"/>
  <c r="H1007"/>
  <c r="G1007"/>
  <c r="F1007"/>
  <c r="E1007"/>
  <c r="D1007"/>
  <c r="C1007"/>
  <c r="Q1006"/>
  <c r="P1006"/>
  <c r="O1006"/>
  <c r="N1006"/>
  <c r="M1006"/>
  <c r="L1006"/>
  <c r="K1006"/>
  <c r="J1006"/>
  <c r="I1006"/>
  <c r="H1006"/>
  <c r="G1006"/>
  <c r="F1006"/>
  <c r="E1006"/>
  <c r="D1006"/>
  <c r="C1006"/>
  <c r="Q1005"/>
  <c r="P1005"/>
  <c r="O1005"/>
  <c r="N1005"/>
  <c r="M1005"/>
  <c r="L1005"/>
  <c r="K1005"/>
  <c r="J1005"/>
  <c r="I1005"/>
  <c r="H1005"/>
  <c r="G1005"/>
  <c r="F1005"/>
  <c r="E1005"/>
  <c r="D1005"/>
  <c r="C1005"/>
  <c r="Q1004"/>
  <c r="P1004"/>
  <c r="O1004"/>
  <c r="N1004"/>
  <c r="M1004"/>
  <c r="L1004"/>
  <c r="K1004"/>
  <c r="J1004"/>
  <c r="I1004"/>
  <c r="H1004"/>
  <c r="G1004"/>
  <c r="F1004"/>
  <c r="E1004"/>
  <c r="D1004"/>
  <c r="C1004"/>
  <c r="Q1003"/>
  <c r="P1003"/>
  <c r="O1003"/>
  <c r="N1003"/>
  <c r="M1003"/>
  <c r="L1003"/>
  <c r="K1003"/>
  <c r="J1003"/>
  <c r="I1003"/>
  <c r="H1003"/>
  <c r="G1003"/>
  <c r="F1003"/>
  <c r="E1003"/>
  <c r="D1003"/>
  <c r="C1003"/>
  <c r="Q1002"/>
  <c r="P1002"/>
  <c r="O1002"/>
  <c r="N1002"/>
  <c r="M1002"/>
  <c r="L1002"/>
  <c r="K1002"/>
  <c r="J1002"/>
  <c r="I1002"/>
  <c r="H1002"/>
  <c r="G1002"/>
  <c r="F1002"/>
  <c r="E1002"/>
  <c r="D1002"/>
  <c r="C1002"/>
  <c r="Q1001"/>
  <c r="P1001"/>
  <c r="O1001"/>
  <c r="N1001"/>
  <c r="M1001"/>
  <c r="L1001"/>
  <c r="K1001"/>
  <c r="J1001"/>
  <c r="I1001"/>
  <c r="H1001"/>
  <c r="G1001"/>
  <c r="F1001"/>
  <c r="E1001"/>
  <c r="D1001"/>
  <c r="C1001"/>
  <c r="Q1000"/>
  <c r="P1000"/>
  <c r="O1000"/>
  <c r="N1000"/>
  <c r="M1000"/>
  <c r="L1000"/>
  <c r="K1000"/>
  <c r="J1000"/>
  <c r="I1000"/>
  <c r="H1000"/>
  <c r="G1000"/>
  <c r="F1000"/>
  <c r="E1000"/>
  <c r="D1000"/>
  <c r="C1000"/>
  <c r="Q999"/>
  <c r="P999"/>
  <c r="O999"/>
  <c r="N999"/>
  <c r="M999"/>
  <c r="L999"/>
  <c r="K999"/>
  <c r="J999"/>
  <c r="I999"/>
  <c r="H999"/>
  <c r="G999"/>
  <c r="F999"/>
  <c r="E999"/>
  <c r="D999"/>
  <c r="C999"/>
  <c r="Q998"/>
  <c r="P998"/>
  <c r="O998"/>
  <c r="N998"/>
  <c r="M998"/>
  <c r="L998"/>
  <c r="K998"/>
  <c r="J998"/>
  <c r="I998"/>
  <c r="H998"/>
  <c r="G998"/>
  <c r="F998"/>
  <c r="E998"/>
  <c r="D998"/>
  <c r="C998"/>
  <c r="Q997"/>
  <c r="P997"/>
  <c r="O997"/>
  <c r="N997"/>
  <c r="M997"/>
  <c r="L997"/>
  <c r="K997"/>
  <c r="J997"/>
  <c r="I997"/>
  <c r="H997"/>
  <c r="G997"/>
  <c r="F997"/>
  <c r="E997"/>
  <c r="D997"/>
  <c r="C997"/>
  <c r="Q996"/>
  <c r="P996"/>
  <c r="O996"/>
  <c r="N996"/>
  <c r="M996"/>
  <c r="L996"/>
  <c r="K996"/>
  <c r="J996"/>
  <c r="I996"/>
  <c r="H996"/>
  <c r="G996"/>
  <c r="F996"/>
  <c r="E996"/>
  <c r="D996"/>
  <c r="C996"/>
  <c r="Q995"/>
  <c r="P995"/>
  <c r="O995"/>
  <c r="N995"/>
  <c r="M995"/>
  <c r="L995"/>
  <c r="K995"/>
  <c r="J995"/>
  <c r="I995"/>
  <c r="H995"/>
  <c r="G995"/>
  <c r="F995"/>
  <c r="E995"/>
  <c r="D995"/>
  <c r="C995"/>
  <c r="Q994"/>
  <c r="P994"/>
  <c r="O994"/>
  <c r="N994"/>
  <c r="M994"/>
  <c r="L994"/>
  <c r="K994"/>
  <c r="J994"/>
  <c r="I994"/>
  <c r="H994"/>
  <c r="G994"/>
  <c r="F994"/>
  <c r="E994"/>
  <c r="D994"/>
  <c r="C994"/>
  <c r="Q993"/>
  <c r="P993"/>
  <c r="O993"/>
  <c r="N993"/>
  <c r="M993"/>
  <c r="L993"/>
  <c r="K993"/>
  <c r="J993"/>
  <c r="I993"/>
  <c r="H993"/>
  <c r="G993"/>
  <c r="F993"/>
  <c r="E993"/>
  <c r="D993"/>
  <c r="C993"/>
  <c r="Q992"/>
  <c r="P992"/>
  <c r="O992"/>
  <c r="N992"/>
  <c r="M992"/>
  <c r="L992"/>
  <c r="K992"/>
  <c r="J992"/>
  <c r="I992"/>
  <c r="H992"/>
  <c r="G992"/>
  <c r="F992"/>
  <c r="E992"/>
  <c r="D992"/>
  <c r="C992"/>
  <c r="Q991"/>
  <c r="P991"/>
  <c r="O991"/>
  <c r="N991"/>
  <c r="M991"/>
  <c r="L991"/>
  <c r="K991"/>
  <c r="J991"/>
  <c r="I991"/>
  <c r="H991"/>
  <c r="G991"/>
  <c r="F991"/>
  <c r="E991"/>
  <c r="D991"/>
  <c r="C991"/>
  <c r="Q990"/>
  <c r="P990"/>
  <c r="O990"/>
  <c r="N990"/>
  <c r="M990"/>
  <c r="L990"/>
  <c r="K990"/>
  <c r="J990"/>
  <c r="I990"/>
  <c r="H990"/>
  <c r="G990"/>
  <c r="F990"/>
  <c r="E990"/>
  <c r="D990"/>
  <c r="C990"/>
  <c r="Q989"/>
  <c r="P989"/>
  <c r="O989"/>
  <c r="N989"/>
  <c r="M989"/>
  <c r="L989"/>
  <c r="K989"/>
  <c r="J989"/>
  <c r="I989"/>
  <c r="H989"/>
  <c r="G989"/>
  <c r="F989"/>
  <c r="E989"/>
  <c r="D989"/>
  <c r="C989"/>
  <c r="Q988"/>
  <c r="P988"/>
  <c r="O988"/>
  <c r="N988"/>
  <c r="M988"/>
  <c r="L988"/>
  <c r="K988"/>
  <c r="J988"/>
  <c r="I988"/>
  <c r="H988"/>
  <c r="G988"/>
  <c r="F988"/>
  <c r="E988"/>
  <c r="D988"/>
  <c r="C988"/>
  <c r="Q987"/>
  <c r="P987"/>
  <c r="O987"/>
  <c r="N987"/>
  <c r="M987"/>
  <c r="L987"/>
  <c r="K987"/>
  <c r="J987"/>
  <c r="I987"/>
  <c r="H987"/>
  <c r="G987"/>
  <c r="F987"/>
  <c r="E987"/>
  <c r="D987"/>
  <c r="C987"/>
  <c r="Q986"/>
  <c r="P986"/>
  <c r="O986"/>
  <c r="N986"/>
  <c r="M986"/>
  <c r="L986"/>
  <c r="K986"/>
  <c r="J986"/>
  <c r="I986"/>
  <c r="H986"/>
  <c r="G986"/>
  <c r="F986"/>
  <c r="E986"/>
  <c r="D986"/>
  <c r="C986"/>
  <c r="Q985"/>
  <c r="P985"/>
  <c r="O985"/>
  <c r="N985"/>
  <c r="M985"/>
  <c r="L985"/>
  <c r="K985"/>
  <c r="J985"/>
  <c r="I985"/>
  <c r="H985"/>
  <c r="G985"/>
  <c r="F985"/>
  <c r="E985"/>
  <c r="D985"/>
  <c r="C985"/>
  <c r="Q984"/>
  <c r="P984"/>
  <c r="O984"/>
  <c r="N984"/>
  <c r="M984"/>
  <c r="L984"/>
  <c r="K984"/>
  <c r="J984"/>
  <c r="I984"/>
  <c r="H984"/>
  <c r="G984"/>
  <c r="F984"/>
  <c r="E984"/>
  <c r="D984"/>
  <c r="C984"/>
  <c r="Q983"/>
  <c r="P983"/>
  <c r="O983"/>
  <c r="N983"/>
  <c r="M983"/>
  <c r="L983"/>
  <c r="K983"/>
  <c r="J983"/>
  <c r="I983"/>
  <c r="H983"/>
  <c r="G983"/>
  <c r="F983"/>
  <c r="E983"/>
  <c r="D983"/>
  <c r="C983"/>
  <c r="Q982"/>
  <c r="P982"/>
  <c r="O982"/>
  <c r="N982"/>
  <c r="M982"/>
  <c r="L982"/>
  <c r="K982"/>
  <c r="J982"/>
  <c r="I982"/>
  <c r="H982"/>
  <c r="G982"/>
  <c r="F982"/>
  <c r="E982"/>
  <c r="D982"/>
  <c r="C982"/>
  <c r="Q981"/>
  <c r="P981"/>
  <c r="O981"/>
  <c r="N981"/>
  <c r="M981"/>
  <c r="L981"/>
  <c r="K981"/>
  <c r="J981"/>
  <c r="I981"/>
  <c r="H981"/>
  <c r="G981"/>
  <c r="F981"/>
  <c r="E981"/>
  <c r="D981"/>
  <c r="C981"/>
  <c r="Q980"/>
  <c r="P980"/>
  <c r="O980"/>
  <c r="N980"/>
  <c r="M980"/>
  <c r="L980"/>
  <c r="K980"/>
  <c r="J980"/>
  <c r="I980"/>
  <c r="H980"/>
  <c r="G980"/>
  <c r="F980"/>
  <c r="E980"/>
  <c r="D980"/>
  <c r="C980"/>
  <c r="Q979"/>
  <c r="P979"/>
  <c r="O979"/>
  <c r="N979"/>
  <c r="M979"/>
  <c r="L979"/>
  <c r="K979"/>
  <c r="J979"/>
  <c r="I979"/>
  <c r="H979"/>
  <c r="G979"/>
  <c r="F979"/>
  <c r="E979"/>
  <c r="D979"/>
  <c r="C979"/>
  <c r="Q978"/>
  <c r="P978"/>
  <c r="O978"/>
  <c r="N978"/>
  <c r="M978"/>
  <c r="L978"/>
  <c r="K978"/>
  <c r="J978"/>
  <c r="I978"/>
  <c r="H978"/>
  <c r="G978"/>
  <c r="F978"/>
  <c r="E978"/>
  <c r="D978"/>
  <c r="C978"/>
  <c r="Q977"/>
  <c r="P977"/>
  <c r="O977"/>
  <c r="N977"/>
  <c r="M977"/>
  <c r="L977"/>
  <c r="K977"/>
  <c r="J977"/>
  <c r="I977"/>
  <c r="H977"/>
  <c r="G977"/>
  <c r="F977"/>
  <c r="E977"/>
  <c r="D977"/>
  <c r="C977"/>
  <c r="Q976"/>
  <c r="P976"/>
  <c r="O976"/>
  <c r="N976"/>
  <c r="M976"/>
  <c r="L976"/>
  <c r="K976"/>
  <c r="J976"/>
  <c r="I976"/>
  <c r="H976"/>
  <c r="G976"/>
  <c r="F976"/>
  <c r="E976"/>
  <c r="D976"/>
  <c r="C976"/>
  <c r="Q975"/>
  <c r="P975"/>
  <c r="O975"/>
  <c r="N975"/>
  <c r="M975"/>
  <c r="L975"/>
  <c r="K975"/>
  <c r="J975"/>
  <c r="I975"/>
  <c r="H975"/>
  <c r="G975"/>
  <c r="F975"/>
  <c r="E975"/>
  <c r="D975"/>
  <c r="C975"/>
  <c r="Q974"/>
  <c r="P974"/>
  <c r="O974"/>
  <c r="N974"/>
  <c r="M974"/>
  <c r="L974"/>
  <c r="K974"/>
  <c r="J974"/>
  <c r="I974"/>
  <c r="H974"/>
  <c r="G974"/>
  <c r="F974"/>
  <c r="E974"/>
  <c r="D974"/>
  <c r="C974"/>
  <c r="Q973"/>
  <c r="P973"/>
  <c r="O973"/>
  <c r="N973"/>
  <c r="M973"/>
  <c r="L973"/>
  <c r="K973"/>
  <c r="J973"/>
  <c r="I973"/>
  <c r="H973"/>
  <c r="G973"/>
  <c r="F973"/>
  <c r="E973"/>
  <c r="D973"/>
  <c r="C973"/>
  <c r="Q972"/>
  <c r="P972"/>
  <c r="O972"/>
  <c r="N972"/>
  <c r="M972"/>
  <c r="L972"/>
  <c r="K972"/>
  <c r="J972"/>
  <c r="I972"/>
  <c r="H972"/>
  <c r="G972"/>
  <c r="F972"/>
  <c r="E972"/>
  <c r="D972"/>
  <c r="C972"/>
  <c r="Q971"/>
  <c r="P971"/>
  <c r="O971"/>
  <c r="N971"/>
  <c r="M971"/>
  <c r="L971"/>
  <c r="K971"/>
  <c r="J971"/>
  <c r="I971"/>
  <c r="H971"/>
  <c r="G971"/>
  <c r="F971"/>
  <c r="E971"/>
  <c r="D971"/>
  <c r="C971"/>
  <c r="Q970"/>
  <c r="P970"/>
  <c r="O970"/>
  <c r="N970"/>
  <c r="M970"/>
  <c r="L970"/>
  <c r="K970"/>
  <c r="J970"/>
  <c r="I970"/>
  <c r="H970"/>
  <c r="G970"/>
  <c r="F970"/>
  <c r="E970"/>
  <c r="D970"/>
  <c r="C970"/>
  <c r="Q969"/>
  <c r="P969"/>
  <c r="O969"/>
  <c r="N969"/>
  <c r="M969"/>
  <c r="L969"/>
  <c r="K969"/>
  <c r="J969"/>
  <c r="I969"/>
  <c r="H969"/>
  <c r="G969"/>
  <c r="F969"/>
  <c r="E969"/>
  <c r="D969"/>
  <c r="C969"/>
  <c r="Q968"/>
  <c r="P968"/>
  <c r="O968"/>
  <c r="N968"/>
  <c r="M968"/>
  <c r="L968"/>
  <c r="K968"/>
  <c r="J968"/>
  <c r="I968"/>
  <c r="H968"/>
  <c r="G968"/>
  <c r="F968"/>
  <c r="E968"/>
  <c r="D968"/>
  <c r="C968"/>
  <c r="Q967"/>
  <c r="P967"/>
  <c r="O967"/>
  <c r="N967"/>
  <c r="M967"/>
  <c r="L967"/>
  <c r="K967"/>
  <c r="J967"/>
  <c r="I967"/>
  <c r="H967"/>
  <c r="G967"/>
  <c r="F967"/>
  <c r="E967"/>
  <c r="D967"/>
  <c r="C967"/>
  <c r="Q966"/>
  <c r="P966"/>
  <c r="O966"/>
  <c r="N966"/>
  <c r="M966"/>
  <c r="L966"/>
  <c r="K966"/>
  <c r="J966"/>
  <c r="I966"/>
  <c r="H966"/>
  <c r="G966"/>
  <c r="F966"/>
  <c r="E966"/>
  <c r="D966"/>
  <c r="C966"/>
  <c r="Q965"/>
  <c r="P965"/>
  <c r="O965"/>
  <c r="N965"/>
  <c r="M965"/>
  <c r="L965"/>
  <c r="K965"/>
  <c r="J965"/>
  <c r="I965"/>
  <c r="H965"/>
  <c r="G965"/>
  <c r="F965"/>
  <c r="E965"/>
  <c r="D965"/>
  <c r="C965"/>
  <c r="Q964"/>
  <c r="P964"/>
  <c r="O964"/>
  <c r="N964"/>
  <c r="M964"/>
  <c r="L964"/>
  <c r="K964"/>
  <c r="J964"/>
  <c r="I964"/>
  <c r="H964"/>
  <c r="G964"/>
  <c r="F964"/>
  <c r="E964"/>
  <c r="D964"/>
  <c r="C964"/>
  <c r="Q963"/>
  <c r="P963"/>
  <c r="O963"/>
  <c r="N963"/>
  <c r="M963"/>
  <c r="L963"/>
  <c r="K963"/>
  <c r="J963"/>
  <c r="I963"/>
  <c r="H963"/>
  <c r="G963"/>
  <c r="F963"/>
  <c r="E963"/>
  <c r="D963"/>
  <c r="C963"/>
  <c r="Q962"/>
  <c r="P962"/>
  <c r="O962"/>
  <c r="N962"/>
  <c r="M962"/>
  <c r="L962"/>
  <c r="K962"/>
  <c r="J962"/>
  <c r="I962"/>
  <c r="H962"/>
  <c r="G962"/>
  <c r="F962"/>
  <c r="E962"/>
  <c r="D962"/>
  <c r="C962"/>
  <c r="Q961"/>
  <c r="P961"/>
  <c r="O961"/>
  <c r="N961"/>
  <c r="M961"/>
  <c r="L961"/>
  <c r="K961"/>
  <c r="J961"/>
  <c r="I961"/>
  <c r="H961"/>
  <c r="G961"/>
  <c r="F961"/>
  <c r="E961"/>
  <c r="D961"/>
  <c r="C961"/>
  <c r="Q960"/>
  <c r="P960"/>
  <c r="O960"/>
  <c r="N960"/>
  <c r="M960"/>
  <c r="L960"/>
  <c r="K960"/>
  <c r="J960"/>
  <c r="I960"/>
  <c r="H960"/>
  <c r="G960"/>
  <c r="F960"/>
  <c r="E960"/>
  <c r="D960"/>
  <c r="C960"/>
  <c r="Q959"/>
  <c r="P959"/>
  <c r="O959"/>
  <c r="N959"/>
  <c r="M959"/>
  <c r="L959"/>
  <c r="K959"/>
  <c r="J959"/>
  <c r="I959"/>
  <c r="H959"/>
  <c r="G959"/>
  <c r="F959"/>
  <c r="E959"/>
  <c r="D959"/>
  <c r="C959"/>
  <c r="Q958"/>
  <c r="P958"/>
  <c r="O958"/>
  <c r="N958"/>
  <c r="M958"/>
  <c r="L958"/>
  <c r="K958"/>
  <c r="J958"/>
  <c r="I958"/>
  <c r="H958"/>
  <c r="G958"/>
  <c r="F958"/>
  <c r="E958"/>
  <c r="D958"/>
  <c r="C958"/>
  <c r="Q957"/>
  <c r="P957"/>
  <c r="O957"/>
  <c r="N957"/>
  <c r="M957"/>
  <c r="L957"/>
  <c r="K957"/>
  <c r="J957"/>
  <c r="I957"/>
  <c r="H957"/>
  <c r="G957"/>
  <c r="F957"/>
  <c r="E957"/>
  <c r="D957"/>
  <c r="C957"/>
  <c r="Q956"/>
  <c r="P956"/>
  <c r="O956"/>
  <c r="N956"/>
  <c r="M956"/>
  <c r="L956"/>
  <c r="K956"/>
  <c r="J956"/>
  <c r="I956"/>
  <c r="H956"/>
  <c r="G956"/>
  <c r="F956"/>
  <c r="E956"/>
  <c r="D956"/>
  <c r="C956"/>
  <c r="Q955"/>
  <c r="P955"/>
  <c r="O955"/>
  <c r="N955"/>
  <c r="M955"/>
  <c r="L955"/>
  <c r="K955"/>
  <c r="J955"/>
  <c r="I955"/>
  <c r="H955"/>
  <c r="G955"/>
  <c r="F955"/>
  <c r="E955"/>
  <c r="D955"/>
  <c r="C955"/>
  <c r="Q954"/>
  <c r="P954"/>
  <c r="O954"/>
  <c r="N954"/>
  <c r="M954"/>
  <c r="L954"/>
  <c r="K954"/>
  <c r="J954"/>
  <c r="I954"/>
  <c r="H954"/>
  <c r="G954"/>
  <c r="F954"/>
  <c r="E954"/>
  <c r="D954"/>
  <c r="C954"/>
  <c r="Q953"/>
  <c r="P953"/>
  <c r="O953"/>
  <c r="N953"/>
  <c r="M953"/>
  <c r="L953"/>
  <c r="K953"/>
  <c r="J953"/>
  <c r="I953"/>
  <c r="H953"/>
  <c r="G953"/>
  <c r="F953"/>
  <c r="E953"/>
  <c r="D953"/>
  <c r="C953"/>
  <c r="Q952"/>
  <c r="P952"/>
  <c r="O952"/>
  <c r="N952"/>
  <c r="M952"/>
  <c r="L952"/>
  <c r="K952"/>
  <c r="J952"/>
  <c r="I952"/>
  <c r="H952"/>
  <c r="G952"/>
  <c r="F952"/>
  <c r="E952"/>
  <c r="D952"/>
  <c r="C952"/>
  <c r="Q951"/>
  <c r="P951"/>
  <c r="O951"/>
  <c r="N951"/>
  <c r="M951"/>
  <c r="L951"/>
  <c r="K951"/>
  <c r="J951"/>
  <c r="I951"/>
  <c r="H951"/>
  <c r="G951"/>
  <c r="F951"/>
  <c r="E951"/>
  <c r="D951"/>
  <c r="C951"/>
  <c r="Q950"/>
  <c r="P950"/>
  <c r="O950"/>
  <c r="N950"/>
  <c r="M950"/>
  <c r="L950"/>
  <c r="K950"/>
  <c r="J950"/>
  <c r="I950"/>
  <c r="H950"/>
  <c r="G950"/>
  <c r="F950"/>
  <c r="E950"/>
  <c r="D950"/>
  <c r="C950"/>
  <c r="Q949"/>
  <c r="P949"/>
  <c r="O949"/>
  <c r="N949"/>
  <c r="M949"/>
  <c r="L949"/>
  <c r="K949"/>
  <c r="J949"/>
  <c r="I949"/>
  <c r="H949"/>
  <c r="G949"/>
  <c r="F949"/>
  <c r="E949"/>
  <c r="D949"/>
  <c r="C949"/>
  <c r="Q948"/>
  <c r="P948"/>
  <c r="O948"/>
  <c r="N948"/>
  <c r="M948"/>
  <c r="L948"/>
  <c r="K948"/>
  <c r="J948"/>
  <c r="I948"/>
  <c r="H948"/>
  <c r="G948"/>
  <c r="F948"/>
  <c r="E948"/>
  <c r="D948"/>
  <c r="C948"/>
  <c r="Q947"/>
  <c r="P947"/>
  <c r="O947"/>
  <c r="N947"/>
  <c r="M947"/>
  <c r="L947"/>
  <c r="K947"/>
  <c r="J947"/>
  <c r="I947"/>
  <c r="H947"/>
  <c r="G947"/>
  <c r="F947"/>
  <c r="E947"/>
  <c r="D947"/>
  <c r="C947"/>
  <c r="Q946"/>
  <c r="P946"/>
  <c r="O946"/>
  <c r="N946"/>
  <c r="M946"/>
  <c r="L946"/>
  <c r="K946"/>
  <c r="J946"/>
  <c r="I946"/>
  <c r="H946"/>
  <c r="G946"/>
  <c r="F946"/>
  <c r="E946"/>
  <c r="D946"/>
  <c r="C946"/>
  <c r="Q945"/>
  <c r="P945"/>
  <c r="O945"/>
  <c r="N945"/>
  <c r="M945"/>
  <c r="L945"/>
  <c r="K945"/>
  <c r="J945"/>
  <c r="I945"/>
  <c r="H945"/>
  <c r="G945"/>
  <c r="F945"/>
  <c r="E945"/>
  <c r="D945"/>
  <c r="C945"/>
  <c r="Q944"/>
  <c r="P944"/>
  <c r="O944"/>
  <c r="N944"/>
  <c r="M944"/>
  <c r="L944"/>
  <c r="K944"/>
  <c r="J944"/>
  <c r="I944"/>
  <c r="H944"/>
  <c r="G944"/>
  <c r="F944"/>
  <c r="E944"/>
  <c r="D944"/>
  <c r="C944"/>
  <c r="Q943"/>
  <c r="P943"/>
  <c r="O943"/>
  <c r="N943"/>
  <c r="M943"/>
  <c r="L943"/>
  <c r="K943"/>
  <c r="J943"/>
  <c r="I943"/>
  <c r="H943"/>
  <c r="G943"/>
  <c r="F943"/>
  <c r="E943"/>
  <c r="D943"/>
  <c r="C943"/>
  <c r="Q942"/>
  <c r="P942"/>
  <c r="O942"/>
  <c r="N942"/>
  <c r="M942"/>
  <c r="L942"/>
  <c r="K942"/>
  <c r="J942"/>
  <c r="I942"/>
  <c r="H942"/>
  <c r="G942"/>
  <c r="F942"/>
  <c r="E942"/>
  <c r="D942"/>
  <c r="C942"/>
  <c r="Q941"/>
  <c r="P941"/>
  <c r="O941"/>
  <c r="N941"/>
  <c r="M941"/>
  <c r="L941"/>
  <c r="K941"/>
  <c r="J941"/>
  <c r="I941"/>
  <c r="H941"/>
  <c r="G941"/>
  <c r="F941"/>
  <c r="E941"/>
  <c r="D941"/>
  <c r="C941"/>
  <c r="Q940"/>
  <c r="P940"/>
  <c r="O940"/>
  <c r="N940"/>
  <c r="M940"/>
  <c r="L940"/>
  <c r="K940"/>
  <c r="J940"/>
  <c r="I940"/>
  <c r="H940"/>
  <c r="G940"/>
  <c r="F940"/>
  <c r="E940"/>
  <c r="D940"/>
  <c r="C940"/>
  <c r="Q939"/>
  <c r="P939"/>
  <c r="O939"/>
  <c r="N939"/>
  <c r="M939"/>
  <c r="L939"/>
  <c r="K939"/>
  <c r="J939"/>
  <c r="I939"/>
  <c r="H939"/>
  <c r="G939"/>
  <c r="F939"/>
  <c r="E939"/>
  <c r="D939"/>
  <c r="C939"/>
  <c r="Q938"/>
  <c r="P938"/>
  <c r="O938"/>
  <c r="N938"/>
  <c r="M938"/>
  <c r="L938"/>
  <c r="K938"/>
  <c r="J938"/>
  <c r="I938"/>
  <c r="H938"/>
  <c r="G938"/>
  <c r="F938"/>
  <c r="E938"/>
  <c r="D938"/>
  <c r="C938"/>
  <c r="Q937"/>
  <c r="P937"/>
  <c r="O937"/>
  <c r="N937"/>
  <c r="M937"/>
  <c r="L937"/>
  <c r="K937"/>
  <c r="J937"/>
  <c r="I937"/>
  <c r="H937"/>
  <c r="G937"/>
  <c r="F937"/>
  <c r="E937"/>
  <c r="D937"/>
  <c r="C937"/>
  <c r="Q936"/>
  <c r="P936"/>
  <c r="O936"/>
  <c r="N936"/>
  <c r="M936"/>
  <c r="L936"/>
  <c r="K936"/>
  <c r="J936"/>
  <c r="I936"/>
  <c r="H936"/>
  <c r="G936"/>
  <c r="F936"/>
  <c r="E936"/>
  <c r="D936"/>
  <c r="C936"/>
  <c r="Q935"/>
  <c r="P935"/>
  <c r="O935"/>
  <c r="N935"/>
  <c r="M935"/>
  <c r="L935"/>
  <c r="K935"/>
  <c r="J935"/>
  <c r="I935"/>
  <c r="H935"/>
  <c r="G935"/>
  <c r="F935"/>
  <c r="E935"/>
  <c r="D935"/>
  <c r="C935"/>
  <c r="Q934"/>
  <c r="P934"/>
  <c r="O934"/>
  <c r="N934"/>
  <c r="M934"/>
  <c r="L934"/>
  <c r="K934"/>
  <c r="J934"/>
  <c r="I934"/>
  <c r="H934"/>
  <c r="G934"/>
  <c r="F934"/>
  <c r="E934"/>
  <c r="D934"/>
  <c r="C934"/>
  <c r="Q933"/>
  <c r="P933"/>
  <c r="O933"/>
  <c r="N933"/>
  <c r="M933"/>
  <c r="L933"/>
  <c r="K933"/>
  <c r="J933"/>
  <c r="I933"/>
  <c r="H933"/>
  <c r="G933"/>
  <c r="F933"/>
  <c r="E933"/>
  <c r="D933"/>
  <c r="C933"/>
  <c r="Q932"/>
  <c r="P932"/>
  <c r="O932"/>
  <c r="N932"/>
  <c r="M932"/>
  <c r="L932"/>
  <c r="K932"/>
  <c r="J932"/>
  <c r="I932"/>
  <c r="H932"/>
  <c r="G932"/>
  <c r="F932"/>
  <c r="E932"/>
  <c r="D932"/>
  <c r="C932"/>
  <c r="Q931"/>
  <c r="P931"/>
  <c r="O931"/>
  <c r="N931"/>
  <c r="M931"/>
  <c r="L931"/>
  <c r="K931"/>
  <c r="J931"/>
  <c r="I931"/>
  <c r="H931"/>
  <c r="G931"/>
  <c r="F931"/>
  <c r="E931"/>
  <c r="D931"/>
  <c r="C931"/>
  <c r="Q930"/>
  <c r="P930"/>
  <c r="O930"/>
  <c r="N930"/>
  <c r="M930"/>
  <c r="L930"/>
  <c r="K930"/>
  <c r="J930"/>
  <c r="I930"/>
  <c r="H930"/>
  <c r="G930"/>
  <c r="F930"/>
  <c r="E930"/>
  <c r="D930"/>
  <c r="C930"/>
  <c r="Q929"/>
  <c r="P929"/>
  <c r="O929"/>
  <c r="N929"/>
  <c r="M929"/>
  <c r="L929"/>
  <c r="K929"/>
  <c r="J929"/>
  <c r="I929"/>
  <c r="H929"/>
  <c r="G929"/>
  <c r="F929"/>
  <c r="E929"/>
  <c r="D929"/>
  <c r="C929"/>
  <c r="Q928"/>
  <c r="P928"/>
  <c r="O928"/>
  <c r="N928"/>
  <c r="M928"/>
  <c r="L928"/>
  <c r="K928"/>
  <c r="J928"/>
  <c r="I928"/>
  <c r="H928"/>
  <c r="G928"/>
  <c r="F928"/>
  <c r="E928"/>
  <c r="D928"/>
  <c r="C928"/>
  <c r="Q927"/>
  <c r="P927"/>
  <c r="O927"/>
  <c r="N927"/>
  <c r="M927"/>
  <c r="L927"/>
  <c r="K927"/>
  <c r="J927"/>
  <c r="I927"/>
  <c r="H927"/>
  <c r="G927"/>
  <c r="F927"/>
  <c r="E927"/>
  <c r="D927"/>
  <c r="C927"/>
  <c r="Q926"/>
  <c r="P926"/>
  <c r="O926"/>
  <c r="N926"/>
  <c r="M926"/>
  <c r="L926"/>
  <c r="K926"/>
  <c r="J926"/>
  <c r="I926"/>
  <c r="H926"/>
  <c r="G926"/>
  <c r="F926"/>
  <c r="E926"/>
  <c r="D926"/>
  <c r="C926"/>
  <c r="Q925"/>
  <c r="P925"/>
  <c r="O925"/>
  <c r="N925"/>
  <c r="M925"/>
  <c r="L925"/>
  <c r="K925"/>
  <c r="J925"/>
  <c r="I925"/>
  <c r="H925"/>
  <c r="G925"/>
  <c r="F925"/>
  <c r="E925"/>
  <c r="D925"/>
  <c r="C925"/>
  <c r="Q924"/>
  <c r="P924"/>
  <c r="O924"/>
  <c r="N924"/>
  <c r="M924"/>
  <c r="L924"/>
  <c r="K924"/>
  <c r="J924"/>
  <c r="I924"/>
  <c r="H924"/>
  <c r="G924"/>
  <c r="F924"/>
  <c r="E924"/>
  <c r="D924"/>
  <c r="C924"/>
  <c r="Q923"/>
  <c r="P923"/>
  <c r="O923"/>
  <c r="N923"/>
  <c r="M923"/>
  <c r="L923"/>
  <c r="K923"/>
  <c r="J923"/>
  <c r="I923"/>
  <c r="H923"/>
  <c r="G923"/>
  <c r="F923"/>
  <c r="E923"/>
  <c r="D923"/>
  <c r="C923"/>
  <c r="Q922"/>
  <c r="P922"/>
  <c r="O922"/>
  <c r="N922"/>
  <c r="M922"/>
  <c r="L922"/>
  <c r="K922"/>
  <c r="J922"/>
  <c r="I922"/>
  <c r="H922"/>
  <c r="G922"/>
  <c r="F922"/>
  <c r="E922"/>
  <c r="D922"/>
  <c r="C922"/>
  <c r="Q921"/>
  <c r="P921"/>
  <c r="O921"/>
  <c r="N921"/>
  <c r="M921"/>
  <c r="L921"/>
  <c r="K921"/>
  <c r="J921"/>
  <c r="I921"/>
  <c r="H921"/>
  <c r="G921"/>
  <c r="F921"/>
  <c r="E921"/>
  <c r="D921"/>
  <c r="C921"/>
  <c r="Q915"/>
  <c r="P915"/>
  <c r="O915"/>
  <c r="N915"/>
  <c r="M915"/>
  <c r="L915"/>
  <c r="K915"/>
  <c r="J915"/>
  <c r="I915"/>
  <c r="H915"/>
  <c r="G915"/>
  <c r="F915"/>
  <c r="E915"/>
  <c r="D915"/>
  <c r="C915"/>
  <c r="Q914"/>
  <c r="P914"/>
  <c r="O914"/>
  <c r="N914"/>
  <c r="M914"/>
  <c r="L914"/>
  <c r="K914"/>
  <c r="J914"/>
  <c r="I914"/>
  <c r="H914"/>
  <c r="G914"/>
  <c r="F914"/>
  <c r="E914"/>
  <c r="D914"/>
  <c r="C914"/>
  <c r="Q913"/>
  <c r="P913"/>
  <c r="O913"/>
  <c r="N913"/>
  <c r="M913"/>
  <c r="L913"/>
  <c r="K913"/>
  <c r="J913"/>
  <c r="I913"/>
  <c r="H913"/>
  <c r="G913"/>
  <c r="F913"/>
  <c r="E913"/>
  <c r="D913"/>
  <c r="C913"/>
  <c r="Q912"/>
  <c r="P912"/>
  <c r="O912"/>
  <c r="N912"/>
  <c r="M912"/>
  <c r="L912"/>
  <c r="K912"/>
  <c r="J912"/>
  <c r="I912"/>
  <c r="H912"/>
  <c r="G912"/>
  <c r="F912"/>
  <c r="E912"/>
  <c r="D912"/>
  <c r="C912"/>
  <c r="Q911"/>
  <c r="P911"/>
  <c r="O911"/>
  <c r="N911"/>
  <c r="M911"/>
  <c r="L911"/>
  <c r="K911"/>
  <c r="J911"/>
  <c r="I911"/>
  <c r="H911"/>
  <c r="G911"/>
  <c r="F911"/>
  <c r="E911"/>
  <c r="D911"/>
  <c r="C911"/>
  <c r="Q910"/>
  <c r="P910"/>
  <c r="O910"/>
  <c r="N910"/>
  <c r="M910"/>
  <c r="L910"/>
  <c r="K910"/>
  <c r="J910"/>
  <c r="I910"/>
  <c r="H910"/>
  <c r="G910"/>
  <c r="F910"/>
  <c r="E910"/>
  <c r="D910"/>
  <c r="C910"/>
  <c r="Q909"/>
  <c r="P909"/>
  <c r="O909"/>
  <c r="N909"/>
  <c r="M909"/>
  <c r="L909"/>
  <c r="K909"/>
  <c r="J909"/>
  <c r="I909"/>
  <c r="H909"/>
  <c r="G909"/>
  <c r="F909"/>
  <c r="E909"/>
  <c r="D909"/>
  <c r="C909"/>
  <c r="Q908"/>
  <c r="P908"/>
  <c r="O908"/>
  <c r="N908"/>
  <c r="M908"/>
  <c r="L908"/>
  <c r="K908"/>
  <c r="J908"/>
  <c r="I908"/>
  <c r="H908"/>
  <c r="G908"/>
  <c r="F908"/>
  <c r="E908"/>
  <c r="D908"/>
  <c r="C908"/>
  <c r="Q907"/>
  <c r="P907"/>
  <c r="O907"/>
  <c r="N907"/>
  <c r="M907"/>
  <c r="L907"/>
  <c r="K907"/>
  <c r="J907"/>
  <c r="I907"/>
  <c r="H907"/>
  <c r="G907"/>
  <c r="F907"/>
  <c r="E907"/>
  <c r="D907"/>
  <c r="C907"/>
  <c r="Q906"/>
  <c r="P906"/>
  <c r="O906"/>
  <c r="N906"/>
  <c r="M906"/>
  <c r="L906"/>
  <c r="K906"/>
  <c r="J906"/>
  <c r="I906"/>
  <c r="H906"/>
  <c r="G906"/>
  <c r="F906"/>
  <c r="E906"/>
  <c r="D906"/>
  <c r="C906"/>
  <c r="Q905"/>
  <c r="P905"/>
  <c r="O905"/>
  <c r="N905"/>
  <c r="M905"/>
  <c r="L905"/>
  <c r="K905"/>
  <c r="J905"/>
  <c r="I905"/>
  <c r="H905"/>
  <c r="G905"/>
  <c r="F905"/>
  <c r="E905"/>
  <c r="D905"/>
  <c r="C905"/>
  <c r="Q904"/>
  <c r="P904"/>
  <c r="O904"/>
  <c r="N904"/>
  <c r="M904"/>
  <c r="L904"/>
  <c r="K904"/>
  <c r="J904"/>
  <c r="I904"/>
  <c r="H904"/>
  <c r="G904"/>
  <c r="F904"/>
  <c r="E904"/>
  <c r="D904"/>
  <c r="C904"/>
  <c r="Q903"/>
  <c r="P903"/>
  <c r="O903"/>
  <c r="N903"/>
  <c r="M903"/>
  <c r="L903"/>
  <c r="K903"/>
  <c r="J903"/>
  <c r="I903"/>
  <c r="H903"/>
  <c r="G903"/>
  <c r="F903"/>
  <c r="E903"/>
  <c r="D903"/>
  <c r="C903"/>
  <c r="Q902"/>
  <c r="P902"/>
  <c r="O902"/>
  <c r="N902"/>
  <c r="M902"/>
  <c r="L902"/>
  <c r="K902"/>
  <c r="J902"/>
  <c r="I902"/>
  <c r="H902"/>
  <c r="G902"/>
  <c r="F902"/>
  <c r="E902"/>
  <c r="D902"/>
  <c r="C902"/>
  <c r="Q901"/>
  <c r="P901"/>
  <c r="O901"/>
  <c r="N901"/>
  <c r="M901"/>
  <c r="L901"/>
  <c r="K901"/>
  <c r="J901"/>
  <c r="I901"/>
  <c r="H901"/>
  <c r="G901"/>
  <c r="F901"/>
  <c r="E901"/>
  <c r="D901"/>
  <c r="C901"/>
  <c r="Q900"/>
  <c r="P900"/>
  <c r="O900"/>
  <c r="N900"/>
  <c r="M900"/>
  <c r="L900"/>
  <c r="K900"/>
  <c r="J900"/>
  <c r="I900"/>
  <c r="H900"/>
  <c r="G900"/>
  <c r="F900"/>
  <c r="E900"/>
  <c r="D900"/>
  <c r="C900"/>
  <c r="Q899"/>
  <c r="P899"/>
  <c r="O899"/>
  <c r="N899"/>
  <c r="M899"/>
  <c r="L899"/>
  <c r="K899"/>
  <c r="J899"/>
  <c r="I899"/>
  <c r="H899"/>
  <c r="G899"/>
  <c r="F899"/>
  <c r="E899"/>
  <c r="D899"/>
  <c r="C899"/>
  <c r="Q898"/>
  <c r="P898"/>
  <c r="O898"/>
  <c r="N898"/>
  <c r="M898"/>
  <c r="L898"/>
  <c r="K898"/>
  <c r="J898"/>
  <c r="I898"/>
  <c r="H898"/>
  <c r="G898"/>
  <c r="F898"/>
  <c r="E898"/>
  <c r="D898"/>
  <c r="C898"/>
  <c r="Q897"/>
  <c r="P897"/>
  <c r="O897"/>
  <c r="N897"/>
  <c r="M897"/>
  <c r="L897"/>
  <c r="K897"/>
  <c r="J897"/>
  <c r="I897"/>
  <c r="H897"/>
  <c r="G897"/>
  <c r="F897"/>
  <c r="E897"/>
  <c r="D897"/>
  <c r="C897"/>
  <c r="Q896"/>
  <c r="P896"/>
  <c r="O896"/>
  <c r="N896"/>
  <c r="M896"/>
  <c r="L896"/>
  <c r="K896"/>
  <c r="J896"/>
  <c r="I896"/>
  <c r="H896"/>
  <c r="G896"/>
  <c r="F896"/>
  <c r="E896"/>
  <c r="D896"/>
  <c r="C896"/>
  <c r="Q895"/>
  <c r="P895"/>
  <c r="O895"/>
  <c r="N895"/>
  <c r="M895"/>
  <c r="L895"/>
  <c r="K895"/>
  <c r="J895"/>
  <c r="I895"/>
  <c r="H895"/>
  <c r="G895"/>
  <c r="F895"/>
  <c r="E895"/>
  <c r="D895"/>
  <c r="C895"/>
  <c r="Q894"/>
  <c r="P894"/>
  <c r="O894"/>
  <c r="N894"/>
  <c r="M894"/>
  <c r="L894"/>
  <c r="K894"/>
  <c r="J894"/>
  <c r="I894"/>
  <c r="H894"/>
  <c r="G894"/>
  <c r="F894"/>
  <c r="E894"/>
  <c r="D894"/>
  <c r="C894"/>
  <c r="Q893"/>
  <c r="P893"/>
  <c r="O893"/>
  <c r="N893"/>
  <c r="M893"/>
  <c r="L893"/>
  <c r="K893"/>
  <c r="J893"/>
  <c r="I893"/>
  <c r="H893"/>
  <c r="G893"/>
  <c r="F893"/>
  <c r="E893"/>
  <c r="D893"/>
  <c r="C893"/>
  <c r="Q892"/>
  <c r="P892"/>
  <c r="O892"/>
  <c r="N892"/>
  <c r="M892"/>
  <c r="L892"/>
  <c r="K892"/>
  <c r="J892"/>
  <c r="I892"/>
  <c r="H892"/>
  <c r="G892"/>
  <c r="F892"/>
  <c r="E892"/>
  <c r="D892"/>
  <c r="C892"/>
  <c r="Q891"/>
  <c r="P891"/>
  <c r="O891"/>
  <c r="N891"/>
  <c r="M891"/>
  <c r="L891"/>
  <c r="K891"/>
  <c r="J891"/>
  <c r="I891"/>
  <c r="H891"/>
  <c r="G891"/>
  <c r="F891"/>
  <c r="E891"/>
  <c r="D891"/>
  <c r="C891"/>
  <c r="Q890"/>
  <c r="P890"/>
  <c r="O890"/>
  <c r="N890"/>
  <c r="M890"/>
  <c r="L890"/>
  <c r="K890"/>
  <c r="J890"/>
  <c r="I890"/>
  <c r="H890"/>
  <c r="G890"/>
  <c r="F890"/>
  <c r="E890"/>
  <c r="D890"/>
  <c r="C890"/>
  <c r="Q889"/>
  <c r="P889"/>
  <c r="O889"/>
  <c r="N889"/>
  <c r="M889"/>
  <c r="L889"/>
  <c r="K889"/>
  <c r="J889"/>
  <c r="I889"/>
  <c r="H889"/>
  <c r="G889"/>
  <c r="F889"/>
  <c r="E889"/>
  <c r="D889"/>
  <c r="C889"/>
  <c r="Q888"/>
  <c r="P888"/>
  <c r="O888"/>
  <c r="N888"/>
  <c r="M888"/>
  <c r="L888"/>
  <c r="K888"/>
  <c r="J888"/>
  <c r="I888"/>
  <c r="H888"/>
  <c r="G888"/>
  <c r="F888"/>
  <c r="E888"/>
  <c r="D888"/>
  <c r="C888"/>
  <c r="Q887"/>
  <c r="P887"/>
  <c r="O887"/>
  <c r="N887"/>
  <c r="M887"/>
  <c r="L887"/>
  <c r="K887"/>
  <c r="J887"/>
  <c r="I887"/>
  <c r="H887"/>
  <c r="G887"/>
  <c r="F887"/>
  <c r="E887"/>
  <c r="D887"/>
  <c r="C887"/>
  <c r="Q886"/>
  <c r="P886"/>
  <c r="O886"/>
  <c r="N886"/>
  <c r="M886"/>
  <c r="L886"/>
  <c r="K886"/>
  <c r="J886"/>
  <c r="I886"/>
  <c r="H886"/>
  <c r="G886"/>
  <c r="F886"/>
  <c r="E886"/>
  <c r="D886"/>
  <c r="C886"/>
  <c r="Q885"/>
  <c r="P885"/>
  <c r="O885"/>
  <c r="N885"/>
  <c r="M885"/>
  <c r="L885"/>
  <c r="K885"/>
  <c r="J885"/>
  <c r="I885"/>
  <c r="H885"/>
  <c r="G885"/>
  <c r="F885"/>
  <c r="E885"/>
  <c r="D885"/>
  <c r="C885"/>
  <c r="Q884"/>
  <c r="P884"/>
  <c r="O884"/>
  <c r="N884"/>
  <c r="M884"/>
  <c r="L884"/>
  <c r="K884"/>
  <c r="J884"/>
  <c r="I884"/>
  <c r="H884"/>
  <c r="G884"/>
  <c r="F884"/>
  <c r="E884"/>
  <c r="D884"/>
  <c r="C884"/>
  <c r="Q883"/>
  <c r="P883"/>
  <c r="O883"/>
  <c r="N883"/>
  <c r="M883"/>
  <c r="L883"/>
  <c r="K883"/>
  <c r="J883"/>
  <c r="I883"/>
  <c r="H883"/>
  <c r="G883"/>
  <c r="F883"/>
  <c r="E883"/>
  <c r="D883"/>
  <c r="C883"/>
  <c r="Q882"/>
  <c r="P882"/>
  <c r="O882"/>
  <c r="N882"/>
  <c r="M882"/>
  <c r="L882"/>
  <c r="K882"/>
  <c r="J882"/>
  <c r="I882"/>
  <c r="H882"/>
  <c r="G882"/>
  <c r="F882"/>
  <c r="E882"/>
  <c r="D882"/>
  <c r="C882"/>
  <c r="Q881"/>
  <c r="P881"/>
  <c r="O881"/>
  <c r="N881"/>
  <c r="M881"/>
  <c r="L881"/>
  <c r="K881"/>
  <c r="J881"/>
  <c r="I881"/>
  <c r="H881"/>
  <c r="G881"/>
  <c r="F881"/>
  <c r="E881"/>
  <c r="D881"/>
  <c r="C881"/>
  <c r="Q880"/>
  <c r="P880"/>
  <c r="O880"/>
  <c r="N880"/>
  <c r="M880"/>
  <c r="L880"/>
  <c r="K880"/>
  <c r="J880"/>
  <c r="I880"/>
  <c r="H880"/>
  <c r="G880"/>
  <c r="F880"/>
  <c r="E880"/>
  <c r="D880"/>
  <c r="C880"/>
  <c r="Q879"/>
  <c r="P879"/>
  <c r="O879"/>
  <c r="N879"/>
  <c r="M879"/>
  <c r="L879"/>
  <c r="K879"/>
  <c r="J879"/>
  <c r="I879"/>
  <c r="H879"/>
  <c r="G879"/>
  <c r="F879"/>
  <c r="E879"/>
  <c r="D879"/>
  <c r="C879"/>
  <c r="Q878"/>
  <c r="P878"/>
  <c r="O878"/>
  <c r="N878"/>
  <c r="M878"/>
  <c r="L878"/>
  <c r="K878"/>
  <c r="J878"/>
  <c r="I878"/>
  <c r="H878"/>
  <c r="G878"/>
  <c r="F878"/>
  <c r="E878"/>
  <c r="D878"/>
  <c r="C878"/>
  <c r="Q877"/>
  <c r="P877"/>
  <c r="O877"/>
  <c r="N877"/>
  <c r="M877"/>
  <c r="L877"/>
  <c r="K877"/>
  <c r="J877"/>
  <c r="I877"/>
  <c r="H877"/>
  <c r="G877"/>
  <c r="F877"/>
  <c r="E877"/>
  <c r="D877"/>
  <c r="C877"/>
  <c r="Q876"/>
  <c r="P876"/>
  <c r="O876"/>
  <c r="N876"/>
  <c r="M876"/>
  <c r="L876"/>
  <c r="K876"/>
  <c r="J876"/>
  <c r="I876"/>
  <c r="H876"/>
  <c r="G876"/>
  <c r="F876"/>
  <c r="E876"/>
  <c r="D876"/>
  <c r="C876"/>
  <c r="Q875"/>
  <c r="P875"/>
  <c r="O875"/>
  <c r="N875"/>
  <c r="M875"/>
  <c r="L875"/>
  <c r="K875"/>
  <c r="J875"/>
  <c r="I875"/>
  <c r="H875"/>
  <c r="G875"/>
  <c r="F875"/>
  <c r="E875"/>
  <c r="D875"/>
  <c r="C875"/>
  <c r="Q874"/>
  <c r="P874"/>
  <c r="O874"/>
  <c r="N874"/>
  <c r="M874"/>
  <c r="L874"/>
  <c r="K874"/>
  <c r="J874"/>
  <c r="I874"/>
  <c r="H874"/>
  <c r="G874"/>
  <c r="F874"/>
  <c r="E874"/>
  <c r="D874"/>
  <c r="C874"/>
  <c r="Q873"/>
  <c r="P873"/>
  <c r="O873"/>
  <c r="N873"/>
  <c r="M873"/>
  <c r="L873"/>
  <c r="K873"/>
  <c r="J873"/>
  <c r="I873"/>
  <c r="H873"/>
  <c r="G873"/>
  <c r="F873"/>
  <c r="E873"/>
  <c r="D873"/>
  <c r="C873"/>
  <c r="Q872"/>
  <c r="P872"/>
  <c r="O872"/>
  <c r="N872"/>
  <c r="M872"/>
  <c r="L872"/>
  <c r="K872"/>
  <c r="J872"/>
  <c r="I872"/>
  <c r="H872"/>
  <c r="G872"/>
  <c r="F872"/>
  <c r="E872"/>
  <c r="D872"/>
  <c r="C872"/>
  <c r="Q871"/>
  <c r="P871"/>
  <c r="O871"/>
  <c r="N871"/>
  <c r="M871"/>
  <c r="L871"/>
  <c r="K871"/>
  <c r="J871"/>
  <c r="I871"/>
  <c r="H871"/>
  <c r="G871"/>
  <c r="F871"/>
  <c r="E871"/>
  <c r="D871"/>
  <c r="C871"/>
  <c r="Q870"/>
  <c r="P870"/>
  <c r="O870"/>
  <c r="N870"/>
  <c r="M870"/>
  <c r="L870"/>
  <c r="K870"/>
  <c r="J870"/>
  <c r="I870"/>
  <c r="H870"/>
  <c r="G870"/>
  <c r="F870"/>
  <c r="E870"/>
  <c r="D870"/>
  <c r="C870"/>
  <c r="Q869"/>
  <c r="P869"/>
  <c r="O869"/>
  <c r="N869"/>
  <c r="M869"/>
  <c r="L869"/>
  <c r="K869"/>
  <c r="J869"/>
  <c r="I869"/>
  <c r="H869"/>
  <c r="G869"/>
  <c r="F869"/>
  <c r="E869"/>
  <c r="D869"/>
  <c r="C869"/>
  <c r="Q868"/>
  <c r="P868"/>
  <c r="O868"/>
  <c r="N868"/>
  <c r="M868"/>
  <c r="L868"/>
  <c r="K868"/>
  <c r="J868"/>
  <c r="I868"/>
  <c r="H868"/>
  <c r="G868"/>
  <c r="F868"/>
  <c r="E868"/>
  <c r="D868"/>
  <c r="C868"/>
  <c r="Q867"/>
  <c r="P867"/>
  <c r="O867"/>
  <c r="N867"/>
  <c r="M867"/>
  <c r="L867"/>
  <c r="K867"/>
  <c r="J867"/>
  <c r="I867"/>
  <c r="H867"/>
  <c r="G867"/>
  <c r="F867"/>
  <c r="E867"/>
  <c r="D867"/>
  <c r="C867"/>
  <c r="Q866"/>
  <c r="P866"/>
  <c r="O866"/>
  <c r="N866"/>
  <c r="M866"/>
  <c r="L866"/>
  <c r="K866"/>
  <c r="J866"/>
  <c r="I866"/>
  <c r="H866"/>
  <c r="G866"/>
  <c r="F866"/>
  <c r="E866"/>
  <c r="D866"/>
  <c r="C866"/>
  <c r="Q865"/>
  <c r="P865"/>
  <c r="O865"/>
  <c r="N865"/>
  <c r="M865"/>
  <c r="L865"/>
  <c r="K865"/>
  <c r="J865"/>
  <c r="I865"/>
  <c r="H865"/>
  <c r="G865"/>
  <c r="F865"/>
  <c r="E865"/>
  <c r="D865"/>
  <c r="C865"/>
  <c r="Q864"/>
  <c r="P864"/>
  <c r="O864"/>
  <c r="N864"/>
  <c r="M864"/>
  <c r="L864"/>
  <c r="K864"/>
  <c r="J864"/>
  <c r="I864"/>
  <c r="H864"/>
  <c r="G864"/>
  <c r="F864"/>
  <c r="E864"/>
  <c r="D864"/>
  <c r="C864"/>
  <c r="Q863"/>
  <c r="P863"/>
  <c r="O863"/>
  <c r="N863"/>
  <c r="M863"/>
  <c r="L863"/>
  <c r="K863"/>
  <c r="J863"/>
  <c r="I863"/>
  <c r="H863"/>
  <c r="G863"/>
  <c r="F863"/>
  <c r="E863"/>
  <c r="D863"/>
  <c r="C863"/>
  <c r="Q862"/>
  <c r="P862"/>
  <c r="O862"/>
  <c r="N862"/>
  <c r="M862"/>
  <c r="L862"/>
  <c r="K862"/>
  <c r="J862"/>
  <c r="I862"/>
  <c r="H862"/>
  <c r="G862"/>
  <c r="F862"/>
  <c r="E862"/>
  <c r="D862"/>
  <c r="C862"/>
  <c r="Q861"/>
  <c r="P861"/>
  <c r="O861"/>
  <c r="N861"/>
  <c r="M861"/>
  <c r="L861"/>
  <c r="K861"/>
  <c r="J861"/>
  <c r="I861"/>
  <c r="H861"/>
  <c r="G861"/>
  <c r="F861"/>
  <c r="E861"/>
  <c r="D861"/>
  <c r="C861"/>
  <c r="Q860"/>
  <c r="P860"/>
  <c r="O860"/>
  <c r="N860"/>
  <c r="M860"/>
  <c r="L860"/>
  <c r="K860"/>
  <c r="J860"/>
  <c r="I860"/>
  <c r="H860"/>
  <c r="G860"/>
  <c r="F860"/>
  <c r="E860"/>
  <c r="D860"/>
  <c r="C860"/>
  <c r="Q859"/>
  <c r="P859"/>
  <c r="O859"/>
  <c r="N859"/>
  <c r="M859"/>
  <c r="L859"/>
  <c r="K859"/>
  <c r="J859"/>
  <c r="I859"/>
  <c r="H859"/>
  <c r="G859"/>
  <c r="F859"/>
  <c r="E859"/>
  <c r="D859"/>
  <c r="C859"/>
  <c r="Q858"/>
  <c r="P858"/>
  <c r="O858"/>
  <c r="N858"/>
  <c r="M858"/>
  <c r="L858"/>
  <c r="K858"/>
  <c r="J858"/>
  <c r="I858"/>
  <c r="H858"/>
  <c r="G858"/>
  <c r="F858"/>
  <c r="E858"/>
  <c r="D858"/>
  <c r="C858"/>
  <c r="Q857"/>
  <c r="P857"/>
  <c r="O857"/>
  <c r="N857"/>
  <c r="M857"/>
  <c r="L857"/>
  <c r="K857"/>
  <c r="J857"/>
  <c r="I857"/>
  <c r="H857"/>
  <c r="G857"/>
  <c r="F857"/>
  <c r="E857"/>
  <c r="D857"/>
  <c r="C857"/>
  <c r="Q856"/>
  <c r="P856"/>
  <c r="O856"/>
  <c r="N856"/>
  <c r="M856"/>
  <c r="L856"/>
  <c r="K856"/>
  <c r="J856"/>
  <c r="I856"/>
  <c r="H856"/>
  <c r="G856"/>
  <c r="F856"/>
  <c r="E856"/>
  <c r="D856"/>
  <c r="C856"/>
  <c r="Q855"/>
  <c r="P855"/>
  <c r="O855"/>
  <c r="N855"/>
  <c r="M855"/>
  <c r="L855"/>
  <c r="K855"/>
  <c r="J855"/>
  <c r="I855"/>
  <c r="H855"/>
  <c r="G855"/>
  <c r="F855"/>
  <c r="E855"/>
  <c r="D855"/>
  <c r="C855"/>
  <c r="Q854"/>
  <c r="P854"/>
  <c r="O854"/>
  <c r="N854"/>
  <c r="M854"/>
  <c r="L854"/>
  <c r="K854"/>
  <c r="J854"/>
  <c r="I854"/>
  <c r="H854"/>
  <c r="G854"/>
  <c r="F854"/>
  <c r="E854"/>
  <c r="D854"/>
  <c r="C854"/>
  <c r="Q853"/>
  <c r="P853"/>
  <c r="O853"/>
  <c r="N853"/>
  <c r="M853"/>
  <c r="L853"/>
  <c r="K853"/>
  <c r="J853"/>
  <c r="I853"/>
  <c r="H853"/>
  <c r="G853"/>
  <c r="F853"/>
  <c r="E853"/>
  <c r="D853"/>
  <c r="C853"/>
  <c r="Q852"/>
  <c r="P852"/>
  <c r="O852"/>
  <c r="N852"/>
  <c r="M852"/>
  <c r="L852"/>
  <c r="K852"/>
  <c r="J852"/>
  <c r="I852"/>
  <c r="H852"/>
  <c r="G852"/>
  <c r="F852"/>
  <c r="E852"/>
  <c r="D852"/>
  <c r="C852"/>
  <c r="Q851"/>
  <c r="P851"/>
  <c r="O851"/>
  <c r="N851"/>
  <c r="M851"/>
  <c r="L851"/>
  <c r="K851"/>
  <c r="J851"/>
  <c r="I851"/>
  <c r="H851"/>
  <c r="G851"/>
  <c r="F851"/>
  <c r="E851"/>
  <c r="D851"/>
  <c r="C851"/>
  <c r="Q850"/>
  <c r="P850"/>
  <c r="O850"/>
  <c r="N850"/>
  <c r="M850"/>
  <c r="L850"/>
  <c r="K850"/>
  <c r="J850"/>
  <c r="I850"/>
  <c r="H850"/>
  <c r="G850"/>
  <c r="F850"/>
  <c r="E850"/>
  <c r="D850"/>
  <c r="C850"/>
  <c r="Q849"/>
  <c r="P849"/>
  <c r="O849"/>
  <c r="N849"/>
  <c r="M849"/>
  <c r="L849"/>
  <c r="K849"/>
  <c r="J849"/>
  <c r="I849"/>
  <c r="H849"/>
  <c r="G849"/>
  <c r="F849"/>
  <c r="E849"/>
  <c r="D849"/>
  <c r="C849"/>
  <c r="Q848"/>
  <c r="P848"/>
  <c r="O848"/>
  <c r="N848"/>
  <c r="M848"/>
  <c r="L848"/>
  <c r="K848"/>
  <c r="J848"/>
  <c r="I848"/>
  <c r="H848"/>
  <c r="G848"/>
  <c r="F848"/>
  <c r="E848"/>
  <c r="D848"/>
  <c r="C848"/>
  <c r="Q847"/>
  <c r="P847"/>
  <c r="O847"/>
  <c r="N847"/>
  <c r="M847"/>
  <c r="L847"/>
  <c r="K847"/>
  <c r="J847"/>
  <c r="I847"/>
  <c r="H847"/>
  <c r="G847"/>
  <c r="F847"/>
  <c r="E847"/>
  <c r="D847"/>
  <c r="C847"/>
  <c r="Q846"/>
  <c r="P846"/>
  <c r="O846"/>
  <c r="N846"/>
  <c r="M846"/>
  <c r="L846"/>
  <c r="K846"/>
  <c r="J846"/>
  <c r="I846"/>
  <c r="H846"/>
  <c r="G846"/>
  <c r="F846"/>
  <c r="E846"/>
  <c r="D846"/>
  <c r="C846"/>
  <c r="Q845"/>
  <c r="P845"/>
  <c r="O845"/>
  <c r="N845"/>
  <c r="M845"/>
  <c r="L845"/>
  <c r="K845"/>
  <c r="J845"/>
  <c r="I845"/>
  <c r="H845"/>
  <c r="G845"/>
  <c r="F845"/>
  <c r="E845"/>
  <c r="D845"/>
  <c r="C845"/>
  <c r="Q844"/>
  <c r="P844"/>
  <c r="O844"/>
  <c r="N844"/>
  <c r="M844"/>
  <c r="L844"/>
  <c r="K844"/>
  <c r="J844"/>
  <c r="I844"/>
  <c r="H844"/>
  <c r="G844"/>
  <c r="F844"/>
  <c r="E844"/>
  <c r="D844"/>
  <c r="C844"/>
  <c r="Q843"/>
  <c r="P843"/>
  <c r="O843"/>
  <c r="N843"/>
  <c r="M843"/>
  <c r="L843"/>
  <c r="K843"/>
  <c r="J843"/>
  <c r="I843"/>
  <c r="H843"/>
  <c r="G843"/>
  <c r="F843"/>
  <c r="E843"/>
  <c r="D843"/>
  <c r="C843"/>
  <c r="Q842"/>
  <c r="P842"/>
  <c r="O842"/>
  <c r="N842"/>
  <c r="M842"/>
  <c r="L842"/>
  <c r="K842"/>
  <c r="J842"/>
  <c r="I842"/>
  <c r="H842"/>
  <c r="G842"/>
  <c r="F842"/>
  <c r="E842"/>
  <c r="D842"/>
  <c r="C842"/>
  <c r="Q841"/>
  <c r="P841"/>
  <c r="O841"/>
  <c r="N841"/>
  <c r="M841"/>
  <c r="L841"/>
  <c r="K841"/>
  <c r="J841"/>
  <c r="I841"/>
  <c r="H841"/>
  <c r="G841"/>
  <c r="F841"/>
  <c r="E841"/>
  <c r="D841"/>
  <c r="C841"/>
  <c r="Q840"/>
  <c r="P840"/>
  <c r="O840"/>
  <c r="N840"/>
  <c r="M840"/>
  <c r="L840"/>
  <c r="K840"/>
  <c r="J840"/>
  <c r="I840"/>
  <c r="H840"/>
  <c r="G840"/>
  <c r="F840"/>
  <c r="E840"/>
  <c r="D840"/>
  <c r="C840"/>
  <c r="Q839"/>
  <c r="P839"/>
  <c r="O839"/>
  <c r="N839"/>
  <c r="M839"/>
  <c r="L839"/>
  <c r="K839"/>
  <c r="J839"/>
  <c r="I839"/>
  <c r="H839"/>
  <c r="G839"/>
  <c r="F839"/>
  <c r="E839"/>
  <c r="D839"/>
  <c r="C839"/>
  <c r="Q838"/>
  <c r="P838"/>
  <c r="O838"/>
  <c r="N838"/>
  <c r="M838"/>
  <c r="L838"/>
  <c r="K838"/>
  <c r="J838"/>
  <c r="I838"/>
  <c r="H838"/>
  <c r="G838"/>
  <c r="F838"/>
  <c r="E838"/>
  <c r="D838"/>
  <c r="C838"/>
  <c r="Q837"/>
  <c r="P837"/>
  <c r="O837"/>
  <c r="N837"/>
  <c r="M837"/>
  <c r="L837"/>
  <c r="K837"/>
  <c r="J837"/>
  <c r="I837"/>
  <c r="H837"/>
  <c r="G837"/>
  <c r="F837"/>
  <c r="E837"/>
  <c r="D837"/>
  <c r="C837"/>
  <c r="Q836"/>
  <c r="P836"/>
  <c r="O836"/>
  <c r="N836"/>
  <c r="M836"/>
  <c r="L836"/>
  <c r="K836"/>
  <c r="J836"/>
  <c r="I836"/>
  <c r="H836"/>
  <c r="G836"/>
  <c r="F836"/>
  <c r="E836"/>
  <c r="D836"/>
  <c r="C836"/>
  <c r="Q835"/>
  <c r="P835"/>
  <c r="O835"/>
  <c r="N835"/>
  <c r="M835"/>
  <c r="L835"/>
  <c r="K835"/>
  <c r="J835"/>
  <c r="I835"/>
  <c r="H835"/>
  <c r="G835"/>
  <c r="F835"/>
  <c r="E835"/>
  <c r="D835"/>
  <c r="C835"/>
  <c r="Q834"/>
  <c r="P834"/>
  <c r="O834"/>
  <c r="N834"/>
  <c r="M834"/>
  <c r="L834"/>
  <c r="K834"/>
  <c r="J834"/>
  <c r="I834"/>
  <c r="H834"/>
  <c r="G834"/>
  <c r="F834"/>
  <c r="E834"/>
  <c r="D834"/>
  <c r="C834"/>
  <c r="Q833"/>
  <c r="P833"/>
  <c r="O833"/>
  <c r="N833"/>
  <c r="M833"/>
  <c r="L833"/>
  <c r="K833"/>
  <c r="J833"/>
  <c r="I833"/>
  <c r="H833"/>
  <c r="G833"/>
  <c r="F833"/>
  <c r="E833"/>
  <c r="D833"/>
  <c r="C833"/>
  <c r="Q832"/>
  <c r="P832"/>
  <c r="O832"/>
  <c r="N832"/>
  <c r="M832"/>
  <c r="L832"/>
  <c r="K832"/>
  <c r="J832"/>
  <c r="I832"/>
  <c r="H832"/>
  <c r="G832"/>
  <c r="F832"/>
  <c r="E832"/>
  <c r="D832"/>
  <c r="C832"/>
  <c r="Q831"/>
  <c r="P831"/>
  <c r="O831"/>
  <c r="N831"/>
  <c r="M831"/>
  <c r="L831"/>
  <c r="K831"/>
  <c r="J831"/>
  <c r="I831"/>
  <c r="H831"/>
  <c r="G831"/>
  <c r="F831"/>
  <c r="E831"/>
  <c r="D831"/>
  <c r="C831"/>
  <c r="Q830"/>
  <c r="P830"/>
  <c r="O830"/>
  <c r="N830"/>
  <c r="M830"/>
  <c r="L830"/>
  <c r="K830"/>
  <c r="J830"/>
  <c r="I830"/>
  <c r="H830"/>
  <c r="G830"/>
  <c r="F830"/>
  <c r="E830"/>
  <c r="D830"/>
  <c r="C830"/>
  <c r="Q829"/>
  <c r="P829"/>
  <c r="O829"/>
  <c r="N829"/>
  <c r="M829"/>
  <c r="L829"/>
  <c r="K829"/>
  <c r="J829"/>
  <c r="I829"/>
  <c r="H829"/>
  <c r="G829"/>
  <c r="F829"/>
  <c r="E829"/>
  <c r="D829"/>
  <c r="C829"/>
  <c r="Q828"/>
  <c r="P828"/>
  <c r="O828"/>
  <c r="N828"/>
  <c r="M828"/>
  <c r="L828"/>
  <c r="K828"/>
  <c r="J828"/>
  <c r="I828"/>
  <c r="H828"/>
  <c r="G828"/>
  <c r="F828"/>
  <c r="E828"/>
  <c r="D828"/>
  <c r="C828"/>
  <c r="Q827"/>
  <c r="P827"/>
  <c r="O827"/>
  <c r="N827"/>
  <c r="M827"/>
  <c r="L827"/>
  <c r="K827"/>
  <c r="J827"/>
  <c r="I827"/>
  <c r="H827"/>
  <c r="G827"/>
  <c r="F827"/>
  <c r="E827"/>
  <c r="D827"/>
  <c r="C827"/>
  <c r="Q826"/>
  <c r="P826"/>
  <c r="O826"/>
  <c r="N826"/>
  <c r="M826"/>
  <c r="L826"/>
  <c r="K826"/>
  <c r="J826"/>
  <c r="I826"/>
  <c r="H826"/>
  <c r="G826"/>
  <c r="F826"/>
  <c r="E826"/>
  <c r="D826"/>
  <c r="C826"/>
  <c r="Q825"/>
  <c r="P825"/>
  <c r="O825"/>
  <c r="N825"/>
  <c r="M825"/>
  <c r="L825"/>
  <c r="K825"/>
  <c r="J825"/>
  <c r="I825"/>
  <c r="H825"/>
  <c r="G825"/>
  <c r="F825"/>
  <c r="E825"/>
  <c r="D825"/>
  <c r="C825"/>
  <c r="Q824"/>
  <c r="P824"/>
  <c r="O824"/>
  <c r="N824"/>
  <c r="M824"/>
  <c r="L824"/>
  <c r="K824"/>
  <c r="J824"/>
  <c r="I824"/>
  <c r="H824"/>
  <c r="G824"/>
  <c r="F824"/>
  <c r="E824"/>
  <c r="D824"/>
  <c r="C824"/>
  <c r="Q823"/>
  <c r="P823"/>
  <c r="O823"/>
  <c r="N823"/>
  <c r="M823"/>
  <c r="L823"/>
  <c r="K823"/>
  <c r="J823"/>
  <c r="I823"/>
  <c r="H823"/>
  <c r="G823"/>
  <c r="F823"/>
  <c r="E823"/>
  <c r="D823"/>
  <c r="C823"/>
  <c r="Q822"/>
  <c r="P822"/>
  <c r="O822"/>
  <c r="N822"/>
  <c r="M822"/>
  <c r="L822"/>
  <c r="K822"/>
  <c r="J822"/>
  <c r="I822"/>
  <c r="H822"/>
  <c r="G822"/>
  <c r="F822"/>
  <c r="E822"/>
  <c r="D822"/>
  <c r="C822"/>
  <c r="Q821"/>
  <c r="P821"/>
  <c r="O821"/>
  <c r="N821"/>
  <c r="M821"/>
  <c r="L821"/>
  <c r="K821"/>
  <c r="J821"/>
  <c r="I821"/>
  <c r="H821"/>
  <c r="G821"/>
  <c r="F821"/>
  <c r="E821"/>
  <c r="D821"/>
  <c r="C821"/>
  <c r="Q820"/>
  <c r="P820"/>
  <c r="O820"/>
  <c r="N820"/>
  <c r="M820"/>
  <c r="L820"/>
  <c r="K820"/>
  <c r="J820"/>
  <c r="I820"/>
  <c r="H820"/>
  <c r="G820"/>
  <c r="F820"/>
  <c r="E820"/>
  <c r="D820"/>
  <c r="C820"/>
  <c r="Q819"/>
  <c r="P819"/>
  <c r="O819"/>
  <c r="N819"/>
  <c r="M819"/>
  <c r="L819"/>
  <c r="K819"/>
  <c r="J819"/>
  <c r="I819"/>
  <c r="H819"/>
  <c r="G819"/>
  <c r="F819"/>
  <c r="E819"/>
  <c r="D819"/>
  <c r="C819"/>
  <c r="Q818"/>
  <c r="P818"/>
  <c r="O818"/>
  <c r="N818"/>
  <c r="M818"/>
  <c r="L818"/>
  <c r="K818"/>
  <c r="J818"/>
  <c r="I818"/>
  <c r="H818"/>
  <c r="G818"/>
  <c r="F818"/>
  <c r="E818"/>
  <c r="D818"/>
  <c r="C818"/>
  <c r="Q817"/>
  <c r="P817"/>
  <c r="O817"/>
  <c r="N817"/>
  <c r="M817"/>
  <c r="L817"/>
  <c r="K817"/>
  <c r="J817"/>
  <c r="I817"/>
  <c r="H817"/>
  <c r="G817"/>
  <c r="F817"/>
  <c r="E817"/>
  <c r="D817"/>
  <c r="C817"/>
  <c r="Q816"/>
  <c r="P816"/>
  <c r="O816"/>
  <c r="N816"/>
  <c r="M816"/>
  <c r="L816"/>
  <c r="K816"/>
  <c r="J816"/>
  <c r="I816"/>
  <c r="H816"/>
  <c r="G816"/>
  <c r="F816"/>
  <c r="E816"/>
  <c r="D816"/>
  <c r="C816"/>
  <c r="Q815"/>
  <c r="P815"/>
  <c r="O815"/>
  <c r="N815"/>
  <c r="M815"/>
  <c r="L815"/>
  <c r="K815"/>
  <c r="J815"/>
  <c r="I815"/>
  <c r="H815"/>
  <c r="G815"/>
  <c r="F815"/>
  <c r="E815"/>
  <c r="D815"/>
  <c r="C815"/>
  <c r="Q810"/>
  <c r="P810"/>
  <c r="O810"/>
  <c r="N810"/>
  <c r="M810"/>
  <c r="L810"/>
  <c r="K810"/>
  <c r="J810"/>
  <c r="I810"/>
  <c r="H810"/>
  <c r="G810"/>
  <c r="F810"/>
  <c r="E810"/>
  <c r="D810"/>
  <c r="C810"/>
  <c r="Q809"/>
  <c r="P809"/>
  <c r="O809"/>
  <c r="N809"/>
  <c r="M809"/>
  <c r="L809"/>
  <c r="K809"/>
  <c r="J809"/>
  <c r="I809"/>
  <c r="H809"/>
  <c r="G809"/>
  <c r="F809"/>
  <c r="E809"/>
  <c r="D809"/>
  <c r="Q808"/>
  <c r="P808"/>
  <c r="O808"/>
  <c r="N808"/>
  <c r="M808"/>
  <c r="L808"/>
  <c r="K808"/>
  <c r="J808"/>
  <c r="I808"/>
  <c r="H808"/>
  <c r="G808"/>
  <c r="F808"/>
  <c r="E808"/>
  <c r="D808"/>
  <c r="C808"/>
  <c r="Q807"/>
  <c r="P807"/>
  <c r="O807"/>
  <c r="N807"/>
  <c r="M807"/>
  <c r="L807"/>
  <c r="K807"/>
  <c r="J807"/>
  <c r="I807"/>
  <c r="H807"/>
  <c r="G807"/>
  <c r="F807"/>
  <c r="E807"/>
  <c r="D807"/>
  <c r="C807"/>
  <c r="Q806"/>
  <c r="P806"/>
  <c r="O806"/>
  <c r="N806"/>
  <c r="M806"/>
  <c r="L806"/>
  <c r="K806"/>
  <c r="J806"/>
  <c r="I806"/>
  <c r="H806"/>
  <c r="G806"/>
  <c r="F806"/>
  <c r="E806"/>
  <c r="D806"/>
  <c r="C806"/>
  <c r="Q805"/>
  <c r="P805"/>
  <c r="O805"/>
  <c r="N805"/>
  <c r="M805"/>
  <c r="L805"/>
  <c r="K805"/>
  <c r="J805"/>
  <c r="I805"/>
  <c r="H805"/>
  <c r="G805"/>
  <c r="F805"/>
  <c r="E805"/>
  <c r="D805"/>
  <c r="C805"/>
  <c r="Q804"/>
  <c r="P804"/>
  <c r="O804"/>
  <c r="N804"/>
  <c r="M804"/>
  <c r="L804"/>
  <c r="K804"/>
  <c r="J804"/>
  <c r="I804"/>
  <c r="H804"/>
  <c r="G804"/>
  <c r="F804"/>
  <c r="E804"/>
  <c r="D804"/>
  <c r="C804"/>
  <c r="Q803"/>
  <c r="P803"/>
  <c r="O803"/>
  <c r="N803"/>
  <c r="M803"/>
  <c r="L803"/>
  <c r="K803"/>
  <c r="J803"/>
  <c r="I803"/>
  <c r="H803"/>
  <c r="G803"/>
  <c r="F803"/>
  <c r="E803"/>
  <c r="D803"/>
  <c r="C803"/>
  <c r="Q802"/>
  <c r="P802"/>
  <c r="O802"/>
  <c r="N802"/>
  <c r="M802"/>
  <c r="L802"/>
  <c r="K802"/>
  <c r="J802"/>
  <c r="I802"/>
  <c r="H802"/>
  <c r="G802"/>
  <c r="F802"/>
  <c r="E802"/>
  <c r="D802"/>
  <c r="C802"/>
  <c r="Q801"/>
  <c r="P801"/>
  <c r="O801"/>
  <c r="N801"/>
  <c r="M801"/>
  <c r="L801"/>
  <c r="K801"/>
  <c r="J801"/>
  <c r="I801"/>
  <c r="H801"/>
  <c r="G801"/>
  <c r="F801"/>
  <c r="E801"/>
  <c r="D801"/>
  <c r="C801"/>
  <c r="Q800"/>
  <c r="P800"/>
  <c r="O800"/>
  <c r="N800"/>
  <c r="M800"/>
  <c r="L800"/>
  <c r="K800"/>
  <c r="J800"/>
  <c r="I800"/>
  <c r="H800"/>
  <c r="G800"/>
  <c r="F800"/>
  <c r="E800"/>
  <c r="D800"/>
  <c r="C800"/>
  <c r="Q799"/>
  <c r="P799"/>
  <c r="O799"/>
  <c r="N799"/>
  <c r="M799"/>
  <c r="L799"/>
  <c r="K799"/>
  <c r="J799"/>
  <c r="I799"/>
  <c r="H799"/>
  <c r="G799"/>
  <c r="F799"/>
  <c r="E799"/>
  <c r="D799"/>
  <c r="C799"/>
  <c r="Q798"/>
  <c r="P798"/>
  <c r="O798"/>
  <c r="N798"/>
  <c r="M798"/>
  <c r="L798"/>
  <c r="K798"/>
  <c r="J798"/>
  <c r="I798"/>
  <c r="H798"/>
  <c r="G798"/>
  <c r="F798"/>
  <c r="E798"/>
  <c r="D798"/>
  <c r="C798"/>
  <c r="Q797"/>
  <c r="P797"/>
  <c r="O797"/>
  <c r="N797"/>
  <c r="M797"/>
  <c r="L797"/>
  <c r="K797"/>
  <c r="J797"/>
  <c r="I797"/>
  <c r="H797"/>
  <c r="G797"/>
  <c r="F797"/>
  <c r="E797"/>
  <c r="D797"/>
  <c r="C797"/>
  <c r="Q796"/>
  <c r="P796"/>
  <c r="O796"/>
  <c r="N796"/>
  <c r="M796"/>
  <c r="L796"/>
  <c r="K796"/>
  <c r="J796"/>
  <c r="I796"/>
  <c r="H796"/>
  <c r="G796"/>
  <c r="F796"/>
  <c r="E796"/>
  <c r="D796"/>
  <c r="C796"/>
  <c r="Q795"/>
  <c r="P795"/>
  <c r="O795"/>
  <c r="N795"/>
  <c r="M795"/>
  <c r="L795"/>
  <c r="K795"/>
  <c r="J795"/>
  <c r="I795"/>
  <c r="H795"/>
  <c r="G795"/>
  <c r="F795"/>
  <c r="E795"/>
  <c r="D795"/>
  <c r="C795"/>
  <c r="Q794"/>
  <c r="P794"/>
  <c r="O794"/>
  <c r="N794"/>
  <c r="M794"/>
  <c r="L794"/>
  <c r="K794"/>
  <c r="J794"/>
  <c r="I794"/>
  <c r="H794"/>
  <c r="G794"/>
  <c r="F794"/>
  <c r="E794"/>
  <c r="D794"/>
  <c r="C794"/>
  <c r="Q793"/>
  <c r="P793"/>
  <c r="O793"/>
  <c r="N793"/>
  <c r="M793"/>
  <c r="L793"/>
  <c r="K793"/>
  <c r="J793"/>
  <c r="I793"/>
  <c r="H793"/>
  <c r="G793"/>
  <c r="F793"/>
  <c r="E793"/>
  <c r="D793"/>
  <c r="C793"/>
  <c r="Q792"/>
  <c r="P792"/>
  <c r="O792"/>
  <c r="N792"/>
  <c r="M792"/>
  <c r="L792"/>
  <c r="K792"/>
  <c r="J792"/>
  <c r="I792"/>
  <c r="H792"/>
  <c r="G792"/>
  <c r="F792"/>
  <c r="E792"/>
  <c r="D792"/>
  <c r="C792"/>
  <c r="Q791"/>
  <c r="P791"/>
  <c r="O791"/>
  <c r="N791"/>
  <c r="M791"/>
  <c r="L791"/>
  <c r="K791"/>
  <c r="J791"/>
  <c r="I791"/>
  <c r="H791"/>
  <c r="G791"/>
  <c r="F791"/>
  <c r="E791"/>
  <c r="D791"/>
  <c r="C791"/>
  <c r="Q790"/>
  <c r="P790"/>
  <c r="O790"/>
  <c r="N790"/>
  <c r="M790"/>
  <c r="L790"/>
  <c r="K790"/>
  <c r="J790"/>
  <c r="I790"/>
  <c r="H790"/>
  <c r="G790"/>
  <c r="F790"/>
  <c r="E790"/>
  <c r="D790"/>
  <c r="C790"/>
  <c r="Q789"/>
  <c r="P789"/>
  <c r="O789"/>
  <c r="N789"/>
  <c r="M789"/>
  <c r="L789"/>
  <c r="K789"/>
  <c r="J789"/>
  <c r="I789"/>
  <c r="H789"/>
  <c r="G789"/>
  <c r="F789"/>
  <c r="E789"/>
  <c r="D789"/>
  <c r="C789"/>
  <c r="Q788"/>
  <c r="P788"/>
  <c r="O788"/>
  <c r="N788"/>
  <c r="M788"/>
  <c r="L788"/>
  <c r="K788"/>
  <c r="J788"/>
  <c r="I788"/>
  <c r="H788"/>
  <c r="G788"/>
  <c r="F788"/>
  <c r="E788"/>
  <c r="D788"/>
  <c r="C788"/>
  <c r="Q787"/>
  <c r="P787"/>
  <c r="O787"/>
  <c r="N787"/>
  <c r="M787"/>
  <c r="L787"/>
  <c r="K787"/>
  <c r="J787"/>
  <c r="I787"/>
  <c r="H787"/>
  <c r="G787"/>
  <c r="F787"/>
  <c r="E787"/>
  <c r="D787"/>
  <c r="C787"/>
  <c r="Q786"/>
  <c r="P786"/>
  <c r="O786"/>
  <c r="N786"/>
  <c r="M786"/>
  <c r="L786"/>
  <c r="K786"/>
  <c r="J786"/>
  <c r="I786"/>
  <c r="H786"/>
  <c r="G786"/>
  <c r="F786"/>
  <c r="E786"/>
  <c r="D786"/>
  <c r="C786"/>
  <c r="Q785"/>
  <c r="P785"/>
  <c r="O785"/>
  <c r="N785"/>
  <c r="M785"/>
  <c r="L785"/>
  <c r="K785"/>
  <c r="J785"/>
  <c r="I785"/>
  <c r="H785"/>
  <c r="G785"/>
  <c r="F785"/>
  <c r="E785"/>
  <c r="D785"/>
  <c r="C785"/>
  <c r="Q784"/>
  <c r="P784"/>
  <c r="O784"/>
  <c r="N784"/>
  <c r="M784"/>
  <c r="L784"/>
  <c r="K784"/>
  <c r="J784"/>
  <c r="I784"/>
  <c r="H784"/>
  <c r="G784"/>
  <c r="F784"/>
  <c r="E784"/>
  <c r="D784"/>
  <c r="C784"/>
  <c r="Q783"/>
  <c r="P783"/>
  <c r="O783"/>
  <c r="N783"/>
  <c r="M783"/>
  <c r="L783"/>
  <c r="K783"/>
  <c r="J783"/>
  <c r="I783"/>
  <c r="H783"/>
  <c r="G783"/>
  <c r="F783"/>
  <c r="E783"/>
  <c r="D783"/>
  <c r="C783"/>
  <c r="Q782"/>
  <c r="P782"/>
  <c r="O782"/>
  <c r="N782"/>
  <c r="M782"/>
  <c r="L782"/>
  <c r="K782"/>
  <c r="J782"/>
  <c r="I782"/>
  <c r="H782"/>
  <c r="G782"/>
  <c r="F782"/>
  <c r="E782"/>
  <c r="D782"/>
  <c r="C782"/>
  <c r="Q781"/>
  <c r="P781"/>
  <c r="O781"/>
  <c r="N781"/>
  <c r="M781"/>
  <c r="L781"/>
  <c r="K781"/>
  <c r="J781"/>
  <c r="I781"/>
  <c r="H781"/>
  <c r="G781"/>
  <c r="F781"/>
  <c r="E781"/>
  <c r="D781"/>
  <c r="C781"/>
  <c r="Q780"/>
  <c r="P780"/>
  <c r="O780"/>
  <c r="N780"/>
  <c r="M780"/>
  <c r="L780"/>
  <c r="K780"/>
  <c r="J780"/>
  <c r="I780"/>
  <c r="H780"/>
  <c r="G780"/>
  <c r="F780"/>
  <c r="E780"/>
  <c r="D780"/>
  <c r="C780"/>
  <c r="Q779"/>
  <c r="P779"/>
  <c r="O779"/>
  <c r="N779"/>
  <c r="M779"/>
  <c r="L779"/>
  <c r="K779"/>
  <c r="J779"/>
  <c r="I779"/>
  <c r="H779"/>
  <c r="G779"/>
  <c r="F779"/>
  <c r="E779"/>
  <c r="D779"/>
  <c r="C779"/>
  <c r="Q778"/>
  <c r="P778"/>
  <c r="O778"/>
  <c r="N778"/>
  <c r="M778"/>
  <c r="L778"/>
  <c r="K778"/>
  <c r="J778"/>
  <c r="I778"/>
  <c r="H778"/>
  <c r="G778"/>
  <c r="F778"/>
  <c r="E778"/>
  <c r="D778"/>
  <c r="C778"/>
  <c r="Q777"/>
  <c r="P777"/>
  <c r="O777"/>
  <c r="N777"/>
  <c r="M777"/>
  <c r="L777"/>
  <c r="K777"/>
  <c r="J777"/>
  <c r="I777"/>
  <c r="H777"/>
  <c r="G777"/>
  <c r="F777"/>
  <c r="E777"/>
  <c r="D777"/>
  <c r="C777"/>
  <c r="Q776"/>
  <c r="P776"/>
  <c r="O776"/>
  <c r="N776"/>
  <c r="M776"/>
  <c r="L776"/>
  <c r="K776"/>
  <c r="J776"/>
  <c r="I776"/>
  <c r="H776"/>
  <c r="G776"/>
  <c r="F776"/>
  <c r="E776"/>
  <c r="D776"/>
  <c r="C776"/>
  <c r="Q775"/>
  <c r="P775"/>
  <c r="O775"/>
  <c r="N775"/>
  <c r="M775"/>
  <c r="L775"/>
  <c r="K775"/>
  <c r="J775"/>
  <c r="I775"/>
  <c r="H775"/>
  <c r="G775"/>
  <c r="F775"/>
  <c r="E775"/>
  <c r="D775"/>
  <c r="C775"/>
  <c r="Q774"/>
  <c r="P774"/>
  <c r="O774"/>
  <c r="N774"/>
  <c r="M774"/>
  <c r="L774"/>
  <c r="K774"/>
  <c r="J774"/>
  <c r="I774"/>
  <c r="H774"/>
  <c r="G774"/>
  <c r="F774"/>
  <c r="E774"/>
  <c r="D774"/>
  <c r="C774"/>
  <c r="Q773"/>
  <c r="P773"/>
  <c r="O773"/>
  <c r="N773"/>
  <c r="M773"/>
  <c r="L773"/>
  <c r="K773"/>
  <c r="J773"/>
  <c r="I773"/>
  <c r="H773"/>
  <c r="G773"/>
  <c r="F773"/>
  <c r="E773"/>
  <c r="D773"/>
  <c r="C773"/>
  <c r="Q772"/>
  <c r="P772"/>
  <c r="O772"/>
  <c r="N772"/>
  <c r="M772"/>
  <c r="L772"/>
  <c r="K772"/>
  <c r="J772"/>
  <c r="I772"/>
  <c r="H772"/>
  <c r="G772"/>
  <c r="F772"/>
  <c r="E772"/>
  <c r="D772"/>
  <c r="C772"/>
  <c r="Q771"/>
  <c r="P771"/>
  <c r="O771"/>
  <c r="N771"/>
  <c r="M771"/>
  <c r="L771"/>
  <c r="K771"/>
  <c r="J771"/>
  <c r="I771"/>
  <c r="H771"/>
  <c r="G771"/>
  <c r="F771"/>
  <c r="E771"/>
  <c r="D771"/>
  <c r="C771"/>
  <c r="Q770"/>
  <c r="P770"/>
  <c r="O770"/>
  <c r="N770"/>
  <c r="M770"/>
  <c r="L770"/>
  <c r="K770"/>
  <c r="J770"/>
  <c r="I770"/>
  <c r="H770"/>
  <c r="G770"/>
  <c r="F770"/>
  <c r="E770"/>
  <c r="D770"/>
  <c r="C770"/>
  <c r="Q769"/>
  <c r="P769"/>
  <c r="O769"/>
  <c r="N769"/>
  <c r="M769"/>
  <c r="L769"/>
  <c r="K769"/>
  <c r="J769"/>
  <c r="I769"/>
  <c r="H769"/>
  <c r="G769"/>
  <c r="F769"/>
  <c r="E769"/>
  <c r="D769"/>
  <c r="C769"/>
  <c r="Q768"/>
  <c r="P768"/>
  <c r="O768"/>
  <c r="N768"/>
  <c r="M768"/>
  <c r="L768"/>
  <c r="K768"/>
  <c r="J768"/>
  <c r="I768"/>
  <c r="H768"/>
  <c r="G768"/>
  <c r="F768"/>
  <c r="E768"/>
  <c r="D768"/>
  <c r="C768"/>
  <c r="Q767"/>
  <c r="P767"/>
  <c r="O767"/>
  <c r="N767"/>
  <c r="M767"/>
  <c r="L767"/>
  <c r="K767"/>
  <c r="J767"/>
  <c r="I767"/>
  <c r="H767"/>
  <c r="G767"/>
  <c r="F767"/>
  <c r="E767"/>
  <c r="D767"/>
  <c r="C767"/>
  <c r="Q766"/>
  <c r="P766"/>
  <c r="O766"/>
  <c r="N766"/>
  <c r="M766"/>
  <c r="L766"/>
  <c r="K766"/>
  <c r="J766"/>
  <c r="I766"/>
  <c r="H766"/>
  <c r="G766"/>
  <c r="F766"/>
  <c r="E766"/>
  <c r="D766"/>
  <c r="C766"/>
  <c r="Q765"/>
  <c r="P765"/>
  <c r="O765"/>
  <c r="N765"/>
  <c r="M765"/>
  <c r="L765"/>
  <c r="K765"/>
  <c r="J765"/>
  <c r="I765"/>
  <c r="H765"/>
  <c r="G765"/>
  <c r="F765"/>
  <c r="E765"/>
  <c r="D765"/>
  <c r="C765"/>
  <c r="Q764"/>
  <c r="P764"/>
  <c r="O764"/>
  <c r="N764"/>
  <c r="M764"/>
  <c r="L764"/>
  <c r="K764"/>
  <c r="J764"/>
  <c r="I764"/>
  <c r="H764"/>
  <c r="G764"/>
  <c r="F764"/>
  <c r="E764"/>
  <c r="D764"/>
  <c r="C764"/>
  <c r="Q763"/>
  <c r="P763"/>
  <c r="O763"/>
  <c r="N763"/>
  <c r="M763"/>
  <c r="L763"/>
  <c r="K763"/>
  <c r="J763"/>
  <c r="I763"/>
  <c r="H763"/>
  <c r="G763"/>
  <c r="F763"/>
  <c r="E763"/>
  <c r="D763"/>
  <c r="C763"/>
  <c r="Q762"/>
  <c r="P762"/>
  <c r="O762"/>
  <c r="N762"/>
  <c r="M762"/>
  <c r="L762"/>
  <c r="K762"/>
  <c r="J762"/>
  <c r="I762"/>
  <c r="H762"/>
  <c r="G762"/>
  <c r="F762"/>
  <c r="E762"/>
  <c r="D762"/>
  <c r="C762"/>
  <c r="Q761"/>
  <c r="P761"/>
  <c r="O761"/>
  <c r="N761"/>
  <c r="M761"/>
  <c r="L761"/>
  <c r="K761"/>
  <c r="J761"/>
  <c r="I761"/>
  <c r="H761"/>
  <c r="G761"/>
  <c r="F761"/>
  <c r="E761"/>
  <c r="D761"/>
  <c r="C761"/>
  <c r="Q760"/>
  <c r="P760"/>
  <c r="O760"/>
  <c r="N760"/>
  <c r="M760"/>
  <c r="L760"/>
  <c r="K760"/>
  <c r="J760"/>
  <c r="I760"/>
  <c r="H760"/>
  <c r="G760"/>
  <c r="F760"/>
  <c r="E760"/>
  <c r="D760"/>
  <c r="C760"/>
  <c r="Q759"/>
  <c r="P759"/>
  <c r="O759"/>
  <c r="N759"/>
  <c r="M759"/>
  <c r="L759"/>
  <c r="K759"/>
  <c r="J759"/>
  <c r="I759"/>
  <c r="H759"/>
  <c r="G759"/>
  <c r="F759"/>
  <c r="E759"/>
  <c r="D759"/>
  <c r="C759"/>
  <c r="Q758"/>
  <c r="P758"/>
  <c r="O758"/>
  <c r="N758"/>
  <c r="M758"/>
  <c r="L758"/>
  <c r="K758"/>
  <c r="J758"/>
  <c r="I758"/>
  <c r="H758"/>
  <c r="G758"/>
  <c r="F758"/>
  <c r="E758"/>
  <c r="D758"/>
  <c r="C758"/>
  <c r="Q757"/>
  <c r="P757"/>
  <c r="O757"/>
  <c r="N757"/>
  <c r="M757"/>
  <c r="L757"/>
  <c r="K757"/>
  <c r="J757"/>
  <c r="I757"/>
  <c r="H757"/>
  <c r="G757"/>
  <c r="F757"/>
  <c r="E757"/>
  <c r="D757"/>
  <c r="C757"/>
  <c r="Q756"/>
  <c r="P756"/>
  <c r="O756"/>
  <c r="N756"/>
  <c r="M756"/>
  <c r="L756"/>
  <c r="K756"/>
  <c r="J756"/>
  <c r="I756"/>
  <c r="H756"/>
  <c r="G756"/>
  <c r="F756"/>
  <c r="E756"/>
  <c r="D756"/>
  <c r="C756"/>
  <c r="Q755"/>
  <c r="P755"/>
  <c r="O755"/>
  <c r="N755"/>
  <c r="M755"/>
  <c r="L755"/>
  <c r="K755"/>
  <c r="J755"/>
  <c r="I755"/>
  <c r="H755"/>
  <c r="G755"/>
  <c r="F755"/>
  <c r="E755"/>
  <c r="D755"/>
  <c r="C755"/>
  <c r="Q754"/>
  <c r="P754"/>
  <c r="O754"/>
  <c r="N754"/>
  <c r="M754"/>
  <c r="L754"/>
  <c r="K754"/>
  <c r="J754"/>
  <c r="I754"/>
  <c r="H754"/>
  <c r="G754"/>
  <c r="F754"/>
  <c r="E754"/>
  <c r="D754"/>
  <c r="C754"/>
  <c r="Q753"/>
  <c r="P753"/>
  <c r="O753"/>
  <c r="N753"/>
  <c r="M753"/>
  <c r="L753"/>
  <c r="K753"/>
  <c r="J753"/>
  <c r="I753"/>
  <c r="H753"/>
  <c r="G753"/>
  <c r="F753"/>
  <c r="E753"/>
  <c r="D753"/>
  <c r="C753"/>
  <c r="Q752"/>
  <c r="P752"/>
  <c r="O752"/>
  <c r="N752"/>
  <c r="M752"/>
  <c r="L752"/>
  <c r="K752"/>
  <c r="J752"/>
  <c r="I752"/>
  <c r="H752"/>
  <c r="G752"/>
  <c r="F752"/>
  <c r="E752"/>
  <c r="D752"/>
  <c r="C752"/>
  <c r="Q751"/>
  <c r="P751"/>
  <c r="O751"/>
  <c r="N751"/>
  <c r="M751"/>
  <c r="L751"/>
  <c r="K751"/>
  <c r="J751"/>
  <c r="I751"/>
  <c r="H751"/>
  <c r="G751"/>
  <c r="F751"/>
  <c r="E751"/>
  <c r="D751"/>
  <c r="C751"/>
  <c r="Q750"/>
  <c r="P750"/>
  <c r="O750"/>
  <c r="N750"/>
  <c r="M750"/>
  <c r="L750"/>
  <c r="K750"/>
  <c r="J750"/>
  <c r="I750"/>
  <c r="H750"/>
  <c r="G750"/>
  <c r="F750"/>
  <c r="E750"/>
  <c r="D750"/>
  <c r="C750"/>
  <c r="Q749"/>
  <c r="P749"/>
  <c r="O749"/>
  <c r="N749"/>
  <c r="M749"/>
  <c r="L749"/>
  <c r="K749"/>
  <c r="J749"/>
  <c r="I749"/>
  <c r="H749"/>
  <c r="G749"/>
  <c r="F749"/>
  <c r="E749"/>
  <c r="D749"/>
  <c r="C749"/>
  <c r="Q748"/>
  <c r="P748"/>
  <c r="O748"/>
  <c r="N748"/>
  <c r="M748"/>
  <c r="L748"/>
  <c r="K748"/>
  <c r="J748"/>
  <c r="I748"/>
  <c r="H748"/>
  <c r="G748"/>
  <c r="F748"/>
  <c r="E748"/>
  <c r="D748"/>
  <c r="C748"/>
  <c r="Q747"/>
  <c r="P747"/>
  <c r="O747"/>
  <c r="N747"/>
  <c r="M747"/>
  <c r="L747"/>
  <c r="K747"/>
  <c r="J747"/>
  <c r="I747"/>
  <c r="H747"/>
  <c r="G747"/>
  <c r="F747"/>
  <c r="E747"/>
  <c r="D747"/>
  <c r="C747"/>
  <c r="Q746"/>
  <c r="P746"/>
  <c r="O746"/>
  <c r="N746"/>
  <c r="M746"/>
  <c r="L746"/>
  <c r="K746"/>
  <c r="J746"/>
  <c r="I746"/>
  <c r="H746"/>
  <c r="G746"/>
  <c r="F746"/>
  <c r="E746"/>
  <c r="D746"/>
  <c r="C746"/>
  <c r="Q745"/>
  <c r="P745"/>
  <c r="O745"/>
  <c r="N745"/>
  <c r="M745"/>
  <c r="L745"/>
  <c r="K745"/>
  <c r="J745"/>
  <c r="I745"/>
  <c r="H745"/>
  <c r="G745"/>
  <c r="F745"/>
  <c r="E745"/>
  <c r="D745"/>
  <c r="C745"/>
  <c r="Q744"/>
  <c r="P744"/>
  <c r="O744"/>
  <c r="N744"/>
  <c r="M744"/>
  <c r="L744"/>
  <c r="K744"/>
  <c r="J744"/>
  <c r="I744"/>
  <c r="H744"/>
  <c r="G744"/>
  <c r="F744"/>
  <c r="E744"/>
  <c r="D744"/>
  <c r="C744"/>
  <c r="Q743"/>
  <c r="P743"/>
  <c r="O743"/>
  <c r="N743"/>
  <c r="M743"/>
  <c r="L743"/>
  <c r="K743"/>
  <c r="J743"/>
  <c r="I743"/>
  <c r="H743"/>
  <c r="G743"/>
  <c r="F743"/>
  <c r="E743"/>
  <c r="D743"/>
  <c r="C743"/>
  <c r="Q742"/>
  <c r="P742"/>
  <c r="O742"/>
  <c r="N742"/>
  <c r="M742"/>
  <c r="L742"/>
  <c r="K742"/>
  <c r="J742"/>
  <c r="I742"/>
  <c r="H742"/>
  <c r="G742"/>
  <c r="F742"/>
  <c r="E742"/>
  <c r="D742"/>
  <c r="C742"/>
  <c r="Q741"/>
  <c r="P741"/>
  <c r="O741"/>
  <c r="N741"/>
  <c r="M741"/>
  <c r="L741"/>
  <c r="K741"/>
  <c r="J741"/>
  <c r="I741"/>
  <c r="H741"/>
  <c r="G741"/>
  <c r="F741"/>
  <c r="E741"/>
  <c r="D741"/>
  <c r="C741"/>
  <c r="Q740"/>
  <c r="P740"/>
  <c r="O740"/>
  <c r="N740"/>
  <c r="M740"/>
  <c r="L740"/>
  <c r="K740"/>
  <c r="J740"/>
  <c r="I740"/>
  <c r="H740"/>
  <c r="G740"/>
  <c r="F740"/>
  <c r="E740"/>
  <c r="D740"/>
  <c r="C740"/>
  <c r="Q739"/>
  <c r="P739"/>
  <c r="O739"/>
  <c r="N739"/>
  <c r="M739"/>
  <c r="L739"/>
  <c r="K739"/>
  <c r="J739"/>
  <c r="I739"/>
  <c r="H739"/>
  <c r="G739"/>
  <c r="F739"/>
  <c r="E739"/>
  <c r="D739"/>
  <c r="C739"/>
  <c r="Q738"/>
  <c r="P738"/>
  <c r="O738"/>
  <c r="N738"/>
  <c r="M738"/>
  <c r="L738"/>
  <c r="K738"/>
  <c r="J738"/>
  <c r="I738"/>
  <c r="H738"/>
  <c r="G738"/>
  <c r="F738"/>
  <c r="E738"/>
  <c r="D738"/>
  <c r="C738"/>
  <c r="Q737"/>
  <c r="P737"/>
  <c r="O737"/>
  <c r="N737"/>
  <c r="M737"/>
  <c r="L737"/>
  <c r="K737"/>
  <c r="J737"/>
  <c r="I737"/>
  <c r="H737"/>
  <c r="G737"/>
  <c r="F737"/>
  <c r="E737"/>
  <c r="D737"/>
  <c r="C737"/>
  <c r="Q736"/>
  <c r="P736"/>
  <c r="O736"/>
  <c r="N736"/>
  <c r="M736"/>
  <c r="L736"/>
  <c r="K736"/>
  <c r="J736"/>
  <c r="I736"/>
  <c r="H736"/>
  <c r="G736"/>
  <c r="F736"/>
  <c r="E736"/>
  <c r="D736"/>
  <c r="C736"/>
  <c r="Q735"/>
  <c r="P735"/>
  <c r="O735"/>
  <c r="N735"/>
  <c r="M735"/>
  <c r="L735"/>
  <c r="K735"/>
  <c r="J735"/>
  <c r="I735"/>
  <c r="H735"/>
  <c r="G735"/>
  <c r="F735"/>
  <c r="E735"/>
  <c r="D735"/>
  <c r="C735"/>
  <c r="Q734"/>
  <c r="P734"/>
  <c r="O734"/>
  <c r="N734"/>
  <c r="M734"/>
  <c r="L734"/>
  <c r="K734"/>
  <c r="J734"/>
  <c r="I734"/>
  <c r="H734"/>
  <c r="G734"/>
  <c r="F734"/>
  <c r="E734"/>
  <c r="D734"/>
  <c r="C734"/>
  <c r="Q733"/>
  <c r="P733"/>
  <c r="O733"/>
  <c r="N733"/>
  <c r="M733"/>
  <c r="L733"/>
  <c r="K733"/>
  <c r="J733"/>
  <c r="I733"/>
  <c r="H733"/>
  <c r="G733"/>
  <c r="F733"/>
  <c r="E733"/>
  <c r="D733"/>
  <c r="C733"/>
  <c r="Q732"/>
  <c r="P732"/>
  <c r="O732"/>
  <c r="N732"/>
  <c r="M732"/>
  <c r="L732"/>
  <c r="K732"/>
  <c r="J732"/>
  <c r="I732"/>
  <c r="H732"/>
  <c r="G732"/>
  <c r="F732"/>
  <c r="E732"/>
  <c r="D732"/>
  <c r="C732"/>
  <c r="Q731"/>
  <c r="P731"/>
  <c r="O731"/>
  <c r="N731"/>
  <c r="M731"/>
  <c r="L731"/>
  <c r="K731"/>
  <c r="J731"/>
  <c r="I731"/>
  <c r="H731"/>
  <c r="G731"/>
  <c r="F731"/>
  <c r="E731"/>
  <c r="D731"/>
  <c r="C731"/>
  <c r="Q730"/>
  <c r="P730"/>
  <c r="O730"/>
  <c r="N730"/>
  <c r="M730"/>
  <c r="L730"/>
  <c r="K730"/>
  <c r="J730"/>
  <c r="I730"/>
  <c r="H730"/>
  <c r="G730"/>
  <c r="F730"/>
  <c r="E730"/>
  <c r="D730"/>
  <c r="C730"/>
  <c r="Q729"/>
  <c r="P729"/>
  <c r="O729"/>
  <c r="N729"/>
  <c r="M729"/>
  <c r="L729"/>
  <c r="K729"/>
  <c r="J729"/>
  <c r="I729"/>
  <c r="H729"/>
  <c r="G729"/>
  <c r="F729"/>
  <c r="E729"/>
  <c r="D729"/>
  <c r="C729"/>
  <c r="Q728"/>
  <c r="P728"/>
  <c r="O728"/>
  <c r="N728"/>
  <c r="M728"/>
  <c r="L728"/>
  <c r="K728"/>
  <c r="J728"/>
  <c r="I728"/>
  <c r="H728"/>
  <c r="G728"/>
  <c r="F728"/>
  <c r="E728"/>
  <c r="D728"/>
  <c r="C728"/>
  <c r="Q727"/>
  <c r="P727"/>
  <c r="O727"/>
  <c r="N727"/>
  <c r="M727"/>
  <c r="L727"/>
  <c r="K727"/>
  <c r="J727"/>
  <c r="I727"/>
  <c r="H727"/>
  <c r="G727"/>
  <c r="F727"/>
  <c r="E727"/>
  <c r="D727"/>
  <c r="C727"/>
  <c r="Q726"/>
  <c r="P726"/>
  <c r="O726"/>
  <c r="N726"/>
  <c r="M726"/>
  <c r="L726"/>
  <c r="K726"/>
  <c r="J726"/>
  <c r="I726"/>
  <c r="H726"/>
  <c r="G726"/>
  <c r="F726"/>
  <c r="E726"/>
  <c r="D726"/>
  <c r="C726"/>
  <c r="Q725"/>
  <c r="P725"/>
  <c r="O725"/>
  <c r="N725"/>
  <c r="M725"/>
  <c r="L725"/>
  <c r="K725"/>
  <c r="J725"/>
  <c r="I725"/>
  <c r="H725"/>
  <c r="G725"/>
  <c r="F725"/>
  <c r="E725"/>
  <c r="D725"/>
  <c r="C725"/>
  <c r="Q724"/>
  <c r="P724"/>
  <c r="O724"/>
  <c r="N724"/>
  <c r="M724"/>
  <c r="L724"/>
  <c r="K724"/>
  <c r="J724"/>
  <c r="I724"/>
  <c r="H724"/>
  <c r="G724"/>
  <c r="F724"/>
  <c r="E724"/>
  <c r="D724"/>
  <c r="C724"/>
  <c r="Q723"/>
  <c r="P723"/>
  <c r="O723"/>
  <c r="N723"/>
  <c r="M723"/>
  <c r="L723"/>
  <c r="K723"/>
  <c r="J723"/>
  <c r="I723"/>
  <c r="H723"/>
  <c r="G723"/>
  <c r="F723"/>
  <c r="E723"/>
  <c r="D723"/>
  <c r="C723"/>
  <c r="Q722"/>
  <c r="P722"/>
  <c r="O722"/>
  <c r="N722"/>
  <c r="M722"/>
  <c r="L722"/>
  <c r="K722"/>
  <c r="J722"/>
  <c r="I722"/>
  <c r="H722"/>
  <c r="G722"/>
  <c r="F722"/>
  <c r="E722"/>
  <c r="D722"/>
  <c r="C722"/>
  <c r="Q721"/>
  <c r="P721"/>
  <c r="O721"/>
  <c r="N721"/>
  <c r="M721"/>
  <c r="L721"/>
  <c r="K721"/>
  <c r="J721"/>
  <c r="I721"/>
  <c r="H721"/>
  <c r="G721"/>
  <c r="F721"/>
  <c r="E721"/>
  <c r="D721"/>
  <c r="C721"/>
  <c r="Q720"/>
  <c r="P720"/>
  <c r="O720"/>
  <c r="N720"/>
  <c r="M720"/>
  <c r="L720"/>
  <c r="K720"/>
  <c r="J720"/>
  <c r="I720"/>
  <c r="H720"/>
  <c r="G720"/>
  <c r="F720"/>
  <c r="E720"/>
  <c r="D720"/>
  <c r="C720"/>
  <c r="Q719"/>
  <c r="P719"/>
  <c r="O719"/>
  <c r="N719"/>
  <c r="M719"/>
  <c r="L719"/>
  <c r="K719"/>
  <c r="J719"/>
  <c r="I719"/>
  <c r="H719"/>
  <c r="G719"/>
  <c r="F719"/>
  <c r="E719"/>
  <c r="D719"/>
  <c r="C719"/>
  <c r="Q718"/>
  <c r="P718"/>
  <c r="O718"/>
  <c r="N718"/>
  <c r="M718"/>
  <c r="L718"/>
  <c r="K718"/>
  <c r="J718"/>
  <c r="I718"/>
  <c r="H718"/>
  <c r="G718"/>
  <c r="F718"/>
  <c r="E718"/>
  <c r="D718"/>
  <c r="C718"/>
  <c r="Q717"/>
  <c r="P717"/>
  <c r="O717"/>
  <c r="N717"/>
  <c r="M717"/>
  <c r="L717"/>
  <c r="K717"/>
  <c r="J717"/>
  <c r="I717"/>
  <c r="H717"/>
  <c r="G717"/>
  <c r="F717"/>
  <c r="E717"/>
  <c r="D717"/>
  <c r="C717"/>
  <c r="Q716"/>
  <c r="P716"/>
  <c r="O716"/>
  <c r="N716"/>
  <c r="M716"/>
  <c r="L716"/>
  <c r="K716"/>
  <c r="J716"/>
  <c r="I716"/>
  <c r="H716"/>
  <c r="G716"/>
  <c r="F716"/>
  <c r="E716"/>
  <c r="D716"/>
  <c r="C716"/>
  <c r="Q715"/>
  <c r="P715"/>
  <c r="O715"/>
  <c r="N715"/>
  <c r="M715"/>
  <c r="L715"/>
  <c r="K715"/>
  <c r="J715"/>
  <c r="I715"/>
  <c r="H715"/>
  <c r="G715"/>
  <c r="F715"/>
  <c r="E715"/>
  <c r="D715"/>
  <c r="C715"/>
  <c r="Q714"/>
  <c r="P714"/>
  <c r="O714"/>
  <c r="N714"/>
  <c r="M714"/>
  <c r="L714"/>
  <c r="K714"/>
  <c r="J714"/>
  <c r="I714"/>
  <c r="H714"/>
  <c r="G714"/>
  <c r="F714"/>
  <c r="E714"/>
  <c r="D714"/>
  <c r="C714"/>
  <c r="Q713"/>
  <c r="P713"/>
  <c r="O713"/>
  <c r="N713"/>
  <c r="M713"/>
  <c r="L713"/>
  <c r="K713"/>
  <c r="J713"/>
  <c r="I713"/>
  <c r="H713"/>
  <c r="G713"/>
  <c r="F713"/>
  <c r="E713"/>
  <c r="D713"/>
  <c r="C713"/>
  <c r="Q712"/>
  <c r="P712"/>
  <c r="O712"/>
  <c r="N712"/>
  <c r="M712"/>
  <c r="L712"/>
  <c r="K712"/>
  <c r="J712"/>
  <c r="I712"/>
  <c r="H712"/>
  <c r="G712"/>
  <c r="F712"/>
  <c r="E712"/>
  <c r="D712"/>
  <c r="C712"/>
  <c r="Q711"/>
  <c r="P711"/>
  <c r="O711"/>
  <c r="N711"/>
  <c r="M711"/>
  <c r="L711"/>
  <c r="K711"/>
  <c r="J711"/>
  <c r="I711"/>
  <c r="H711"/>
  <c r="G711"/>
  <c r="G68" s="1"/>
  <c r="F711"/>
  <c r="E711"/>
  <c r="D711"/>
  <c r="C711"/>
  <c r="Q710"/>
  <c r="P710"/>
  <c r="O710"/>
  <c r="N710"/>
  <c r="M710"/>
  <c r="L710"/>
  <c r="K710"/>
  <c r="J710"/>
  <c r="I710"/>
  <c r="H710"/>
  <c r="G710"/>
  <c r="F710"/>
  <c r="E67" s="1"/>
  <c r="E710"/>
  <c r="D710"/>
  <c r="C710"/>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382" s="1"/>
  <c r="F276"/>
  <c r="F275"/>
  <c r="G274"/>
  <c r="H274" s="1"/>
  <c r="E274"/>
  <c r="D274" s="1"/>
  <c r="C274" s="1"/>
  <c r="B274" s="1"/>
  <c r="G273"/>
  <c r="E273"/>
  <c r="D273" s="1"/>
  <c r="C273" s="1"/>
  <c r="B273" s="1"/>
  <c r="G272"/>
  <c r="H272" s="1"/>
  <c r="E272"/>
  <c r="D272" s="1"/>
  <c r="C272" s="1"/>
  <c r="B272" s="1"/>
  <c r="G271"/>
  <c r="E271"/>
  <c r="D271" s="1"/>
  <c r="C271" s="1"/>
  <c r="B271" s="1"/>
  <c r="G270"/>
  <c r="H270" s="1"/>
  <c r="E270"/>
  <c r="D270" s="1"/>
  <c r="C270" s="1"/>
  <c r="B270" s="1"/>
  <c r="G269"/>
  <c r="E269"/>
  <c r="D269" s="1"/>
  <c r="C269" s="1"/>
  <c r="B269" s="1"/>
  <c r="G268"/>
  <c r="H268" s="1"/>
  <c r="E268"/>
  <c r="D268" s="1"/>
  <c r="C268" s="1"/>
  <c r="B268" s="1"/>
  <c r="G267"/>
  <c r="E267"/>
  <c r="D267" s="1"/>
  <c r="C267" s="1"/>
  <c r="B267" s="1"/>
  <c r="G266"/>
  <c r="H266" s="1"/>
  <c r="E266"/>
  <c r="D266" s="1"/>
  <c r="C266" s="1"/>
  <c r="B266" s="1"/>
  <c r="G265"/>
  <c r="E265"/>
  <c r="D265" s="1"/>
  <c r="C265" s="1"/>
  <c r="B265" s="1"/>
  <c r="G264"/>
  <c r="H264" s="1"/>
  <c r="E264"/>
  <c r="D264" s="1"/>
  <c r="C264" s="1"/>
  <c r="B264" s="1"/>
  <c r="G263"/>
  <c r="E263"/>
  <c r="D263" s="1"/>
  <c r="C263" s="1"/>
  <c r="B263" s="1"/>
  <c r="G262"/>
  <c r="H262" s="1"/>
  <c r="E262"/>
  <c r="D262" s="1"/>
  <c r="C262" s="1"/>
  <c r="B262" s="1"/>
  <c r="G261"/>
  <c r="E261"/>
  <c r="D261" s="1"/>
  <c r="C261" s="1"/>
  <c r="B261" s="1"/>
  <c r="G260"/>
  <c r="H260" s="1"/>
  <c r="E260"/>
  <c r="D260" s="1"/>
  <c r="C260" s="1"/>
  <c r="B260" s="1"/>
  <c r="G259"/>
  <c r="E259"/>
  <c r="D259"/>
  <c r="C259" s="1"/>
  <c r="B259" s="1"/>
  <c r="G258"/>
  <c r="H258" s="1"/>
  <c r="E258"/>
  <c r="D258" s="1"/>
  <c r="C258" s="1"/>
  <c r="B258" s="1"/>
  <c r="G257"/>
  <c r="E257"/>
  <c r="D257" s="1"/>
  <c r="C257" s="1"/>
  <c r="B257" s="1"/>
  <c r="G256"/>
  <c r="H256" s="1"/>
  <c r="E256"/>
  <c r="D256" s="1"/>
  <c r="C256" s="1"/>
  <c r="B256" s="1"/>
  <c r="G255"/>
  <c r="H255" s="1"/>
  <c r="I255" s="1"/>
  <c r="J255" s="1"/>
  <c r="K255" s="1"/>
  <c r="L255" s="1"/>
  <c r="M255" s="1"/>
  <c r="N255" s="1"/>
  <c r="O255" s="1"/>
  <c r="P255" s="1"/>
  <c r="Q255" s="1"/>
  <c r="E255"/>
  <c r="D255" s="1"/>
  <c r="C255" s="1"/>
  <c r="B255" s="1"/>
  <c r="G254"/>
  <c r="H254" s="1"/>
  <c r="E254"/>
  <c r="D254" s="1"/>
  <c r="C254" s="1"/>
  <c r="B254" s="1"/>
  <c r="G253"/>
  <c r="E253"/>
  <c r="D253" s="1"/>
  <c r="C253" s="1"/>
  <c r="B253" s="1"/>
  <c r="G252"/>
  <c r="H252" s="1"/>
  <c r="E252"/>
  <c r="D252" s="1"/>
  <c r="C252" s="1"/>
  <c r="B252" s="1"/>
  <c r="G251"/>
  <c r="E251"/>
  <c r="D251" s="1"/>
  <c r="C251" s="1"/>
  <c r="B251" s="1"/>
  <c r="G250"/>
  <c r="H250" s="1"/>
  <c r="E250"/>
  <c r="D250" s="1"/>
  <c r="C250" s="1"/>
  <c r="B250" s="1"/>
  <c r="G249"/>
  <c r="E249"/>
  <c r="D249" s="1"/>
  <c r="C249" s="1"/>
  <c r="B249" s="1"/>
  <c r="G248"/>
  <c r="H248" s="1"/>
  <c r="E248"/>
  <c r="D248" s="1"/>
  <c r="C248" s="1"/>
  <c r="B248" s="1"/>
  <c r="G247"/>
  <c r="E247"/>
  <c r="D247" s="1"/>
  <c r="C247" s="1"/>
  <c r="B247" s="1"/>
  <c r="G246"/>
  <c r="H246" s="1"/>
  <c r="E246"/>
  <c r="D246" s="1"/>
  <c r="C246" s="1"/>
  <c r="B246" s="1"/>
  <c r="G245"/>
  <c r="E245"/>
  <c r="D245" s="1"/>
  <c r="C245" s="1"/>
  <c r="B245" s="1"/>
  <c r="G244"/>
  <c r="H244" s="1"/>
  <c r="E244"/>
  <c r="D244" s="1"/>
  <c r="C244" s="1"/>
  <c r="B244" s="1"/>
  <c r="G243"/>
  <c r="E243"/>
  <c r="D243" s="1"/>
  <c r="C243" s="1"/>
  <c r="B243" s="1"/>
  <c r="G242"/>
  <c r="H242" s="1"/>
  <c r="E242"/>
  <c r="D242" s="1"/>
  <c r="C242" s="1"/>
  <c r="B242" s="1"/>
  <c r="G241"/>
  <c r="H241" s="1"/>
  <c r="I241" s="1"/>
  <c r="J241" s="1"/>
  <c r="K241" s="1"/>
  <c r="L241" s="1"/>
  <c r="M241" s="1"/>
  <c r="N241" s="1"/>
  <c r="O241" s="1"/>
  <c r="P241" s="1"/>
  <c r="Q241" s="1"/>
  <c r="E241"/>
  <c r="D241" s="1"/>
  <c r="G240"/>
  <c r="H240" s="1"/>
  <c r="E240"/>
  <c r="D240" s="1"/>
  <c r="C240" s="1"/>
  <c r="B240" s="1"/>
  <c r="G239"/>
  <c r="E239"/>
  <c r="D239" s="1"/>
  <c r="C239" s="1"/>
  <c r="B239" s="1"/>
  <c r="G238"/>
  <c r="E238"/>
  <c r="D238" s="1"/>
  <c r="C238" s="1"/>
  <c r="B238" s="1"/>
  <c r="G237"/>
  <c r="H237" s="1"/>
  <c r="E237"/>
  <c r="D237" s="1"/>
  <c r="C237" s="1"/>
  <c r="B237" s="1"/>
  <c r="G236"/>
  <c r="E236"/>
  <c r="D236" s="1"/>
  <c r="C236" s="1"/>
  <c r="B236" s="1"/>
  <c r="G235"/>
  <c r="H235" s="1"/>
  <c r="E235"/>
  <c r="D235" s="1"/>
  <c r="C235" s="1"/>
  <c r="B235" s="1"/>
  <c r="G234"/>
  <c r="E234"/>
  <c r="D234" s="1"/>
  <c r="C234" s="1"/>
  <c r="B234" s="1"/>
  <c r="G233"/>
  <c r="E233"/>
  <c r="D233" s="1"/>
  <c r="C233" s="1"/>
  <c r="B233" s="1"/>
  <c r="G232"/>
  <c r="E232"/>
  <c r="D232" s="1"/>
  <c r="C232" s="1"/>
  <c r="B232" s="1"/>
  <c r="G231"/>
  <c r="E231"/>
  <c r="D231" s="1"/>
  <c r="C231" s="1"/>
  <c r="B231" s="1"/>
  <c r="G230"/>
  <c r="E230"/>
  <c r="D230" s="1"/>
  <c r="C230" s="1"/>
  <c r="B230" s="1"/>
  <c r="G229"/>
  <c r="E229"/>
  <c r="D229" s="1"/>
  <c r="C229" s="1"/>
  <c r="B229" s="1"/>
  <c r="G228"/>
  <c r="E228"/>
  <c r="D228" s="1"/>
  <c r="C228" s="1"/>
  <c r="B228" s="1"/>
  <c r="G227"/>
  <c r="E227"/>
  <c r="D227" s="1"/>
  <c r="C227" s="1"/>
  <c r="B227" s="1"/>
  <c r="G226"/>
  <c r="E226"/>
  <c r="D226" s="1"/>
  <c r="C226" s="1"/>
  <c r="B226" s="1"/>
  <c r="G225"/>
  <c r="E225"/>
  <c r="D225" s="1"/>
  <c r="C225" s="1"/>
  <c r="B225" s="1"/>
  <c r="G224"/>
  <c r="E224"/>
  <c r="D224" s="1"/>
  <c r="C224" s="1"/>
  <c r="G223"/>
  <c r="E223"/>
  <c r="D223" s="1"/>
  <c r="C223" s="1"/>
  <c r="B223" s="1"/>
  <c r="G222"/>
  <c r="E222"/>
  <c r="D222" s="1"/>
  <c r="C222" s="1"/>
  <c r="B222" s="1"/>
  <c r="G221"/>
  <c r="E221"/>
  <c r="D221" s="1"/>
  <c r="C221" s="1"/>
  <c r="B221" s="1"/>
  <c r="G220"/>
  <c r="E220"/>
  <c r="D220" s="1"/>
  <c r="C220" s="1"/>
  <c r="B220" s="1"/>
  <c r="G219"/>
  <c r="E219"/>
  <c r="D219" s="1"/>
  <c r="C219" s="1"/>
  <c r="G218"/>
  <c r="E218"/>
  <c r="D218" s="1"/>
  <c r="G217"/>
  <c r="H217" s="1"/>
  <c r="E217"/>
  <c r="D217" s="1"/>
  <c r="C217" s="1"/>
  <c r="B217" s="1"/>
  <c r="G216"/>
  <c r="E216"/>
  <c r="D216" s="1"/>
  <c r="C216" s="1"/>
  <c r="B216" s="1"/>
  <c r="G215"/>
  <c r="E215"/>
  <c r="D215" s="1"/>
  <c r="C215" s="1"/>
  <c r="B215" s="1"/>
  <c r="G214"/>
  <c r="E214"/>
  <c r="D214" s="1"/>
  <c r="C214" s="1"/>
  <c r="B214" s="1"/>
  <c r="G213"/>
  <c r="E213"/>
  <c r="D213" s="1"/>
  <c r="G212"/>
  <c r="H212" s="1"/>
  <c r="I212" s="1"/>
  <c r="E212"/>
  <c r="D212" s="1"/>
  <c r="C212" s="1"/>
  <c r="B212" s="1"/>
  <c r="G211"/>
  <c r="H211" s="1"/>
  <c r="E211"/>
  <c r="D211" s="1"/>
  <c r="C211" s="1"/>
  <c r="B211" s="1"/>
  <c r="G210"/>
  <c r="E210"/>
  <c r="D210" s="1"/>
  <c r="C210" s="1"/>
  <c r="B210" s="1"/>
  <c r="G209"/>
  <c r="E209"/>
  <c r="D209" s="1"/>
  <c r="C209" s="1"/>
  <c r="B209" s="1"/>
  <c r="G208"/>
  <c r="E208"/>
  <c r="D208" s="1"/>
  <c r="C208" s="1"/>
  <c r="B208" s="1"/>
  <c r="G207"/>
  <c r="E207"/>
  <c r="D207" s="1"/>
  <c r="C207" s="1"/>
  <c r="B207" s="1"/>
  <c r="G206"/>
  <c r="E206"/>
  <c r="D206" s="1"/>
  <c r="C206" s="1"/>
  <c r="B206" s="1"/>
  <c r="G205"/>
  <c r="E205"/>
  <c r="D205" s="1"/>
  <c r="C205" s="1"/>
  <c r="B205" s="1"/>
  <c r="G204"/>
  <c r="H204" s="1"/>
  <c r="E204"/>
  <c r="D204" s="1"/>
  <c r="C204" s="1"/>
  <c r="B204" s="1"/>
  <c r="G203"/>
  <c r="H203" s="1"/>
  <c r="E203"/>
  <c r="D203" s="1"/>
  <c r="C203" s="1"/>
  <c r="B203" s="1"/>
  <c r="G202"/>
  <c r="E202"/>
  <c r="D202" s="1"/>
  <c r="C202" s="1"/>
  <c r="B202" s="1"/>
  <c r="G201"/>
  <c r="H201" s="1"/>
  <c r="E201"/>
  <c r="D201" s="1"/>
  <c r="C201"/>
  <c r="B201" s="1"/>
  <c r="G200"/>
  <c r="E200"/>
  <c r="D200" s="1"/>
  <c r="C200" s="1"/>
  <c r="B200" s="1"/>
  <c r="G199"/>
  <c r="H199" s="1"/>
  <c r="I199" s="1"/>
  <c r="E199"/>
  <c r="D199" s="1"/>
  <c r="C199" s="1"/>
  <c r="B199" s="1"/>
  <c r="G198"/>
  <c r="E198"/>
  <c r="D198" s="1"/>
  <c r="C198" s="1"/>
  <c r="B198" s="1"/>
  <c r="G197"/>
  <c r="E197"/>
  <c r="D197" s="1"/>
  <c r="C197" s="1"/>
  <c r="B197" s="1"/>
  <c r="G196"/>
  <c r="E196"/>
  <c r="D196" s="1"/>
  <c r="C196" s="1"/>
  <c r="B196" s="1"/>
  <c r="G195"/>
  <c r="H195" s="1"/>
  <c r="E195"/>
  <c r="D195" s="1"/>
  <c r="C195" s="1"/>
  <c r="B195" s="1"/>
  <c r="G194"/>
  <c r="E194"/>
  <c r="D194" s="1"/>
  <c r="C194" s="1"/>
  <c r="B194" s="1"/>
  <c r="G193"/>
  <c r="E193"/>
  <c r="D193" s="1"/>
  <c r="C193" s="1"/>
  <c r="B193" s="1"/>
  <c r="G192"/>
  <c r="E192"/>
  <c r="D192" s="1"/>
  <c r="C192" s="1"/>
  <c r="B192" s="1"/>
  <c r="G191"/>
  <c r="H191" s="1"/>
  <c r="E191"/>
  <c r="D191" s="1"/>
  <c r="C191" s="1"/>
  <c r="B191" s="1"/>
  <c r="G190"/>
  <c r="E190"/>
  <c r="D190" s="1"/>
  <c r="C190" s="1"/>
  <c r="B190" s="1"/>
  <c r="G189"/>
  <c r="H189" s="1"/>
  <c r="I189" s="1"/>
  <c r="J189" s="1"/>
  <c r="K189" s="1"/>
  <c r="L189" s="1"/>
  <c r="M189" s="1"/>
  <c r="E189"/>
  <c r="D189" s="1"/>
  <c r="G188"/>
  <c r="H188" s="1"/>
  <c r="E188"/>
  <c r="D188" s="1"/>
  <c r="C188" s="1"/>
  <c r="B188" s="1"/>
  <c r="G187"/>
  <c r="E187"/>
  <c r="D187" s="1"/>
  <c r="C187" s="1"/>
  <c r="G186"/>
  <c r="H186" s="1"/>
  <c r="E186"/>
  <c r="D186" s="1"/>
  <c r="C186" s="1"/>
  <c r="B186" s="1"/>
  <c r="G185"/>
  <c r="H185" s="1"/>
  <c r="E185"/>
  <c r="D185" s="1"/>
  <c r="C185" s="1"/>
  <c r="B185" s="1"/>
  <c r="G184"/>
  <c r="H184" s="1"/>
  <c r="I184" s="1"/>
  <c r="J184" s="1"/>
  <c r="K184" s="1"/>
  <c r="E184"/>
  <c r="D184" s="1"/>
  <c r="C184" s="1"/>
  <c r="B184" s="1"/>
  <c r="G183"/>
  <c r="E183"/>
  <c r="D183" s="1"/>
  <c r="C183" s="1"/>
  <c r="B183" s="1"/>
  <c r="G182"/>
  <c r="H182" s="1"/>
  <c r="E182"/>
  <c r="D182" s="1"/>
  <c r="C182" s="1"/>
  <c r="B182" s="1"/>
  <c r="G181"/>
  <c r="E181"/>
  <c r="D181" s="1"/>
  <c r="C181"/>
  <c r="B181" s="1"/>
  <c r="G180"/>
  <c r="E180"/>
  <c r="D180" s="1"/>
  <c r="C180" s="1"/>
  <c r="B180" s="1"/>
  <c r="G179"/>
  <c r="E179"/>
  <c r="D179" s="1"/>
  <c r="C179" s="1"/>
  <c r="G178"/>
  <c r="E178"/>
  <c r="D178" s="1"/>
  <c r="C178" s="1"/>
  <c r="G177"/>
  <c r="E177"/>
  <c r="D177" s="1"/>
  <c r="C177" s="1"/>
  <c r="B177" s="1"/>
  <c r="G176"/>
  <c r="E176"/>
  <c r="D176" s="1"/>
  <c r="C176" s="1"/>
  <c r="B176" s="1"/>
  <c r="G175"/>
  <c r="E175"/>
  <c r="D175" s="1"/>
  <c r="C175" s="1"/>
  <c r="B175" s="1"/>
  <c r="G174"/>
  <c r="E174"/>
  <c r="D174" s="1"/>
  <c r="C174" s="1"/>
  <c r="F168"/>
  <c r="G167"/>
  <c r="G381" s="1"/>
  <c r="E167"/>
  <c r="D167" s="1"/>
  <c r="D381" s="1"/>
  <c r="G166"/>
  <c r="G380" s="1"/>
  <c r="E166"/>
  <c r="E380" s="1"/>
  <c r="G165"/>
  <c r="H165" s="1"/>
  <c r="H379" s="1"/>
  <c r="E165"/>
  <c r="E379" s="1"/>
  <c r="G164"/>
  <c r="G378" s="1"/>
  <c r="E164"/>
  <c r="D164" s="1"/>
  <c r="G163"/>
  <c r="H163" s="1"/>
  <c r="E163"/>
  <c r="D163"/>
  <c r="C163" s="1"/>
  <c r="G162"/>
  <c r="G376" s="1"/>
  <c r="E162"/>
  <c r="D162" s="1"/>
  <c r="C162" s="1"/>
  <c r="G161"/>
  <c r="H161" s="1"/>
  <c r="E161"/>
  <c r="D161" s="1"/>
  <c r="C161" s="1"/>
  <c r="B161" s="1"/>
  <c r="G160"/>
  <c r="E160"/>
  <c r="D160" s="1"/>
  <c r="G159"/>
  <c r="H159" s="1"/>
  <c r="E159"/>
  <c r="D159" s="1"/>
  <c r="C159" s="1"/>
  <c r="G158"/>
  <c r="G372" s="1"/>
  <c r="E158"/>
  <c r="D158" s="1"/>
  <c r="C158" s="1"/>
  <c r="G157"/>
  <c r="H157" s="1"/>
  <c r="H371" s="1"/>
  <c r="G371" s="1"/>
  <c r="E157"/>
  <c r="D157" s="1"/>
  <c r="C157" s="1"/>
  <c r="B157" s="1"/>
  <c r="G156"/>
  <c r="E156"/>
  <c r="D156" s="1"/>
  <c r="G155"/>
  <c r="H155" s="1"/>
  <c r="E155"/>
  <c r="D155" s="1"/>
  <c r="C155" s="1"/>
  <c r="G154"/>
  <c r="G368" s="1"/>
  <c r="E154"/>
  <c r="D154" s="1"/>
  <c r="C154" s="1"/>
  <c r="G153"/>
  <c r="H153" s="1"/>
  <c r="H367" s="1"/>
  <c r="G367" s="1"/>
  <c r="E153"/>
  <c r="D153" s="1"/>
  <c r="C153" s="1"/>
  <c r="B153" s="1"/>
  <c r="G152"/>
  <c r="E152"/>
  <c r="D152" s="1"/>
  <c r="G151"/>
  <c r="H151" s="1"/>
  <c r="E151"/>
  <c r="D151" s="1"/>
  <c r="C151" s="1"/>
  <c r="G150"/>
  <c r="G364" s="1"/>
  <c r="E150"/>
  <c r="D150" s="1"/>
  <c r="C150" s="1"/>
  <c r="G149"/>
  <c r="E149"/>
  <c r="E363" s="1"/>
  <c r="G148"/>
  <c r="G362" s="1"/>
  <c r="E148"/>
  <c r="D148" s="1"/>
  <c r="G147"/>
  <c r="H147" s="1"/>
  <c r="H361" s="1"/>
  <c r="E147"/>
  <c r="D147" s="1"/>
  <c r="C147" s="1"/>
  <c r="G146"/>
  <c r="G360" s="1"/>
  <c r="E146"/>
  <c r="D146"/>
  <c r="G145"/>
  <c r="H145" s="1"/>
  <c r="H359" s="1"/>
  <c r="E145"/>
  <c r="D145" s="1"/>
  <c r="C145" s="1"/>
  <c r="G144"/>
  <c r="G358" s="1"/>
  <c r="E144"/>
  <c r="D144" s="1"/>
  <c r="G143"/>
  <c r="H143" s="1"/>
  <c r="H357" s="1"/>
  <c r="E143"/>
  <c r="D143" s="1"/>
  <c r="C143" s="1"/>
  <c r="G142"/>
  <c r="G356" s="1"/>
  <c r="E142"/>
  <c r="D142" s="1"/>
  <c r="D356" s="1"/>
  <c r="G141"/>
  <c r="H141" s="1"/>
  <c r="H355" s="1"/>
  <c r="E141"/>
  <c r="D141" s="1"/>
  <c r="C141" s="1"/>
  <c r="G140"/>
  <c r="E140"/>
  <c r="D140" s="1"/>
  <c r="G139"/>
  <c r="H139" s="1"/>
  <c r="H353" s="1"/>
  <c r="E139"/>
  <c r="D139" s="1"/>
  <c r="C139" s="1"/>
  <c r="G138"/>
  <c r="G352" s="1"/>
  <c r="E138"/>
  <c r="D138"/>
  <c r="G137"/>
  <c r="H137" s="1"/>
  <c r="H351" s="1"/>
  <c r="E137"/>
  <c r="D137" s="1"/>
  <c r="C137" s="1"/>
  <c r="G136"/>
  <c r="G350" s="1"/>
  <c r="E136"/>
  <c r="E350" s="1"/>
  <c r="G135"/>
  <c r="G349" s="1"/>
  <c r="E135"/>
  <c r="E349" s="1"/>
  <c r="G134"/>
  <c r="G348" s="1"/>
  <c r="E134"/>
  <c r="D134"/>
  <c r="G133"/>
  <c r="H133" s="1"/>
  <c r="H347" s="1"/>
  <c r="E133"/>
  <c r="D133" s="1"/>
  <c r="G132"/>
  <c r="G346" s="1"/>
  <c r="E132"/>
  <c r="D132"/>
  <c r="G131"/>
  <c r="G345" s="1"/>
  <c r="E131"/>
  <c r="D131" s="1"/>
  <c r="C131" s="1"/>
  <c r="B131" s="1"/>
  <c r="G130"/>
  <c r="G344" s="1"/>
  <c r="E130"/>
  <c r="D130" s="1"/>
  <c r="G129"/>
  <c r="G343" s="1"/>
  <c r="E129"/>
  <c r="D129" s="1"/>
  <c r="C129" s="1"/>
  <c r="G128"/>
  <c r="G342" s="1"/>
  <c r="E128"/>
  <c r="D128" s="1"/>
  <c r="C128" s="1"/>
  <c r="G127"/>
  <c r="G341" s="1"/>
  <c r="E127"/>
  <c r="D127" s="1"/>
  <c r="G126"/>
  <c r="G340" s="1"/>
  <c r="E126"/>
  <c r="D126" s="1"/>
  <c r="C126" s="1"/>
  <c r="G125"/>
  <c r="G339" s="1"/>
  <c r="E125"/>
  <c r="D125" s="1"/>
  <c r="C125" s="1"/>
  <c r="B125" s="1"/>
  <c r="G124"/>
  <c r="G338" s="1"/>
  <c r="E124"/>
  <c r="D124" s="1"/>
  <c r="G123"/>
  <c r="G337" s="1"/>
  <c r="E123"/>
  <c r="D123" s="1"/>
  <c r="C123" s="1"/>
  <c r="G122"/>
  <c r="G336" s="1"/>
  <c r="E122"/>
  <c r="D122" s="1"/>
  <c r="G121"/>
  <c r="H121" s="1"/>
  <c r="E121"/>
  <c r="D121" s="1"/>
  <c r="C121" s="1"/>
  <c r="G120"/>
  <c r="G334" s="1"/>
  <c r="E120"/>
  <c r="D120" s="1"/>
  <c r="D334" s="1"/>
  <c r="G119"/>
  <c r="H119" s="1"/>
  <c r="I119" s="1"/>
  <c r="E119"/>
  <c r="D119" s="1"/>
  <c r="C119" s="1"/>
  <c r="G118"/>
  <c r="G332" s="1"/>
  <c r="E118"/>
  <c r="D118" s="1"/>
  <c r="G117"/>
  <c r="H117" s="1"/>
  <c r="I117" s="1"/>
  <c r="E117"/>
  <c r="D117" s="1"/>
  <c r="G116"/>
  <c r="G330" s="1"/>
  <c r="E116"/>
  <c r="D116" s="1"/>
  <c r="G115"/>
  <c r="H115" s="1"/>
  <c r="I115" s="1"/>
  <c r="E115"/>
  <c r="D115" s="1"/>
  <c r="G114"/>
  <c r="G328" s="1"/>
  <c r="E114"/>
  <c r="E328" s="1"/>
  <c r="G113"/>
  <c r="H113" s="1"/>
  <c r="I113" s="1"/>
  <c r="E113"/>
  <c r="E327" s="1"/>
  <c r="G112"/>
  <c r="E112"/>
  <c r="E326" s="1"/>
  <c r="G111"/>
  <c r="G325" s="1"/>
  <c r="E111"/>
  <c r="D111" s="1"/>
  <c r="G110"/>
  <c r="H110" s="1"/>
  <c r="H324" s="1"/>
  <c r="G324" s="1"/>
  <c r="E110"/>
  <c r="D110" s="1"/>
  <c r="G109"/>
  <c r="G323" s="1"/>
  <c r="E109"/>
  <c r="D109" s="1"/>
  <c r="G108"/>
  <c r="G322" s="1"/>
  <c r="E108"/>
  <c r="E322" s="1"/>
  <c r="G107"/>
  <c r="H107" s="1"/>
  <c r="I107" s="1"/>
  <c r="E107"/>
  <c r="E321" s="1"/>
  <c r="G106"/>
  <c r="G320" s="1"/>
  <c r="E106"/>
  <c r="D106" s="1"/>
  <c r="D320" s="1"/>
  <c r="G105"/>
  <c r="H105" s="1"/>
  <c r="E105"/>
  <c r="D105"/>
  <c r="G104"/>
  <c r="G318" s="1"/>
  <c r="E104"/>
  <c r="D104" s="1"/>
  <c r="D318" s="1"/>
  <c r="G103"/>
  <c r="H103" s="1"/>
  <c r="E103"/>
  <c r="D103" s="1"/>
  <c r="C103" s="1"/>
  <c r="G102"/>
  <c r="G316" s="1"/>
  <c r="E102"/>
  <c r="D102" s="1"/>
  <c r="G101"/>
  <c r="H101" s="1"/>
  <c r="I101" s="1"/>
  <c r="E101"/>
  <c r="D101" s="1"/>
  <c r="C101" s="1"/>
  <c r="G100"/>
  <c r="G314" s="1"/>
  <c r="E100"/>
  <c r="D100" s="1"/>
  <c r="G99"/>
  <c r="H99" s="1"/>
  <c r="I99" s="1"/>
  <c r="E99"/>
  <c r="D99" s="1"/>
  <c r="C99" s="1"/>
  <c r="G98"/>
  <c r="G312" s="1"/>
  <c r="E98"/>
  <c r="D98" s="1"/>
  <c r="G97"/>
  <c r="H97" s="1"/>
  <c r="H311" s="1"/>
  <c r="G311" s="1"/>
  <c r="E97"/>
  <c r="D97" s="1"/>
  <c r="G96"/>
  <c r="G310" s="1"/>
  <c r="E96"/>
  <c r="D96" s="1"/>
  <c r="G95"/>
  <c r="H95" s="1"/>
  <c r="E95"/>
  <c r="D95"/>
  <c r="D309" s="1"/>
  <c r="G94"/>
  <c r="E94"/>
  <c r="D94" s="1"/>
  <c r="D308" s="1"/>
  <c r="G93"/>
  <c r="H93" s="1"/>
  <c r="E93"/>
  <c r="D93" s="1"/>
  <c r="D307" s="1"/>
  <c r="G92"/>
  <c r="G306" s="1"/>
  <c r="E92"/>
  <c r="D92" s="1"/>
  <c r="C92" s="1"/>
  <c r="G91"/>
  <c r="H91" s="1"/>
  <c r="I91" s="1"/>
  <c r="E91"/>
  <c r="D91" s="1"/>
  <c r="G90"/>
  <c r="G304" s="1"/>
  <c r="E90"/>
  <c r="D90" s="1"/>
  <c r="G89"/>
  <c r="H89" s="1"/>
  <c r="I89" s="1"/>
  <c r="E89"/>
  <c r="D89" s="1"/>
  <c r="G88"/>
  <c r="G302" s="1"/>
  <c r="E88"/>
  <c r="D88" s="1"/>
  <c r="G87"/>
  <c r="H87" s="1"/>
  <c r="I87" s="1"/>
  <c r="E87"/>
  <c r="D87" s="1"/>
  <c r="G86"/>
  <c r="G300" s="1"/>
  <c r="E86"/>
  <c r="D86" s="1"/>
  <c r="D300" s="1"/>
  <c r="G85"/>
  <c r="H85" s="1"/>
  <c r="E85"/>
  <c r="D85" s="1"/>
  <c r="D299" s="1"/>
  <c r="G84"/>
  <c r="G298" s="1"/>
  <c r="E84"/>
  <c r="D84" s="1"/>
  <c r="D298" s="1"/>
  <c r="G83"/>
  <c r="H83" s="1"/>
  <c r="E83"/>
  <c r="D83"/>
  <c r="G82"/>
  <c r="G296" s="1"/>
  <c r="E82"/>
  <c r="D82" s="1"/>
  <c r="G81"/>
  <c r="G295" s="1"/>
  <c r="E81"/>
  <c r="D81"/>
  <c r="D295" s="1"/>
  <c r="G80"/>
  <c r="H80" s="1"/>
  <c r="E80"/>
  <c r="D80" s="1"/>
  <c r="D294" s="1"/>
  <c r="G79"/>
  <c r="G293" s="1"/>
  <c r="E79"/>
  <c r="E293" s="1"/>
  <c r="G78"/>
  <c r="E78"/>
  <c r="E292" s="1"/>
  <c r="G77"/>
  <c r="H77" s="1"/>
  <c r="I77" s="1"/>
  <c r="E77"/>
  <c r="E291" s="1"/>
  <c r="G76"/>
  <c r="H76" s="1"/>
  <c r="E76"/>
  <c r="D76"/>
  <c r="C76" s="1"/>
  <c r="G75"/>
  <c r="G289" s="1"/>
  <c r="E75"/>
  <c r="G74"/>
  <c r="G288" s="1"/>
  <c r="E74"/>
  <c r="E288" s="1"/>
  <c r="G73"/>
  <c r="H73" s="1"/>
  <c r="E73"/>
  <c r="D73"/>
  <c r="D287" s="1"/>
  <c r="G72"/>
  <c r="H72" s="1"/>
  <c r="E72"/>
  <c r="D72" s="1"/>
  <c r="D286" s="1"/>
  <c r="G71"/>
  <c r="G285" s="1"/>
  <c r="E71"/>
  <c r="E285" s="1"/>
  <c r="G70"/>
  <c r="G284" s="1"/>
  <c r="E70"/>
  <c r="D70" s="1"/>
  <c r="D284" s="1"/>
  <c r="G69"/>
  <c r="G283" s="1"/>
  <c r="E69"/>
  <c r="D69" s="1"/>
  <c r="D283" s="1"/>
  <c r="E68"/>
  <c r="D68" s="1"/>
  <c r="D282" s="1"/>
  <c r="G67"/>
  <c r="G281" s="1"/>
  <c r="F40"/>
  <c r="F41" i="3" s="1"/>
  <c r="F39" i="2"/>
  <c r="D39"/>
  <c r="D40" i="3" s="1"/>
  <c r="B39" i="2"/>
  <c r="G38"/>
  <c r="G39" i="3" s="1"/>
  <c r="F38" i="2"/>
  <c r="F39" i="3" s="1"/>
  <c r="D38" i="2"/>
  <c r="D39" i="3" s="1"/>
  <c r="B38" i="2"/>
  <c r="G37"/>
  <c r="F37"/>
  <c r="D37"/>
  <c r="G36"/>
  <c r="F36"/>
  <c r="E36"/>
  <c r="D36"/>
  <c r="D37" i="3" s="1"/>
  <c r="G35" i="2"/>
  <c r="G36" i="3" s="1"/>
  <c r="F35" i="2"/>
  <c r="F36" i="3" s="1"/>
  <c r="E35" i="2"/>
  <c r="F34"/>
  <c r="F35" i="3" s="1"/>
  <c r="F33" i="2"/>
  <c r="D33"/>
  <c r="D34" i="3" s="1"/>
  <c r="F32" i="2"/>
  <c r="F33" i="3" s="1"/>
  <c r="D32" i="2"/>
  <c r="D33" i="3" s="1"/>
  <c r="G31" i="2"/>
  <c r="G32" i="3" s="1"/>
  <c r="F31" i="2"/>
  <c r="D31"/>
  <c r="B31"/>
  <c r="G30"/>
  <c r="G31" i="3" s="1"/>
  <c r="F30" i="2"/>
  <c r="F31" i="3" s="1"/>
  <c r="F29" i="2"/>
  <c r="E29"/>
  <c r="G28"/>
  <c r="F28"/>
  <c r="E28"/>
  <c r="G27"/>
  <c r="F27"/>
  <c r="E27"/>
  <c r="F20"/>
  <c r="F21" i="3" s="1"/>
  <c r="G19" i="2"/>
  <c r="G20" i="3" s="1"/>
  <c r="F19" i="2"/>
  <c r="F20" i="3" s="1"/>
  <c r="E19" i="2"/>
  <c r="E20" i="3" s="1"/>
  <c r="F18" i="2"/>
  <c r="F19" i="3" s="1"/>
  <c r="G17" i="2"/>
  <c r="G18" i="3" s="1"/>
  <c r="F17" i="2"/>
  <c r="F18" i="3" s="1"/>
  <c r="E17" i="2"/>
  <c r="E18" i="3" s="1"/>
  <c r="F16" i="2"/>
  <c r="F17" i="3" s="1"/>
  <c r="G15" i="2"/>
  <c r="G16" i="3" s="1"/>
  <c r="F15" i="2"/>
  <c r="F16" i="3" s="1"/>
  <c r="E15" i="2"/>
  <c r="E16" i="3" s="1"/>
  <c r="F14" i="2"/>
  <c r="F15" i="3" s="1"/>
  <c r="G13" i="2"/>
  <c r="G14" i="3" s="1"/>
  <c r="F13" i="2"/>
  <c r="F14" i="3" s="1"/>
  <c r="E13" i="2"/>
  <c r="E14" i="3" s="1"/>
  <c r="F12" i="2"/>
  <c r="F13" i="3" s="1"/>
  <c r="G11" i="2"/>
  <c r="G12" i="3" s="1"/>
  <c r="F11" i="2"/>
  <c r="F12" i="3" s="1"/>
  <c r="E11" i="2"/>
  <c r="E12" i="3" s="1"/>
  <c r="F10" i="2"/>
  <c r="F11" i="3" s="1"/>
  <c r="G9" i="2"/>
  <c r="F9"/>
  <c r="E9"/>
  <c r="E49" s="1"/>
  <c r="F8"/>
  <c r="F48" s="1"/>
  <c r="F7"/>
  <c r="F47" s="1"/>
  <c r="R5" i="26" l="1"/>
  <c r="R4" s="1"/>
  <c r="G4"/>
  <c r="C4"/>
  <c r="H5"/>
  <c r="H4" s="1"/>
  <c r="M20"/>
  <c r="D70"/>
  <c r="D91" s="1"/>
  <c r="D70" i="30"/>
  <c r="D70" i="29"/>
  <c r="F70" i="26"/>
  <c r="F91" s="1"/>
  <c r="F70" i="30"/>
  <c r="F70" i="29"/>
  <c r="H70" i="26"/>
  <c r="H91" s="1"/>
  <c r="H70" i="30"/>
  <c r="H70" i="29"/>
  <c r="J70" i="26"/>
  <c r="J91" s="1"/>
  <c r="J70" i="30"/>
  <c r="J70" i="29"/>
  <c r="L70" i="26"/>
  <c r="L91" s="1"/>
  <c r="L70" i="30"/>
  <c r="L70" i="29"/>
  <c r="N70" i="26"/>
  <c r="N91" s="1"/>
  <c r="N70" i="30"/>
  <c r="N70" i="29"/>
  <c r="P70" i="26"/>
  <c r="P91" s="1"/>
  <c r="P70" i="30"/>
  <c r="P70" i="29"/>
  <c r="R70" i="26"/>
  <c r="R91" s="1"/>
  <c r="R70" i="30"/>
  <c r="R70" i="29"/>
  <c r="C70" i="26"/>
  <c r="C70" i="29"/>
  <c r="C70" i="30"/>
  <c r="E70" i="26"/>
  <c r="E91" s="1"/>
  <c r="E70" i="29"/>
  <c r="E70" i="30"/>
  <c r="G70" i="26"/>
  <c r="G91" s="1"/>
  <c r="G70" i="29"/>
  <c r="G70" i="30"/>
  <c r="I70" i="26"/>
  <c r="I91" s="1"/>
  <c r="I70" i="29"/>
  <c r="I70" i="30"/>
  <c r="K70" i="26"/>
  <c r="K91" s="1"/>
  <c r="K70" i="29"/>
  <c r="K70" i="30"/>
  <c r="M70" i="26"/>
  <c r="M91" s="1"/>
  <c r="M70" i="29"/>
  <c r="M70" i="30"/>
  <c r="O70" i="26"/>
  <c r="O91" s="1"/>
  <c r="O70" i="29"/>
  <c r="O70" i="30"/>
  <c r="Q70" i="26"/>
  <c r="Q91" s="1"/>
  <c r="Q70" i="29"/>
  <c r="Q70" i="30"/>
  <c r="D136" i="2"/>
  <c r="G86" i="29"/>
  <c r="K15" i="30"/>
  <c r="K15" i="29"/>
  <c r="R15" i="26"/>
  <c r="R15" i="30"/>
  <c r="R15" i="29"/>
  <c r="Q21" i="30"/>
  <c r="Q20" s="1"/>
  <c r="Q5"/>
  <c r="Q4" s="1"/>
  <c r="O21" i="29"/>
  <c r="O20" s="1"/>
  <c r="O5"/>
  <c r="O4" s="1"/>
  <c r="M21" i="30"/>
  <c r="M20" s="1"/>
  <c r="M5"/>
  <c r="M4" s="1"/>
  <c r="K21" i="29"/>
  <c r="K20" s="1"/>
  <c r="K5"/>
  <c r="K4" s="1"/>
  <c r="G21" i="30"/>
  <c r="G20" s="1"/>
  <c r="G5"/>
  <c r="G4" s="1"/>
  <c r="E21" i="29"/>
  <c r="E20" s="1"/>
  <c r="E5"/>
  <c r="E4" s="1"/>
  <c r="C21" i="30"/>
  <c r="C20" s="1"/>
  <c r="C19" s="1"/>
  <c r="C5"/>
  <c r="C4" s="1"/>
  <c r="P21"/>
  <c r="P20" s="1"/>
  <c r="P5"/>
  <c r="P4" s="1"/>
  <c r="N21" i="29"/>
  <c r="N20" s="1"/>
  <c r="N5"/>
  <c r="N4" s="1"/>
  <c r="J21" i="30"/>
  <c r="J20" s="1"/>
  <c r="J5"/>
  <c r="J4" s="1"/>
  <c r="F21" i="29"/>
  <c r="F20" s="1"/>
  <c r="F5"/>
  <c r="F4" s="1"/>
  <c r="R21" i="30"/>
  <c r="R20" s="1"/>
  <c r="R5"/>
  <c r="R4" s="1"/>
  <c r="L21" i="29"/>
  <c r="L20" s="1"/>
  <c r="L5"/>
  <c r="L4" s="1"/>
  <c r="H21" i="30"/>
  <c r="H20" s="1"/>
  <c r="H5"/>
  <c r="H4" s="1"/>
  <c r="D21" i="29"/>
  <c r="D20" s="1"/>
  <c r="D5"/>
  <c r="D4" s="1"/>
  <c r="H15" i="30"/>
  <c r="H15" i="29"/>
  <c r="Q15" i="30"/>
  <c r="Q15" i="29"/>
  <c r="I6" i="26"/>
  <c r="I6" i="30"/>
  <c r="I6" i="29"/>
  <c r="Q21"/>
  <c r="Q20" s="1"/>
  <c r="Q5"/>
  <c r="Q4" s="1"/>
  <c r="O21" i="30"/>
  <c r="O20" s="1"/>
  <c r="O5"/>
  <c r="O4" s="1"/>
  <c r="M21" i="29"/>
  <c r="M20" s="1"/>
  <c r="M5"/>
  <c r="M4" s="1"/>
  <c r="K21" i="30"/>
  <c r="K20" s="1"/>
  <c r="K5"/>
  <c r="K4" s="1"/>
  <c r="G21" i="29"/>
  <c r="G20" s="1"/>
  <c r="G5"/>
  <c r="G4" s="1"/>
  <c r="E21" i="30"/>
  <c r="E20" s="1"/>
  <c r="E5"/>
  <c r="E4" s="1"/>
  <c r="C21" i="29"/>
  <c r="C20" s="1"/>
  <c r="C19" s="1"/>
  <c r="C5"/>
  <c r="C4" s="1"/>
  <c r="P21"/>
  <c r="P20" s="1"/>
  <c r="P5"/>
  <c r="P4" s="1"/>
  <c r="N21" i="30"/>
  <c r="N20" s="1"/>
  <c r="N5"/>
  <c r="N4" s="1"/>
  <c r="J21" i="29"/>
  <c r="J20" s="1"/>
  <c r="J5"/>
  <c r="J4" s="1"/>
  <c r="F21" i="30"/>
  <c r="F20" s="1"/>
  <c r="F5"/>
  <c r="F4" s="1"/>
  <c r="R21" i="29"/>
  <c r="R20" s="1"/>
  <c r="R5"/>
  <c r="R4" s="1"/>
  <c r="L21" i="30"/>
  <c r="L20" s="1"/>
  <c r="L5"/>
  <c r="L4" s="1"/>
  <c r="H21" i="29"/>
  <c r="H20" s="1"/>
  <c r="H5"/>
  <c r="H4" s="1"/>
  <c r="D21" i="30"/>
  <c r="D20" s="1"/>
  <c r="D5"/>
  <c r="D4" s="1"/>
  <c r="K64"/>
  <c r="J71"/>
  <c r="J65"/>
  <c r="K66"/>
  <c r="K88" s="1"/>
  <c r="G86"/>
  <c r="J66"/>
  <c r="K64" i="29"/>
  <c r="K66" s="1"/>
  <c r="J71"/>
  <c r="J65"/>
  <c r="H79"/>
  <c r="H75" s="1"/>
  <c r="H84" s="1"/>
  <c r="J67"/>
  <c r="G355" i="2"/>
  <c r="B178"/>
  <c r="C27"/>
  <c r="C28" i="3" s="1"/>
  <c r="B219" i="2"/>
  <c r="B36" s="1"/>
  <c r="C36"/>
  <c r="G353"/>
  <c r="G357"/>
  <c r="G359"/>
  <c r="D79"/>
  <c r="B33"/>
  <c r="C13" i="4"/>
  <c r="D57"/>
  <c r="G347" i="2"/>
  <c r="D71"/>
  <c r="H125"/>
  <c r="I125" s="1"/>
  <c r="D350"/>
  <c r="B32"/>
  <c r="G39"/>
  <c r="D55" i="4"/>
  <c r="G26" i="1"/>
  <c r="B46" i="6" s="1"/>
  <c r="U279" i="18"/>
  <c r="I20" i="16"/>
  <c r="B179" i="2"/>
  <c r="B28" s="1"/>
  <c r="B29" i="3" s="1"/>
  <c r="C28" i="2"/>
  <c r="C29" i="3" s="1"/>
  <c r="C189" i="2"/>
  <c r="D30"/>
  <c r="D31" i="3" s="1"/>
  <c r="C218" i="2"/>
  <c r="B218" s="1"/>
  <c r="B35" s="1"/>
  <c r="D35"/>
  <c r="B187"/>
  <c r="B29" s="1"/>
  <c r="B30" i="3" s="1"/>
  <c r="C29" i="2"/>
  <c r="C30" i="3" s="1"/>
  <c r="C213" i="2"/>
  <c r="B213" s="1"/>
  <c r="B34" s="1"/>
  <c r="D34"/>
  <c r="D35" i="3" s="1"/>
  <c r="B224" i="2"/>
  <c r="C37"/>
  <c r="C241"/>
  <c r="B241" s="1"/>
  <c r="B40" s="1"/>
  <c r="D40"/>
  <c r="E281"/>
  <c r="D67"/>
  <c r="E7"/>
  <c r="E47" s="1"/>
  <c r="H68"/>
  <c r="G7"/>
  <c r="G47" s="1"/>
  <c r="D32" i="3"/>
  <c r="D348" i="2"/>
  <c r="D352"/>
  <c r="D360"/>
  <c r="C53" i="4"/>
  <c r="Q177"/>
  <c r="P177" s="1"/>
  <c r="O177" s="1"/>
  <c r="N177" s="1"/>
  <c r="M177" s="1"/>
  <c r="L177" s="1"/>
  <c r="K177" s="1"/>
  <c r="J177" s="1"/>
  <c r="I177" s="1"/>
  <c r="H177" s="1"/>
  <c r="G177" s="1"/>
  <c r="F177" s="1"/>
  <c r="E177" s="1"/>
  <c r="D177" s="1"/>
  <c r="C177" s="1"/>
  <c r="Q176" s="1"/>
  <c r="P176" s="1"/>
  <c r="O176" s="1"/>
  <c r="N176" s="1"/>
  <c r="M176" s="1"/>
  <c r="L176" s="1"/>
  <c r="K176" s="1"/>
  <c r="J176" s="1"/>
  <c r="I176" s="1"/>
  <c r="H176" s="1"/>
  <c r="G176" s="1"/>
  <c r="F176" s="1"/>
  <c r="E176" s="1"/>
  <c r="D176" s="1"/>
  <c r="C176" s="1"/>
  <c r="I78" i="1"/>
  <c r="I26" s="1"/>
  <c r="D46" i="6" s="1"/>
  <c r="E8" i="2"/>
  <c r="E48" s="1"/>
  <c r="G8"/>
  <c r="G48" s="1"/>
  <c r="E10"/>
  <c r="E11" i="3" s="1"/>
  <c r="G10" i="2"/>
  <c r="G11" i="3" s="1"/>
  <c r="E12" i="2"/>
  <c r="E13" i="3" s="1"/>
  <c r="G12" i="2"/>
  <c r="G13" i="3" s="1"/>
  <c r="E14" i="2"/>
  <c r="E15" i="3" s="1"/>
  <c r="G14" i="2"/>
  <c r="G15" i="3" s="1"/>
  <c r="E16" i="2"/>
  <c r="E17" i="3" s="1"/>
  <c r="G16" i="2"/>
  <c r="G17" i="3" s="1"/>
  <c r="E18" i="2"/>
  <c r="E19" i="3" s="1"/>
  <c r="G18" i="2"/>
  <c r="G19" i="3" s="1"/>
  <c r="E20" i="2"/>
  <c r="E21" i="3" s="1"/>
  <c r="G20" i="2"/>
  <c r="G21" i="3" s="1"/>
  <c r="D27" i="2"/>
  <c r="F41"/>
  <c r="D28"/>
  <c r="D29"/>
  <c r="D30" i="3" s="1"/>
  <c r="E30" i="2"/>
  <c r="E31" i="3" s="1"/>
  <c r="C31" i="2"/>
  <c r="E31"/>
  <c r="E32" i="3" s="1"/>
  <c r="C32" i="2"/>
  <c r="E32"/>
  <c r="E33" i="3" s="1"/>
  <c r="G32" i="2"/>
  <c r="C33"/>
  <c r="C34" i="3" s="1"/>
  <c r="E33" i="2"/>
  <c r="E34" i="3" s="1"/>
  <c r="G33" i="2"/>
  <c r="G34" i="3" s="1"/>
  <c r="E34" i="2"/>
  <c r="E35" i="3" s="1"/>
  <c r="G34" i="2"/>
  <c r="G35" i="3" s="1"/>
  <c r="E36"/>
  <c r="C37"/>
  <c r="E37" i="2"/>
  <c r="E38" i="3" s="1"/>
  <c r="D38" s="1"/>
  <c r="C38" i="2"/>
  <c r="E38"/>
  <c r="E39" i="3" s="1"/>
  <c r="C39" i="2"/>
  <c r="C40" i="3" s="1"/>
  <c r="E39" i="2"/>
  <c r="E40"/>
  <c r="E41" i="3" s="1"/>
  <c r="G40" i="2"/>
  <c r="G41" i="3" s="1"/>
  <c r="E283" i="2"/>
  <c r="E287"/>
  <c r="E289"/>
  <c r="H75"/>
  <c r="H289" s="1"/>
  <c r="E290"/>
  <c r="G292"/>
  <c r="E295"/>
  <c r="H82"/>
  <c r="H296" s="1"/>
  <c r="E297"/>
  <c r="G308"/>
  <c r="G321"/>
  <c r="H109"/>
  <c r="I109" s="1"/>
  <c r="H111"/>
  <c r="I111" s="1"/>
  <c r="G326"/>
  <c r="G327"/>
  <c r="H114"/>
  <c r="I114" s="1"/>
  <c r="H127"/>
  <c r="I127" s="1"/>
  <c r="H131"/>
  <c r="I131" s="1"/>
  <c r="J131" s="1"/>
  <c r="D135"/>
  <c r="C135" s="1"/>
  <c r="C349" s="1"/>
  <c r="G354"/>
  <c r="D149"/>
  <c r="C149" s="1"/>
  <c r="B149" s="1"/>
  <c r="G363"/>
  <c r="E364"/>
  <c r="G366"/>
  <c r="G370"/>
  <c r="G374"/>
  <c r="H164"/>
  <c r="G379"/>
  <c r="D166"/>
  <c r="D380" s="1"/>
  <c r="E381"/>
  <c r="G275"/>
  <c r="D14" i="4"/>
  <c r="C14" s="1"/>
  <c r="B14" s="1"/>
  <c r="D16"/>
  <c r="D56" s="1"/>
  <c r="D18"/>
  <c r="D58" s="1"/>
  <c r="D20"/>
  <c r="C20" s="1"/>
  <c r="B20" s="1"/>
  <c r="F62"/>
  <c r="E78" i="1"/>
  <c r="D78" s="1"/>
  <c r="O78"/>
  <c r="N78" s="1"/>
  <c r="M78" s="1"/>
  <c r="J136" i="17"/>
  <c r="G190" i="27"/>
  <c r="K190"/>
  <c r="O31" i="1"/>
  <c r="O32"/>
  <c r="K31"/>
  <c r="N33"/>
  <c r="E190" i="27"/>
  <c r="I190"/>
  <c r="K32" i="1"/>
  <c r="N31"/>
  <c r="N30" s="1"/>
  <c r="J32"/>
  <c r="J33"/>
  <c r="M190" i="27"/>
  <c r="D167" i="18"/>
  <c r="D190" i="27"/>
  <c r="H167" i="18"/>
  <c r="H190" i="27"/>
  <c r="I33" i="1"/>
  <c r="I30" s="1"/>
  <c r="J190" i="27"/>
  <c r="L167" i="18"/>
  <c r="L190" i="27"/>
  <c r="M31" i="1"/>
  <c r="M30" s="1"/>
  <c r="N190" i="27"/>
  <c r="P167" i="18"/>
  <c r="P190" i="27"/>
  <c r="Q31" i="1"/>
  <c r="R190" i="27"/>
  <c r="F190"/>
  <c r="O190"/>
  <c r="Q190"/>
  <c r="I68" i="2"/>
  <c r="I72"/>
  <c r="J77"/>
  <c r="I80"/>
  <c r="D296"/>
  <c r="C82"/>
  <c r="D10"/>
  <c r="D302"/>
  <c r="C88"/>
  <c r="D303"/>
  <c r="C89"/>
  <c r="J89"/>
  <c r="C306"/>
  <c r="B92"/>
  <c r="D310"/>
  <c r="C96"/>
  <c r="D12"/>
  <c r="D13" i="3" s="1"/>
  <c r="D311" i="2"/>
  <c r="C97"/>
  <c r="D13"/>
  <c r="D14" i="3" s="1"/>
  <c r="D314" i="2"/>
  <c r="C100"/>
  <c r="C315"/>
  <c r="B101"/>
  <c r="B315" s="1"/>
  <c r="J101"/>
  <c r="D323"/>
  <c r="C109"/>
  <c r="D325"/>
  <c r="C111"/>
  <c r="B111" s="1"/>
  <c r="J111"/>
  <c r="K111" s="1"/>
  <c r="J114"/>
  <c r="K114" s="1"/>
  <c r="L114" s="1"/>
  <c r="D330"/>
  <c r="C116"/>
  <c r="C117"/>
  <c r="D17"/>
  <c r="J117"/>
  <c r="D336"/>
  <c r="C122"/>
  <c r="D18"/>
  <c r="B123"/>
  <c r="C337"/>
  <c r="C340"/>
  <c r="B126"/>
  <c r="C127"/>
  <c r="D19"/>
  <c r="D59" s="1"/>
  <c r="J127"/>
  <c r="C130"/>
  <c r="D344"/>
  <c r="K131"/>
  <c r="C133"/>
  <c r="B135"/>
  <c r="B349" s="1"/>
  <c r="C351"/>
  <c r="B137"/>
  <c r="C353"/>
  <c r="B139"/>
  <c r="D358"/>
  <c r="C144"/>
  <c r="C359"/>
  <c r="B145"/>
  <c r="C361"/>
  <c r="B147"/>
  <c r="B151"/>
  <c r="C365"/>
  <c r="H365"/>
  <c r="G365" s="1"/>
  <c r="I151"/>
  <c r="C368"/>
  <c r="B154"/>
  <c r="B155"/>
  <c r="C369"/>
  <c r="H369"/>
  <c r="G369" s="1"/>
  <c r="I155"/>
  <c r="C372"/>
  <c r="B158"/>
  <c r="B159"/>
  <c r="C373"/>
  <c r="H373"/>
  <c r="G373" s="1"/>
  <c r="I159"/>
  <c r="C376"/>
  <c r="B162"/>
  <c r="C164"/>
  <c r="D378"/>
  <c r="I73"/>
  <c r="C290"/>
  <c r="B76"/>
  <c r="I83"/>
  <c r="I85"/>
  <c r="C87"/>
  <c r="D11"/>
  <c r="D51" s="1"/>
  <c r="J87"/>
  <c r="D304"/>
  <c r="C90"/>
  <c r="D305"/>
  <c r="C91"/>
  <c r="J91"/>
  <c r="I93"/>
  <c r="I95"/>
  <c r="D312"/>
  <c r="C98"/>
  <c r="C313"/>
  <c r="B99"/>
  <c r="B313" s="1"/>
  <c r="D316"/>
  <c r="C102"/>
  <c r="D14"/>
  <c r="C317"/>
  <c r="B103"/>
  <c r="I103"/>
  <c r="H319"/>
  <c r="G319" s="1"/>
  <c r="I105"/>
  <c r="J107"/>
  <c r="D324"/>
  <c r="C110"/>
  <c r="D329"/>
  <c r="C115"/>
  <c r="J115"/>
  <c r="K115" s="1"/>
  <c r="D332"/>
  <c r="C118"/>
  <c r="C333"/>
  <c r="B119"/>
  <c r="J119"/>
  <c r="K119" s="1"/>
  <c r="L119" s="1"/>
  <c r="M119" s="1"/>
  <c r="C335"/>
  <c r="B121"/>
  <c r="I121"/>
  <c r="C124"/>
  <c r="D338"/>
  <c r="J125"/>
  <c r="C342"/>
  <c r="B128"/>
  <c r="B342" s="1"/>
  <c r="B129"/>
  <c r="C343"/>
  <c r="D354"/>
  <c r="C140"/>
  <c r="C355"/>
  <c r="B141"/>
  <c r="B355" s="1"/>
  <c r="C357"/>
  <c r="B143"/>
  <c r="C364"/>
  <c r="B150"/>
  <c r="C152"/>
  <c r="D366"/>
  <c r="C156"/>
  <c r="D370"/>
  <c r="C160"/>
  <c r="D374"/>
  <c r="H375"/>
  <c r="G375" s="1"/>
  <c r="I161"/>
  <c r="B163"/>
  <c r="C377"/>
  <c r="H377"/>
  <c r="G377" s="1"/>
  <c r="I163"/>
  <c r="E21"/>
  <c r="F32" i="3"/>
  <c r="F34"/>
  <c r="E51" i="2"/>
  <c r="F53"/>
  <c r="F54" i="3" s="1"/>
  <c r="F55" i="2"/>
  <c r="G56"/>
  <c r="G57"/>
  <c r="F59"/>
  <c r="C67"/>
  <c r="H67"/>
  <c r="C68"/>
  <c r="B68" s="1"/>
  <c r="B282" s="1"/>
  <c r="C69"/>
  <c r="H69"/>
  <c r="C70"/>
  <c r="B70" s="1"/>
  <c r="H71"/>
  <c r="C72"/>
  <c r="C73"/>
  <c r="D74"/>
  <c r="D75"/>
  <c r="I75"/>
  <c r="D290"/>
  <c r="D77"/>
  <c r="D78"/>
  <c r="H79"/>
  <c r="C80"/>
  <c r="C81"/>
  <c r="H81"/>
  <c r="H295" s="1"/>
  <c r="I82"/>
  <c r="C84"/>
  <c r="C85"/>
  <c r="B85" s="1"/>
  <c r="C86"/>
  <c r="C93"/>
  <c r="C94"/>
  <c r="C95"/>
  <c r="I97"/>
  <c r="C104"/>
  <c r="C106"/>
  <c r="H106"/>
  <c r="D107"/>
  <c r="D108"/>
  <c r="I110"/>
  <c r="D112"/>
  <c r="D113"/>
  <c r="C113" s="1"/>
  <c r="D114"/>
  <c r="C120"/>
  <c r="H123"/>
  <c r="H129"/>
  <c r="I133"/>
  <c r="C134"/>
  <c r="H134"/>
  <c r="D349"/>
  <c r="H135"/>
  <c r="C136"/>
  <c r="I137"/>
  <c r="C138"/>
  <c r="B138" s="1"/>
  <c r="H138"/>
  <c r="I139"/>
  <c r="I141"/>
  <c r="C142"/>
  <c r="I145"/>
  <c r="C146"/>
  <c r="B146" s="1"/>
  <c r="I147"/>
  <c r="H148"/>
  <c r="H362" s="1"/>
  <c r="H149"/>
  <c r="D364"/>
  <c r="I153"/>
  <c r="I157"/>
  <c r="D165"/>
  <c r="C165" s="1"/>
  <c r="B165" s="1"/>
  <c r="I165"/>
  <c r="C166"/>
  <c r="C380" s="1"/>
  <c r="H166"/>
  <c r="C167"/>
  <c r="H167"/>
  <c r="I167" s="1"/>
  <c r="E168"/>
  <c r="G168"/>
  <c r="C35"/>
  <c r="D36" i="3"/>
  <c r="B37" i="2"/>
  <c r="C38" i="3"/>
  <c r="C71" i="2"/>
  <c r="D285"/>
  <c r="C79"/>
  <c r="D293"/>
  <c r="C83"/>
  <c r="D297"/>
  <c r="C105"/>
  <c r="D319"/>
  <c r="C132"/>
  <c r="D346"/>
  <c r="G351"/>
  <c r="B174" i="16" s="1"/>
  <c r="G361" i="2"/>
  <c r="B167" i="16" s="1"/>
  <c r="C148" i="2"/>
  <c r="D362"/>
  <c r="C275"/>
  <c r="B174"/>
  <c r="D12" i="3"/>
  <c r="F21" i="2"/>
  <c r="B32" i="3"/>
  <c r="G50" i="2"/>
  <c r="F50" s="1"/>
  <c r="F51"/>
  <c r="G52"/>
  <c r="F52" s="1"/>
  <c r="F53" i="3" s="1"/>
  <c r="E53" i="2"/>
  <c r="D53" s="1"/>
  <c r="E55"/>
  <c r="F56"/>
  <c r="F57" i="3" s="1"/>
  <c r="F57" i="2"/>
  <c r="E59"/>
  <c r="G59"/>
  <c r="E60"/>
  <c r="C284"/>
  <c r="B284" s="1"/>
  <c r="C299"/>
  <c r="B299" s="1"/>
  <c r="D321"/>
  <c r="C352"/>
  <c r="B352" s="1"/>
  <c r="D379"/>
  <c r="C379" s="1"/>
  <c r="B379" s="1"/>
  <c r="D168"/>
  <c r="H174"/>
  <c r="D275"/>
  <c r="E294"/>
  <c r="E296"/>
  <c r="E299"/>
  <c r="E300"/>
  <c r="E302"/>
  <c r="E303"/>
  <c r="E304"/>
  <c r="E307"/>
  <c r="E309"/>
  <c r="E310"/>
  <c r="E311"/>
  <c r="E312"/>
  <c r="E313"/>
  <c r="D313" s="1"/>
  <c r="E314"/>
  <c r="E316"/>
  <c r="E317"/>
  <c r="D317" s="1"/>
  <c r="E275"/>
  <c r="E282"/>
  <c r="E284"/>
  <c r="E286"/>
  <c r="E298"/>
  <c r="E301"/>
  <c r="D301" s="1"/>
  <c r="E305"/>
  <c r="E306"/>
  <c r="D306" s="1"/>
  <c r="E308"/>
  <c r="E315"/>
  <c r="D315" s="1"/>
  <c r="E318"/>
  <c r="C60" i="4"/>
  <c r="B38"/>
  <c r="B39" i="3" s="1"/>
  <c r="C39"/>
  <c r="C40" i="4"/>
  <c r="D41" i="3"/>
  <c r="K40" i="4"/>
  <c r="E320" i="2"/>
  <c r="E323"/>
  <c r="E324"/>
  <c r="E329"/>
  <c r="E330"/>
  <c r="E332"/>
  <c r="E336"/>
  <c r="E339"/>
  <c r="D339" s="1"/>
  <c r="C339" s="1"/>
  <c r="B339" s="1"/>
  <c r="E340"/>
  <c r="D340" s="1"/>
  <c r="E341"/>
  <c r="D341" s="1"/>
  <c r="E343"/>
  <c r="D343" s="1"/>
  <c r="E345"/>
  <c r="D345" s="1"/>
  <c r="C345" s="1"/>
  <c r="B345" s="1"/>
  <c r="E346"/>
  <c r="E347"/>
  <c r="D347" s="1"/>
  <c r="E351"/>
  <c r="D351" s="1"/>
  <c r="E352"/>
  <c r="E353"/>
  <c r="D353" s="1"/>
  <c r="E354"/>
  <c r="E356"/>
  <c r="E357"/>
  <c r="D357" s="1"/>
  <c r="E358"/>
  <c r="E359"/>
  <c r="D359" s="1"/>
  <c r="E360"/>
  <c r="E361"/>
  <c r="D361" s="1"/>
  <c r="E362"/>
  <c r="E365"/>
  <c r="D365" s="1"/>
  <c r="E366"/>
  <c r="E368"/>
  <c r="D368" s="1"/>
  <c r="E369"/>
  <c r="D369" s="1"/>
  <c r="E370"/>
  <c r="E372"/>
  <c r="D372" s="1"/>
  <c r="E373"/>
  <c r="D373" s="1"/>
  <c r="E374"/>
  <c r="E376"/>
  <c r="D376" s="1"/>
  <c r="E377"/>
  <c r="D377" s="1"/>
  <c r="E378"/>
  <c r="G53" i="3"/>
  <c r="B34"/>
  <c r="B37"/>
  <c r="B40"/>
  <c r="I13" i="4"/>
  <c r="J19"/>
  <c r="B32"/>
  <c r="C33" i="3"/>
  <c r="B34" i="4"/>
  <c r="B54" s="1"/>
  <c r="I35"/>
  <c r="J35" s="1"/>
  <c r="K35" s="1"/>
  <c r="L35" s="1"/>
  <c r="M35" s="1"/>
  <c r="E319" i="2"/>
  <c r="E325"/>
  <c r="E331"/>
  <c r="D331" s="1"/>
  <c r="E333"/>
  <c r="D333" s="1"/>
  <c r="E334"/>
  <c r="E335"/>
  <c r="D335" s="1"/>
  <c r="E337"/>
  <c r="D337" s="1"/>
  <c r="E338"/>
  <c r="E342"/>
  <c r="D342" s="1"/>
  <c r="E344"/>
  <c r="E348"/>
  <c r="E355"/>
  <c r="D355" s="1"/>
  <c r="E367"/>
  <c r="D367" s="1"/>
  <c r="C367" s="1"/>
  <c r="B367" s="1"/>
  <c r="E371"/>
  <c r="D371" s="1"/>
  <c r="C371" s="1"/>
  <c r="B371" s="1"/>
  <c r="E375"/>
  <c r="D375" s="1"/>
  <c r="C375" s="1"/>
  <c r="B375" s="1"/>
  <c r="C41" i="4"/>
  <c r="B36" i="3"/>
  <c r="B38"/>
  <c r="C65" i="10"/>
  <c r="C379" i="16"/>
  <c r="C381"/>
  <c r="C66" i="10"/>
  <c r="C378" i="16"/>
  <c r="C384" s="1"/>
  <c r="C394" s="1"/>
  <c r="C409" s="1"/>
  <c r="C224"/>
  <c r="C221"/>
  <c r="C227" s="1"/>
  <c r="C237" s="1"/>
  <c r="C252" s="1"/>
  <c r="C127"/>
  <c r="C38"/>
  <c r="C301"/>
  <c r="C307" s="1"/>
  <c r="C316" s="1"/>
  <c r="C329" s="1"/>
  <c r="C302"/>
  <c r="C222"/>
  <c r="C126"/>
  <c r="C39"/>
  <c r="C48" i="6"/>
  <c r="K277" i="18"/>
  <c r="L159"/>
  <c r="L330"/>
  <c r="C10" i="4"/>
  <c r="C11"/>
  <c r="C12"/>
  <c r="B13"/>
  <c r="H14"/>
  <c r="C15"/>
  <c r="H15"/>
  <c r="C16"/>
  <c r="C17"/>
  <c r="H17"/>
  <c r="C18"/>
  <c r="H18"/>
  <c r="D19"/>
  <c r="D59" s="1"/>
  <c r="D60" i="3" s="1"/>
  <c r="H20" i="4"/>
  <c r="E52"/>
  <c r="D190"/>
  <c r="F190"/>
  <c r="H190"/>
  <c r="G190" s="1"/>
  <c r="J190"/>
  <c r="N190"/>
  <c r="K89" i="17"/>
  <c r="J134"/>
  <c r="L135"/>
  <c r="K135" s="1"/>
  <c r="J135" s="1"/>
  <c r="M90"/>
  <c r="M135" s="1"/>
  <c r="K137"/>
  <c r="J137" s="1"/>
  <c r="L92"/>
  <c r="C54" i="4"/>
  <c r="D60"/>
  <c r="E53"/>
  <c r="D54"/>
  <c r="K190"/>
  <c r="O190"/>
  <c r="C91" i="26"/>
  <c r="C85" s="1"/>
  <c r="C65"/>
  <c r="C71"/>
  <c r="E51" i="4"/>
  <c r="E55"/>
  <c r="E56" i="3" s="1"/>
  <c r="E167" i="18"/>
  <c r="I167"/>
  <c r="M167"/>
  <c r="Q167"/>
  <c r="B64" i="1"/>
  <c r="C153" i="18" s="1"/>
  <c r="G64" i="1"/>
  <c r="H88" i="18" s="1"/>
  <c r="O64" i="1"/>
  <c r="P88" i="18" s="1"/>
  <c r="H76" i="17"/>
  <c r="K78"/>
  <c r="L78" s="1"/>
  <c r="M78" s="1"/>
  <c r="Q277" i="18" s="1"/>
  <c r="Q159" s="1"/>
  <c r="Q88" i="17"/>
  <c r="J88" s="1"/>
  <c r="K284" i="18"/>
  <c r="C289"/>
  <c r="I290"/>
  <c r="C53" i="10"/>
  <c r="C64" i="1"/>
  <c r="D89" i="18" s="1"/>
  <c r="K64" i="1"/>
  <c r="H115" i="17" s="1"/>
  <c r="P64" i="1"/>
  <c r="Q297" i="18" s="1"/>
  <c r="T77" i="17"/>
  <c r="S78"/>
  <c r="P88"/>
  <c r="C287" i="18"/>
  <c r="L14" i="1"/>
  <c r="I27"/>
  <c r="D47" i="6" s="1"/>
  <c r="Q33" i="1"/>
  <c r="L89" i="18"/>
  <c r="L92"/>
  <c r="L94"/>
  <c r="P97"/>
  <c r="P103"/>
  <c r="C112"/>
  <c r="C297"/>
  <c r="H14" i="1"/>
  <c r="P135" i="18"/>
  <c r="G14" i="1"/>
  <c r="P112" i="18"/>
  <c r="C168"/>
  <c r="C298"/>
  <c r="J64" i="1"/>
  <c r="F13" i="16"/>
  <c r="L696" i="18"/>
  <c r="L663"/>
  <c r="L653"/>
  <c r="L552"/>
  <c r="L648"/>
  <c r="L649"/>
  <c r="L556"/>
  <c r="D104" i="17"/>
  <c r="D119"/>
  <c r="H94" i="18"/>
  <c r="G25" i="1"/>
  <c r="F167" i="18"/>
  <c r="J167"/>
  <c r="N167"/>
  <c r="R167"/>
  <c r="C86" i="1"/>
  <c r="D99" i="17"/>
  <c r="D107"/>
  <c r="H114"/>
  <c r="M115"/>
  <c r="Q86" i="18"/>
  <c r="Q89"/>
  <c r="Q92"/>
  <c r="Q94"/>
  <c r="Q96"/>
  <c r="Q98"/>
  <c r="Q101"/>
  <c r="Q104"/>
  <c r="Q112"/>
  <c r="P140"/>
  <c r="P302"/>
  <c r="C142"/>
  <c r="Q302"/>
  <c r="L154"/>
  <c r="P144"/>
  <c r="L142"/>
  <c r="L135"/>
  <c r="Q240"/>
  <c r="D157"/>
  <c r="F64" i="1"/>
  <c r="G89" i="18" s="1"/>
  <c r="B13" i="16"/>
  <c r="H696" i="18"/>
  <c r="H697" s="1"/>
  <c r="H629"/>
  <c r="H574" s="1"/>
  <c r="H649"/>
  <c r="H550"/>
  <c r="H653"/>
  <c r="H558"/>
  <c r="H652"/>
  <c r="H647"/>
  <c r="H479"/>
  <c r="D657"/>
  <c r="D509"/>
  <c r="D517" s="1"/>
  <c r="D120"/>
  <c r="K13" i="10"/>
  <c r="K8" i="6"/>
  <c r="Q663" i="18"/>
  <c r="Q550"/>
  <c r="Q647"/>
  <c r="Q556"/>
  <c r="Q653"/>
  <c r="Q552"/>
  <c r="Q154"/>
  <c r="Q152"/>
  <c r="Q157"/>
  <c r="Q156"/>
  <c r="D100" i="17"/>
  <c r="H89" i="18"/>
  <c r="H98"/>
  <c r="H103"/>
  <c r="H296"/>
  <c r="H31" i="1"/>
  <c r="G167" i="18"/>
  <c r="D101" i="17"/>
  <c r="H105"/>
  <c r="D112"/>
  <c r="M113"/>
  <c r="D116"/>
  <c r="L116"/>
  <c r="K86" i="18"/>
  <c r="G86"/>
  <c r="G88"/>
  <c r="K89"/>
  <c r="K91"/>
  <c r="G92"/>
  <c r="G93"/>
  <c r="K94"/>
  <c r="G95"/>
  <c r="G96"/>
  <c r="K97"/>
  <c r="K98"/>
  <c r="G100"/>
  <c r="G101"/>
  <c r="K103"/>
  <c r="K104"/>
  <c r="H136"/>
  <c r="H302"/>
  <c r="C240"/>
  <c r="H144"/>
  <c r="L298"/>
  <c r="L295"/>
  <c r="Q141"/>
  <c r="L157"/>
  <c r="L152"/>
  <c r="C696"/>
  <c r="C663"/>
  <c r="C629"/>
  <c r="C652"/>
  <c r="C648"/>
  <c r="C661"/>
  <c r="C508"/>
  <c r="C456"/>
  <c r="C486" s="1"/>
  <c r="C126"/>
  <c r="C122"/>
  <c r="C118"/>
  <c r="C327"/>
  <c r="N64" i="1"/>
  <c r="O90" i="18" s="1"/>
  <c r="J13" i="10"/>
  <c r="J8" i="6"/>
  <c r="P663" i="18"/>
  <c r="P552"/>
  <c r="P550"/>
  <c r="P647"/>
  <c r="P556"/>
  <c r="P653"/>
  <c r="P272"/>
  <c r="H91"/>
  <c r="H95"/>
  <c r="H101"/>
  <c r="H297"/>
  <c r="H295"/>
  <c r="H156"/>
  <c r="K14" i="1"/>
  <c r="J14" s="1"/>
  <c r="J26"/>
  <c r="L31"/>
  <c r="P31"/>
  <c r="H33"/>
  <c r="L33"/>
  <c r="P33"/>
  <c r="K167" i="18"/>
  <c r="O167"/>
  <c r="E86" i="1"/>
  <c r="D86" s="1"/>
  <c r="D106" i="17"/>
  <c r="L106"/>
  <c r="H113"/>
  <c r="M114"/>
  <c r="H117"/>
  <c r="L121"/>
  <c r="L136" i="18"/>
  <c r="H301"/>
  <c r="L302"/>
  <c r="P240"/>
  <c r="H142"/>
  <c r="H135"/>
  <c r="L240"/>
  <c r="Q135"/>
  <c r="P297"/>
  <c r="P153"/>
  <c r="P157"/>
  <c r="P152"/>
  <c r="I54" i="26"/>
  <c r="J61"/>
  <c r="H289" i="18"/>
  <c r="K290"/>
  <c r="N290"/>
  <c r="N284"/>
  <c r="N286"/>
  <c r="G301"/>
  <c r="H287"/>
  <c r="N283"/>
  <c r="E279"/>
  <c r="H285"/>
  <c r="O503"/>
  <c r="N503" s="1"/>
  <c r="M503" s="1"/>
  <c r="O290"/>
  <c r="O262"/>
  <c r="O275"/>
  <c r="G601"/>
  <c r="H576"/>
  <c r="H579" s="1"/>
  <c r="H602"/>
  <c r="R601" s="1"/>
  <c r="L503"/>
  <c r="L285"/>
  <c r="L275"/>
  <c r="L262"/>
  <c r="L286"/>
  <c r="L283"/>
  <c r="G288"/>
  <c r="G300"/>
  <c r="O283"/>
  <c r="M275"/>
  <c r="T271"/>
  <c r="M262"/>
  <c r="M290"/>
  <c r="L290" s="1"/>
  <c r="T279"/>
  <c r="E315"/>
  <c r="G289"/>
  <c r="D284"/>
  <c r="O286"/>
  <c r="O285"/>
  <c r="M286"/>
  <c r="M284"/>
  <c r="M288"/>
  <c r="E283"/>
  <c r="G503"/>
  <c r="G290"/>
  <c r="G262"/>
  <c r="G275"/>
  <c r="D503"/>
  <c r="D288"/>
  <c r="D275"/>
  <c r="D262"/>
  <c r="D286"/>
  <c r="C503"/>
  <c r="C279"/>
  <c r="C262"/>
  <c r="C283"/>
  <c r="C275"/>
  <c r="C290"/>
  <c r="Q283"/>
  <c r="P503"/>
  <c r="P303"/>
  <c r="P285"/>
  <c r="P275"/>
  <c r="P262"/>
  <c r="Q503"/>
  <c r="Q275"/>
  <c r="Q303"/>
  <c r="Q290"/>
  <c r="Q262"/>
  <c r="E20"/>
  <c r="E38" s="1"/>
  <c r="AD52"/>
  <c r="O52" s="1"/>
  <c r="Q700"/>
  <c r="P700" s="1"/>
  <c r="O700" s="1"/>
  <c r="N700" s="1"/>
  <c r="M700" s="1"/>
  <c r="L700" s="1"/>
  <c r="K700" s="1"/>
  <c r="G313"/>
  <c r="L315"/>
  <c r="L279"/>
  <c r="G284"/>
  <c r="G287"/>
  <c r="H284"/>
  <c r="D287"/>
  <c r="C286"/>
  <c r="O565"/>
  <c r="Q286"/>
  <c r="P286" s="1"/>
  <c r="C288"/>
  <c r="D283"/>
  <c r="Q284"/>
  <c r="P284"/>
  <c r="M283"/>
  <c r="E503"/>
  <c r="E275"/>
  <c r="E289"/>
  <c r="E287"/>
  <c r="E262"/>
  <c r="K503"/>
  <c r="K262"/>
  <c r="K275"/>
  <c r="K303"/>
  <c r="H548"/>
  <c r="H503"/>
  <c r="H303"/>
  <c r="H286"/>
  <c r="H283"/>
  <c r="H275"/>
  <c r="H288"/>
  <c r="H262"/>
  <c r="I503"/>
  <c r="I275"/>
  <c r="I262"/>
  <c r="M589"/>
  <c r="N564"/>
  <c r="D279"/>
  <c r="G285"/>
  <c r="E286"/>
  <c r="E285"/>
  <c r="G315"/>
  <c r="D315"/>
  <c r="M287"/>
  <c r="E290"/>
  <c r="P290"/>
  <c r="E288"/>
  <c r="K286"/>
  <c r="K285"/>
  <c r="J285" s="1"/>
  <c r="J291" s="1"/>
  <c r="K283"/>
  <c r="I286"/>
  <c r="D285"/>
  <c r="Q285"/>
  <c r="I283"/>
  <c r="M285"/>
  <c r="L86"/>
  <c r="P86"/>
  <c r="H90"/>
  <c r="N233"/>
  <c r="M233" s="1"/>
  <c r="L233" s="1"/>
  <c r="K233" s="1"/>
  <c r="J233" s="1"/>
  <c r="I233" s="1"/>
  <c r="H233" s="1"/>
  <c r="G233" s="1"/>
  <c r="F233" s="1"/>
  <c r="E233" s="1"/>
  <c r="D233" s="1"/>
  <c r="C233" s="1"/>
  <c r="L90"/>
  <c r="R332"/>
  <c r="O231"/>
  <c r="M219"/>
  <c r="N231"/>
  <c r="R329"/>
  <c r="R331" s="1"/>
  <c r="R278"/>
  <c r="U276"/>
  <c r="K575"/>
  <c r="K579"/>
  <c r="K600"/>
  <c r="L329"/>
  <c r="L278"/>
  <c r="K278" s="1"/>
  <c r="J278" s="1"/>
  <c r="I278" s="1"/>
  <c r="H278" s="1"/>
  <c r="G278" s="1"/>
  <c r="F278" s="1"/>
  <c r="E278" s="1"/>
  <c r="D278" s="1"/>
  <c r="C278" s="1"/>
  <c r="H567"/>
  <c r="H604"/>
  <c r="H638"/>
  <c r="H600"/>
  <c r="G600" s="1"/>
  <c r="H575"/>
  <c r="H592"/>
  <c r="F14" i="10"/>
  <c r="AD65" i="18"/>
  <c r="AD60"/>
  <c r="F38"/>
  <c r="K38"/>
  <c r="P38"/>
  <c r="P39" s="1"/>
  <c r="AD55"/>
  <c r="P139"/>
  <c r="AD53"/>
  <c r="J200"/>
  <c r="K15" i="26"/>
  <c r="R604" i="18"/>
  <c r="R592"/>
  <c r="R600"/>
  <c r="V635"/>
  <c r="R567"/>
  <c r="G9" i="6"/>
  <c r="J579" i="18"/>
  <c r="J600"/>
  <c r="J575"/>
  <c r="P329"/>
  <c r="P278"/>
  <c r="L604"/>
  <c r="K604" s="1"/>
  <c r="J604" s="1"/>
  <c r="L600"/>
  <c r="L579"/>
  <c r="L575"/>
  <c r="D637"/>
  <c r="D600"/>
  <c r="D638"/>
  <c r="D592"/>
  <c r="Q329"/>
  <c r="Q278"/>
  <c r="M278"/>
  <c r="T276"/>
  <c r="I600"/>
  <c r="I579"/>
  <c r="I604"/>
  <c r="I575"/>
  <c r="AD61"/>
  <c r="AD50"/>
  <c r="J38"/>
  <c r="O38"/>
  <c r="P231"/>
  <c r="AD58"/>
  <c r="M201"/>
  <c r="P277"/>
  <c r="Q330"/>
  <c r="Q332" s="1"/>
  <c r="N329"/>
  <c r="M329" s="1"/>
  <c r="N278"/>
  <c r="C9" i="6"/>
  <c r="F592" i="18"/>
  <c r="F637"/>
  <c r="E637" s="1"/>
  <c r="F604"/>
  <c r="F600"/>
  <c r="G200"/>
  <c r="H15" i="26"/>
  <c r="O575" i="18"/>
  <c r="O592"/>
  <c r="O567"/>
  <c r="O600"/>
  <c r="G604"/>
  <c r="G592"/>
  <c r="G638"/>
  <c r="F638" s="1"/>
  <c r="G637"/>
  <c r="C638"/>
  <c r="C637"/>
  <c r="C600"/>
  <c r="C604"/>
  <c r="C592"/>
  <c r="P567"/>
  <c r="P600"/>
  <c r="P575"/>
  <c r="P592"/>
  <c r="P200"/>
  <c r="Q15" i="26"/>
  <c r="E638" i="18"/>
  <c r="E592"/>
  <c r="E600"/>
  <c r="E604"/>
  <c r="D604" s="1"/>
  <c r="AD54"/>
  <c r="AD51"/>
  <c r="AD57"/>
  <c r="AD63"/>
  <c r="I20"/>
  <c r="D38"/>
  <c r="M38"/>
  <c r="J700"/>
  <c r="I700" s="1"/>
  <c r="H700" s="1"/>
  <c r="G700" s="1"/>
  <c r="F700" s="1"/>
  <c r="E700" s="1"/>
  <c r="D700" s="1"/>
  <c r="C700" s="1"/>
  <c r="Q231"/>
  <c r="AD59"/>
  <c r="N592"/>
  <c r="N575"/>
  <c r="N600"/>
  <c r="N567"/>
  <c r="O278"/>
  <c r="O329"/>
  <c r="E9" i="6"/>
  <c r="Q600" i="18"/>
  <c r="Q592"/>
  <c r="Q575"/>
  <c r="Q567"/>
  <c r="M600"/>
  <c r="U635"/>
  <c r="M579"/>
  <c r="M575"/>
  <c r="AD47"/>
  <c r="AE47"/>
  <c r="AD62"/>
  <c r="AD64"/>
  <c r="G90"/>
  <c r="H38"/>
  <c r="L38"/>
  <c r="R38"/>
  <c r="AD48"/>
  <c r="AD56"/>
  <c r="R231"/>
  <c r="Q91" i="29" l="1"/>
  <c r="Q63"/>
  <c r="O91" i="30"/>
  <c r="O63"/>
  <c r="M91" i="29"/>
  <c r="M63"/>
  <c r="K91" i="30"/>
  <c r="K63"/>
  <c r="I91" i="29"/>
  <c r="I63"/>
  <c r="I65"/>
  <c r="I71"/>
  <c r="G91" i="30"/>
  <c r="G85" s="1"/>
  <c r="G63"/>
  <c r="G71"/>
  <c r="G65"/>
  <c r="E91" i="29"/>
  <c r="E63"/>
  <c r="E71"/>
  <c r="E65"/>
  <c r="C91" i="30"/>
  <c r="C71"/>
  <c r="C65"/>
  <c r="C63"/>
  <c r="R91"/>
  <c r="R63"/>
  <c r="P91" i="29"/>
  <c r="P63"/>
  <c r="N91" i="30"/>
  <c r="N63"/>
  <c r="L91" i="29"/>
  <c r="L63"/>
  <c r="J91" i="30"/>
  <c r="J63"/>
  <c r="H91" i="29"/>
  <c r="H63"/>
  <c r="H65"/>
  <c r="H71"/>
  <c r="F91" i="30"/>
  <c r="F63"/>
  <c r="F65"/>
  <c r="F71"/>
  <c r="D91" i="29"/>
  <c r="D63"/>
  <c r="D71"/>
  <c r="D65"/>
  <c r="H85"/>
  <c r="Q91" i="30"/>
  <c r="Q63"/>
  <c r="O91" i="29"/>
  <c r="O63"/>
  <c r="M91" i="30"/>
  <c r="M63"/>
  <c r="K91" i="29"/>
  <c r="K63"/>
  <c r="I91" i="30"/>
  <c r="I63"/>
  <c r="I65"/>
  <c r="I71"/>
  <c r="G91" i="29"/>
  <c r="G63"/>
  <c r="G65"/>
  <c r="G71"/>
  <c r="E91" i="30"/>
  <c r="E63"/>
  <c r="E65"/>
  <c r="E71"/>
  <c r="C91" i="29"/>
  <c r="C65"/>
  <c r="C71"/>
  <c r="C63"/>
  <c r="R91"/>
  <c r="R63"/>
  <c r="P91" i="30"/>
  <c r="P63"/>
  <c r="N91" i="29"/>
  <c r="N63"/>
  <c r="L91" i="30"/>
  <c r="L63"/>
  <c r="J91" i="29"/>
  <c r="J63"/>
  <c r="H91" i="30"/>
  <c r="H63"/>
  <c r="H65"/>
  <c r="H71"/>
  <c r="F91" i="29"/>
  <c r="F63"/>
  <c r="F65"/>
  <c r="F71"/>
  <c r="D91" i="30"/>
  <c r="D63"/>
  <c r="D65"/>
  <c r="D71"/>
  <c r="L95" i="18"/>
  <c r="L93"/>
  <c r="L91"/>
  <c r="L88"/>
  <c r="G15" i="30"/>
  <c r="G15" i="29"/>
  <c r="I21" i="30"/>
  <c r="I20" s="1"/>
  <c r="I5"/>
  <c r="I4" s="1"/>
  <c r="P15"/>
  <c r="P15" i="29"/>
  <c r="J15" i="26"/>
  <c r="J15" i="30"/>
  <c r="J15" i="29"/>
  <c r="I21"/>
  <c r="I20" s="1"/>
  <c r="I5"/>
  <c r="I4" s="1"/>
  <c r="I5" i="26"/>
  <c r="I4" s="1"/>
  <c r="I21"/>
  <c r="I20" s="1"/>
  <c r="G92" i="30"/>
  <c r="H79"/>
  <c r="H75" s="1"/>
  <c r="H84" s="1"/>
  <c r="H85" s="1"/>
  <c r="K67"/>
  <c r="J88"/>
  <c r="J67"/>
  <c r="K71"/>
  <c r="K65"/>
  <c r="L64"/>
  <c r="L66" s="1"/>
  <c r="L88" s="1"/>
  <c r="K88" i="29"/>
  <c r="K67"/>
  <c r="H86"/>
  <c r="K71"/>
  <c r="K65"/>
  <c r="L64"/>
  <c r="L66" s="1"/>
  <c r="B191" i="16"/>
  <c r="B185"/>
  <c r="B212"/>
  <c r="B171"/>
  <c r="B77"/>
  <c r="B172"/>
  <c r="B78"/>
  <c r="Q298" i="18"/>
  <c r="Q131"/>
  <c r="P100"/>
  <c r="D96"/>
  <c r="B333" i="2"/>
  <c r="B373"/>
  <c r="B369"/>
  <c r="B365"/>
  <c r="C32" i="3"/>
  <c r="B166" i="16"/>
  <c r="B168" s="1"/>
  <c r="B192" s="1"/>
  <c r="B81"/>
  <c r="B176"/>
  <c r="B82"/>
  <c r="B169"/>
  <c r="B75"/>
  <c r="B173"/>
  <c r="B79"/>
  <c r="Q168" i="18"/>
  <c r="B170" i="16"/>
  <c r="B175"/>
  <c r="C90" i="18"/>
  <c r="C94"/>
  <c r="P156"/>
  <c r="P295"/>
  <c r="C115"/>
  <c r="L113" i="17"/>
  <c r="P554" i="18"/>
  <c r="P646"/>
  <c r="P629"/>
  <c r="J13" i="16"/>
  <c r="C117" i="18"/>
  <c r="C125"/>
  <c r="C272"/>
  <c r="C274" s="1"/>
  <c r="C653"/>
  <c r="C537"/>
  <c r="C658"/>
  <c r="Q133"/>
  <c r="G103"/>
  <c r="C100"/>
  <c r="G97"/>
  <c r="C95"/>
  <c r="C93"/>
  <c r="G91"/>
  <c r="C88"/>
  <c r="M106" i="17"/>
  <c r="Q202" i="18"/>
  <c r="Q153"/>
  <c r="Q646"/>
  <c r="Q648"/>
  <c r="Q629"/>
  <c r="Q574" s="1"/>
  <c r="K13" i="16"/>
  <c r="D119" i="18"/>
  <c r="H164"/>
  <c r="P155"/>
  <c r="C302"/>
  <c r="C144"/>
  <c r="P136"/>
  <c r="Q103"/>
  <c r="Q97"/>
  <c r="Q93"/>
  <c r="Q88"/>
  <c r="L114" i="17"/>
  <c r="P141" i="18"/>
  <c r="M116" i="17"/>
  <c r="Q136" i="18"/>
  <c r="P133"/>
  <c r="P131"/>
  <c r="P101"/>
  <c r="P96"/>
  <c r="P94"/>
  <c r="P92"/>
  <c r="P89"/>
  <c r="Q279"/>
  <c r="C139"/>
  <c r="G303"/>
  <c r="Q140"/>
  <c r="Q142"/>
  <c r="P298"/>
  <c r="P296"/>
  <c r="M107" i="17"/>
  <c r="P649" i="18"/>
  <c r="P648"/>
  <c r="P558"/>
  <c r="P696"/>
  <c r="C121"/>
  <c r="C130"/>
  <c r="C509"/>
  <c r="C517" s="1"/>
  <c r="C649"/>
  <c r="C660"/>
  <c r="Q295"/>
  <c r="G104"/>
  <c r="C101"/>
  <c r="G98"/>
  <c r="C96"/>
  <c r="G94"/>
  <c r="C92"/>
  <c r="L112" i="17"/>
  <c r="Q272" i="18"/>
  <c r="Q274" s="1"/>
  <c r="Q164"/>
  <c r="Q558"/>
  <c r="Q554"/>
  <c r="Q649"/>
  <c r="Q696"/>
  <c r="D118"/>
  <c r="D647"/>
  <c r="Q155"/>
  <c r="C299"/>
  <c r="C135"/>
  <c r="Q100"/>
  <c r="Q95"/>
  <c r="Q91"/>
  <c r="M119" i="17"/>
  <c r="L107"/>
  <c r="C131" i="18"/>
  <c r="P202"/>
  <c r="M112" i="17"/>
  <c r="P104" i="18"/>
  <c r="P98"/>
  <c r="P95"/>
  <c r="P93"/>
  <c r="P91"/>
  <c r="Q105"/>
  <c r="J20" i="16"/>
  <c r="B189" i="2"/>
  <c r="B30" s="1"/>
  <c r="B31" i="3" s="1"/>
  <c r="C30" i="2"/>
  <c r="C31" i="3" s="1"/>
  <c r="E382" i="2"/>
  <c r="D41"/>
  <c r="E41"/>
  <c r="D281"/>
  <c r="D7"/>
  <c r="D47" s="1"/>
  <c r="O139" i="18"/>
  <c r="H52"/>
  <c r="H117" s="1"/>
  <c r="L303"/>
  <c r="N291"/>
  <c r="H133"/>
  <c r="H141"/>
  <c r="L144"/>
  <c r="H131"/>
  <c r="H112"/>
  <c r="D121" i="17"/>
  <c r="D117"/>
  <c r="D113"/>
  <c r="D102"/>
  <c r="H202" i="18"/>
  <c r="H298"/>
  <c r="H104"/>
  <c r="H96"/>
  <c r="H93"/>
  <c r="L156"/>
  <c r="H153"/>
  <c r="L297"/>
  <c r="H240"/>
  <c r="L153"/>
  <c r="L158" s="1"/>
  <c r="L296"/>
  <c r="D120" i="17"/>
  <c r="H116"/>
  <c r="H112"/>
  <c r="D105"/>
  <c r="H152" i="18"/>
  <c r="H299"/>
  <c r="H100"/>
  <c r="H97"/>
  <c r="D115" i="17"/>
  <c r="H327" i="18"/>
  <c r="H339" s="1"/>
  <c r="H272"/>
  <c r="H274" s="1"/>
  <c r="H648"/>
  <c r="H646"/>
  <c r="H552"/>
  <c r="H651"/>
  <c r="H554"/>
  <c r="H556"/>
  <c r="H663"/>
  <c r="H655"/>
  <c r="B8" i="6"/>
  <c r="L133" i="18"/>
  <c r="L141"/>
  <c r="L131"/>
  <c r="L112"/>
  <c r="D118" i="17"/>
  <c r="D114"/>
  <c r="H107"/>
  <c r="D103"/>
  <c r="H157" i="18"/>
  <c r="H92"/>
  <c r="D108" i="17"/>
  <c r="L272" i="18"/>
  <c r="L327" s="1"/>
  <c r="L647"/>
  <c r="L558"/>
  <c r="L646"/>
  <c r="L550"/>
  <c r="L554"/>
  <c r="L629"/>
  <c r="L599" s="1"/>
  <c r="F8" i="6"/>
  <c r="L164" i="18"/>
  <c r="L202"/>
  <c r="L104"/>
  <c r="L103"/>
  <c r="L101"/>
  <c r="L100"/>
  <c r="L98"/>
  <c r="L97"/>
  <c r="L96"/>
  <c r="E52" i="3"/>
  <c r="D52" s="1"/>
  <c r="D63" i="4"/>
  <c r="C360" i="2"/>
  <c r="B360" s="1"/>
  <c r="D327"/>
  <c r="C282"/>
  <c r="E50"/>
  <c r="E51" i="3" s="1"/>
  <c r="B268" i="16"/>
  <c r="B269"/>
  <c r="D363" i="2"/>
  <c r="C363" s="1"/>
  <c r="B363" s="1"/>
  <c r="C12"/>
  <c r="E57"/>
  <c r="E56"/>
  <c r="E57" i="3" s="1"/>
  <c r="E54" i="2"/>
  <c r="E55" i="3" s="1"/>
  <c r="E52" i="2"/>
  <c r="D52" s="1"/>
  <c r="G21"/>
  <c r="B364"/>
  <c r="B357"/>
  <c r="B335"/>
  <c r="B337"/>
  <c r="J30" i="1"/>
  <c r="C40" i="2"/>
  <c r="C34"/>
  <c r="C35" i="3" s="1"/>
  <c r="B35" s="1"/>
  <c r="D300" i="18"/>
  <c r="D154"/>
  <c r="D112"/>
  <c r="D127"/>
  <c r="D129"/>
  <c r="D130"/>
  <c r="D649"/>
  <c r="D656"/>
  <c r="D629"/>
  <c r="D631" s="1"/>
  <c r="D115"/>
  <c r="D144"/>
  <c r="D100"/>
  <c r="D91"/>
  <c r="K30" i="1"/>
  <c r="U36" i="18"/>
  <c r="O87"/>
  <c r="D90"/>
  <c r="D135"/>
  <c r="D240"/>
  <c r="D117"/>
  <c r="D116"/>
  <c r="C116" s="1"/>
  <c r="D662"/>
  <c r="D648"/>
  <c r="D658"/>
  <c r="D296"/>
  <c r="D137"/>
  <c r="D295"/>
  <c r="D95"/>
  <c r="D39"/>
  <c r="W39" s="1"/>
  <c r="D303"/>
  <c r="D133"/>
  <c r="D301"/>
  <c r="D156"/>
  <c r="D456"/>
  <c r="D486" s="1"/>
  <c r="D114"/>
  <c r="D651"/>
  <c r="D655"/>
  <c r="D659"/>
  <c r="D297"/>
  <c r="D131"/>
  <c r="D101"/>
  <c r="D92"/>
  <c r="R52"/>
  <c r="C138"/>
  <c r="Q501"/>
  <c r="K39"/>
  <c r="L52"/>
  <c r="L117" s="1"/>
  <c r="P105"/>
  <c r="O303"/>
  <c r="C156"/>
  <c r="D139"/>
  <c r="P164"/>
  <c r="C114"/>
  <c r="C119"/>
  <c r="C123"/>
  <c r="C127"/>
  <c r="C459"/>
  <c r="C489" s="1"/>
  <c r="C662"/>
  <c r="C651"/>
  <c r="C647"/>
  <c r="C654"/>
  <c r="C655"/>
  <c r="C656"/>
  <c r="D141"/>
  <c r="C157"/>
  <c r="D140"/>
  <c r="C140" s="1"/>
  <c r="C103"/>
  <c r="K100"/>
  <c r="C97"/>
  <c r="K95"/>
  <c r="K92"/>
  <c r="C89"/>
  <c r="D121"/>
  <c r="D327"/>
  <c r="D339" s="1"/>
  <c r="D123"/>
  <c r="D164"/>
  <c r="D122"/>
  <c r="D460"/>
  <c r="D490" s="1"/>
  <c r="D661"/>
  <c r="D652"/>
  <c r="D646"/>
  <c r="D660"/>
  <c r="D538"/>
  <c r="D663"/>
  <c r="D202"/>
  <c r="D298"/>
  <c r="C128"/>
  <c r="C301"/>
  <c r="C295"/>
  <c r="D138"/>
  <c r="C296"/>
  <c r="D302"/>
  <c r="D153"/>
  <c r="D103"/>
  <c r="D97"/>
  <c r="D93"/>
  <c r="O30" i="1"/>
  <c r="K90" i="18"/>
  <c r="C137"/>
  <c r="C39"/>
  <c r="C303"/>
  <c r="C300"/>
  <c r="C460"/>
  <c r="C490" s="1"/>
  <c r="C120"/>
  <c r="C124"/>
  <c r="C129"/>
  <c r="C113"/>
  <c r="C534"/>
  <c r="C646"/>
  <c r="C650"/>
  <c r="C538"/>
  <c r="C659"/>
  <c r="C657"/>
  <c r="D142"/>
  <c r="C202"/>
  <c r="C104"/>
  <c r="K101"/>
  <c r="C98"/>
  <c r="K96"/>
  <c r="K93"/>
  <c r="C91"/>
  <c r="K88"/>
  <c r="C86"/>
  <c r="D124"/>
  <c r="D459"/>
  <c r="D489" s="1"/>
  <c r="D126"/>
  <c r="D272"/>
  <c r="D274" s="1"/>
  <c r="D125"/>
  <c r="D534"/>
  <c r="D508"/>
  <c r="D513" s="1"/>
  <c r="D653"/>
  <c r="D650"/>
  <c r="D654"/>
  <c r="D537"/>
  <c r="D696"/>
  <c r="D697" s="1"/>
  <c r="D299"/>
  <c r="C141"/>
  <c r="D168"/>
  <c r="D136"/>
  <c r="D104"/>
  <c r="D98"/>
  <c r="D94"/>
  <c r="Q30" i="1"/>
  <c r="O94" i="18"/>
  <c r="O155" i="27"/>
  <c r="O160"/>
  <c r="O158"/>
  <c r="O161"/>
  <c r="O225"/>
  <c r="O180"/>
  <c r="O179"/>
  <c r="O177"/>
  <c r="O176"/>
  <c r="O175"/>
  <c r="O98"/>
  <c r="O99"/>
  <c r="O100"/>
  <c r="O101"/>
  <c r="O102"/>
  <c r="O103"/>
  <c r="O104"/>
  <c r="O105"/>
  <c r="O106"/>
  <c r="N10" i="28" s="1"/>
  <c r="N9" s="1"/>
  <c r="O107" i="27"/>
  <c r="O108"/>
  <c r="O109"/>
  <c r="O110"/>
  <c r="O111"/>
  <c r="O112"/>
  <c r="O115"/>
  <c r="O142"/>
  <c r="O144"/>
  <c r="O146"/>
  <c r="O147"/>
  <c r="O152"/>
  <c r="O153"/>
  <c r="O167"/>
  <c r="O191"/>
  <c r="O178"/>
  <c r="O220" s="1"/>
  <c r="O263"/>
  <c r="O114"/>
  <c r="O123"/>
  <c r="O151"/>
  <c r="O150"/>
  <c r="O149"/>
  <c r="O148"/>
  <c r="O39"/>
  <c r="O141"/>
  <c r="O138"/>
  <c r="O136"/>
  <c r="O134"/>
  <c r="O132"/>
  <c r="O130"/>
  <c r="O128"/>
  <c r="O127"/>
  <c r="O137"/>
  <c r="O135"/>
  <c r="O133"/>
  <c r="O131"/>
  <c r="O129"/>
  <c r="O125"/>
  <c r="O140"/>
  <c r="O124"/>
  <c r="O126"/>
  <c r="O139"/>
  <c r="G155"/>
  <c r="G159"/>
  <c r="G160"/>
  <c r="G156"/>
  <c r="G157"/>
  <c r="G158"/>
  <c r="G161"/>
  <c r="G225"/>
  <c r="G180"/>
  <c r="G179"/>
  <c r="G177"/>
  <c r="G176"/>
  <c r="G175"/>
  <c r="G98"/>
  <c r="G99"/>
  <c r="G100"/>
  <c r="G101"/>
  <c r="G102"/>
  <c r="G103"/>
  <c r="G104"/>
  <c r="G105"/>
  <c r="G106"/>
  <c r="G107"/>
  <c r="G108"/>
  <c r="G109"/>
  <c r="G110"/>
  <c r="G111"/>
  <c r="G112"/>
  <c r="G115"/>
  <c r="G163"/>
  <c r="G142"/>
  <c r="G144"/>
  <c r="G146"/>
  <c r="G147"/>
  <c r="G152"/>
  <c r="G153"/>
  <c r="G167"/>
  <c r="G191"/>
  <c r="G178"/>
  <c r="G220" s="1"/>
  <c r="G263"/>
  <c r="G114"/>
  <c r="G123"/>
  <c r="G151"/>
  <c r="G150"/>
  <c r="G149"/>
  <c r="G148"/>
  <c r="G162"/>
  <c r="G39"/>
  <c r="G141"/>
  <c r="G138"/>
  <c r="G136"/>
  <c r="G134"/>
  <c r="G132"/>
  <c r="G130"/>
  <c r="G128"/>
  <c r="G124"/>
  <c r="G137"/>
  <c r="G135"/>
  <c r="G133"/>
  <c r="G131"/>
  <c r="G129"/>
  <c r="G125"/>
  <c r="G140"/>
  <c r="G127"/>
  <c r="G139"/>
  <c r="G126"/>
  <c r="Q155"/>
  <c r="Q160"/>
  <c r="Q158"/>
  <c r="Q161"/>
  <c r="Q225"/>
  <c r="Q180"/>
  <c r="Q179"/>
  <c r="Q177"/>
  <c r="Q176"/>
  <c r="Q175"/>
  <c r="Q187"/>
  <c r="Q98"/>
  <c r="Q99"/>
  <c r="Q100"/>
  <c r="Q101"/>
  <c r="Q102"/>
  <c r="Q103"/>
  <c r="Q104"/>
  <c r="Q105"/>
  <c r="Q106"/>
  <c r="P10" i="28" s="1"/>
  <c r="P9" s="1"/>
  <c r="Q107" i="27"/>
  <c r="Q108"/>
  <c r="Q109"/>
  <c r="Q110"/>
  <c r="Q111"/>
  <c r="Q112"/>
  <c r="Q115"/>
  <c r="Q142"/>
  <c r="Q144"/>
  <c r="Q146"/>
  <c r="Q147"/>
  <c r="Q152"/>
  <c r="Q153"/>
  <c r="Q167"/>
  <c r="Q191"/>
  <c r="Q178"/>
  <c r="Q220" s="1"/>
  <c r="Q263"/>
  <c r="Q114"/>
  <c r="Q123"/>
  <c r="Q39"/>
  <c r="Q151"/>
  <c r="Q150"/>
  <c r="Q149"/>
  <c r="Q148"/>
  <c r="Q141"/>
  <c r="Q138"/>
  <c r="Q136"/>
  <c r="Q134"/>
  <c r="Q132"/>
  <c r="Q130"/>
  <c r="Q128"/>
  <c r="Q140"/>
  <c r="Q137"/>
  <c r="Q135"/>
  <c r="Q133"/>
  <c r="Q131"/>
  <c r="Q129"/>
  <c r="Q125"/>
  <c r="Q124"/>
  <c r="Q127"/>
  <c r="Q139"/>
  <c r="Q126"/>
  <c r="D156"/>
  <c r="D157"/>
  <c r="D158"/>
  <c r="D161"/>
  <c r="D155"/>
  <c r="D159"/>
  <c r="C8" i="28" s="1"/>
  <c r="C16" s="1"/>
  <c r="D160" i="27"/>
  <c r="D187"/>
  <c r="D225"/>
  <c r="D180"/>
  <c r="D179"/>
  <c r="D177"/>
  <c r="D176"/>
  <c r="D175"/>
  <c r="D141"/>
  <c r="D140"/>
  <c r="D138"/>
  <c r="D137"/>
  <c r="D136"/>
  <c r="D135"/>
  <c r="D134"/>
  <c r="D133"/>
  <c r="D132"/>
  <c r="D131"/>
  <c r="D130"/>
  <c r="D129"/>
  <c r="D128"/>
  <c r="D127"/>
  <c r="D125"/>
  <c r="D124"/>
  <c r="D98"/>
  <c r="D99"/>
  <c r="D100"/>
  <c r="D101"/>
  <c r="D102"/>
  <c r="D103"/>
  <c r="D104"/>
  <c r="D105"/>
  <c r="D106"/>
  <c r="D107"/>
  <c r="D108"/>
  <c r="D109"/>
  <c r="D110"/>
  <c r="D111"/>
  <c r="D112"/>
  <c r="D114"/>
  <c r="D115"/>
  <c r="D123"/>
  <c r="D126"/>
  <c r="D139"/>
  <c r="D142"/>
  <c r="D144"/>
  <c r="D146"/>
  <c r="D147"/>
  <c r="D152"/>
  <c r="D153"/>
  <c r="D167"/>
  <c r="D191"/>
  <c r="D178"/>
  <c r="D220" s="1"/>
  <c r="D263"/>
  <c r="D39"/>
  <c r="W39" s="1"/>
  <c r="D162"/>
  <c r="C5" i="28" s="1"/>
  <c r="D163" i="27"/>
  <c r="D151"/>
  <c r="D150"/>
  <c r="D149"/>
  <c r="D148"/>
  <c r="P158"/>
  <c r="P161"/>
  <c r="P155"/>
  <c r="P160"/>
  <c r="P187"/>
  <c r="P225"/>
  <c r="P180"/>
  <c r="P179"/>
  <c r="P177"/>
  <c r="P176"/>
  <c r="P175"/>
  <c r="P98"/>
  <c r="P99"/>
  <c r="P100"/>
  <c r="P101"/>
  <c r="P102"/>
  <c r="P103"/>
  <c r="P104"/>
  <c r="P105"/>
  <c r="P106"/>
  <c r="O10" i="28" s="1"/>
  <c r="O9" s="1"/>
  <c r="P107" i="27"/>
  <c r="P108"/>
  <c r="P109"/>
  <c r="P110"/>
  <c r="P111"/>
  <c r="P112"/>
  <c r="P114"/>
  <c r="P115"/>
  <c r="P123"/>
  <c r="P142"/>
  <c r="P144"/>
  <c r="P146"/>
  <c r="P147"/>
  <c r="P152"/>
  <c r="P153"/>
  <c r="P167"/>
  <c r="P191"/>
  <c r="P178"/>
  <c r="P220" s="1"/>
  <c r="P263"/>
  <c r="P151"/>
  <c r="P150"/>
  <c r="P149"/>
  <c r="P148"/>
  <c r="P39"/>
  <c r="P141"/>
  <c r="P137"/>
  <c r="P133"/>
  <c r="P129"/>
  <c r="P138"/>
  <c r="P134"/>
  <c r="P130"/>
  <c r="P135"/>
  <c r="P131"/>
  <c r="P125"/>
  <c r="P136"/>
  <c r="P132"/>
  <c r="P128"/>
  <c r="P127"/>
  <c r="P140"/>
  <c r="P124"/>
  <c r="P126"/>
  <c r="P139"/>
  <c r="C156"/>
  <c r="C158"/>
  <c r="C160"/>
  <c r="C155"/>
  <c r="C157"/>
  <c r="C159"/>
  <c r="C161"/>
  <c r="C225"/>
  <c r="C180"/>
  <c r="C179"/>
  <c r="C177"/>
  <c r="C176"/>
  <c r="C175"/>
  <c r="C141"/>
  <c r="C140"/>
  <c r="C138"/>
  <c r="C137"/>
  <c r="C136"/>
  <c r="C135"/>
  <c r="C134"/>
  <c r="C133"/>
  <c r="C132"/>
  <c r="C131"/>
  <c r="C130"/>
  <c r="C129"/>
  <c r="C128"/>
  <c r="C127"/>
  <c r="C125"/>
  <c r="C124"/>
  <c r="C39"/>
  <c r="V39" s="1"/>
  <c r="C98"/>
  <c r="C99"/>
  <c r="C100"/>
  <c r="C101"/>
  <c r="C102"/>
  <c r="C103"/>
  <c r="C104"/>
  <c r="C105"/>
  <c r="C106"/>
  <c r="C107"/>
  <c r="C108"/>
  <c r="C109"/>
  <c r="C110"/>
  <c r="C111"/>
  <c r="C112"/>
  <c r="C115"/>
  <c r="C126"/>
  <c r="C142"/>
  <c r="C144"/>
  <c r="C146"/>
  <c r="C147"/>
  <c r="C152"/>
  <c r="C153"/>
  <c r="C167"/>
  <c r="C191"/>
  <c r="C178"/>
  <c r="C220" s="1"/>
  <c r="C263"/>
  <c r="C114"/>
  <c r="C123"/>
  <c r="C139"/>
  <c r="C151"/>
  <c r="C150"/>
  <c r="C149"/>
  <c r="C148"/>
  <c r="C162"/>
  <c r="C163"/>
  <c r="L119" i="17"/>
  <c r="K155" i="27"/>
  <c r="K160"/>
  <c r="K158"/>
  <c r="K161"/>
  <c r="K225"/>
  <c r="K180"/>
  <c r="K179"/>
  <c r="K177"/>
  <c r="K176"/>
  <c r="K175"/>
  <c r="K98"/>
  <c r="K99"/>
  <c r="K100"/>
  <c r="K101"/>
  <c r="K102"/>
  <c r="K103"/>
  <c r="K104"/>
  <c r="K105"/>
  <c r="K106"/>
  <c r="J10" i="28" s="1"/>
  <c r="J9" s="1"/>
  <c r="K107" i="27"/>
  <c r="K108"/>
  <c r="K109"/>
  <c r="K110"/>
  <c r="K111"/>
  <c r="K112"/>
  <c r="K115"/>
  <c r="K142"/>
  <c r="K144"/>
  <c r="K146"/>
  <c r="K147"/>
  <c r="K152"/>
  <c r="K153"/>
  <c r="K167"/>
  <c r="K191"/>
  <c r="K178"/>
  <c r="K220" s="1"/>
  <c r="K263"/>
  <c r="K114"/>
  <c r="K123"/>
  <c r="K39"/>
  <c r="K151"/>
  <c r="K150"/>
  <c r="K149"/>
  <c r="K148"/>
  <c r="K141"/>
  <c r="K135"/>
  <c r="K131"/>
  <c r="K125"/>
  <c r="K136"/>
  <c r="K132"/>
  <c r="K128"/>
  <c r="K127"/>
  <c r="K140"/>
  <c r="K124"/>
  <c r="K137"/>
  <c r="K133"/>
  <c r="K129"/>
  <c r="K138"/>
  <c r="K134"/>
  <c r="K130"/>
  <c r="K139"/>
  <c r="K126"/>
  <c r="L158"/>
  <c r="L161"/>
  <c r="L155"/>
  <c r="L160"/>
  <c r="L187"/>
  <c r="L225"/>
  <c r="L180"/>
  <c r="L179"/>
  <c r="L177"/>
  <c r="L176"/>
  <c r="L175"/>
  <c r="L98"/>
  <c r="L99"/>
  <c r="L100"/>
  <c r="L101"/>
  <c r="L102"/>
  <c r="L103"/>
  <c r="L104"/>
  <c r="L105"/>
  <c r="L106"/>
  <c r="K10" i="28" s="1"/>
  <c r="K9" s="1"/>
  <c r="L107" i="27"/>
  <c r="L108"/>
  <c r="L109"/>
  <c r="L110"/>
  <c r="L111"/>
  <c r="L112"/>
  <c r="L114"/>
  <c r="L115"/>
  <c r="L123"/>
  <c r="L142"/>
  <c r="L144"/>
  <c r="L146"/>
  <c r="L147"/>
  <c r="L152"/>
  <c r="L153"/>
  <c r="L167"/>
  <c r="L191"/>
  <c r="L178"/>
  <c r="L220" s="1"/>
  <c r="L263"/>
  <c r="L151"/>
  <c r="L150"/>
  <c r="L149"/>
  <c r="L148"/>
  <c r="L39"/>
  <c r="L141"/>
  <c r="L137"/>
  <c r="L135"/>
  <c r="L133"/>
  <c r="L131"/>
  <c r="L129"/>
  <c r="L125"/>
  <c r="L124"/>
  <c r="L127"/>
  <c r="L138"/>
  <c r="L136"/>
  <c r="L134"/>
  <c r="L132"/>
  <c r="L130"/>
  <c r="L128"/>
  <c r="L140"/>
  <c r="L139"/>
  <c r="L126"/>
  <c r="H158"/>
  <c r="H161"/>
  <c r="H155"/>
  <c r="H160"/>
  <c r="H187"/>
  <c r="H225"/>
  <c r="H180"/>
  <c r="H179"/>
  <c r="H177"/>
  <c r="H176"/>
  <c r="H175"/>
  <c r="H159"/>
  <c r="H98"/>
  <c r="H99"/>
  <c r="H100"/>
  <c r="H101"/>
  <c r="H102"/>
  <c r="H103"/>
  <c r="H104"/>
  <c r="H105"/>
  <c r="H106"/>
  <c r="H107"/>
  <c r="H108"/>
  <c r="H109"/>
  <c r="H110"/>
  <c r="H111"/>
  <c r="H112"/>
  <c r="H114"/>
  <c r="H115"/>
  <c r="H123"/>
  <c r="H142"/>
  <c r="H144"/>
  <c r="H146"/>
  <c r="H147"/>
  <c r="H152"/>
  <c r="H153"/>
  <c r="H167"/>
  <c r="H191"/>
  <c r="H178"/>
  <c r="H220" s="1"/>
  <c r="H263"/>
  <c r="H151"/>
  <c r="H150"/>
  <c r="H149"/>
  <c r="H148"/>
  <c r="H39"/>
  <c r="H141"/>
  <c r="H125"/>
  <c r="H138"/>
  <c r="H136"/>
  <c r="H134"/>
  <c r="H132"/>
  <c r="H130"/>
  <c r="H128"/>
  <c r="H124"/>
  <c r="H137"/>
  <c r="H135"/>
  <c r="H133"/>
  <c r="H131"/>
  <c r="H129"/>
  <c r="H127"/>
  <c r="H140"/>
  <c r="H139"/>
  <c r="H126"/>
  <c r="Q144" i="18"/>
  <c r="Q296"/>
  <c r="P43" i="1"/>
  <c r="D152" i="18"/>
  <c r="D128"/>
  <c r="C43" i="1"/>
  <c r="C45"/>
  <c r="H154" i="18"/>
  <c r="G45" i="1"/>
  <c r="H45" s="1"/>
  <c r="I45" s="1"/>
  <c r="J45" s="1"/>
  <c r="I17" i="4"/>
  <c r="C56"/>
  <c r="B16"/>
  <c r="B56" s="1"/>
  <c r="C55"/>
  <c r="B15"/>
  <c r="B53"/>
  <c r="C51"/>
  <c r="B11"/>
  <c r="K19"/>
  <c r="L40"/>
  <c r="B275" i="2"/>
  <c r="B27"/>
  <c r="B346" i="16"/>
  <c r="B80"/>
  <c r="J167" i="2"/>
  <c r="I166"/>
  <c r="J145"/>
  <c r="K145" s="1"/>
  <c r="L145" s="1"/>
  <c r="M145" s="1"/>
  <c r="J141"/>
  <c r="K141" s="1"/>
  <c r="L141" s="1"/>
  <c r="M141" s="1"/>
  <c r="I138"/>
  <c r="J137"/>
  <c r="K137" s="1"/>
  <c r="L137" s="1"/>
  <c r="M137" s="1"/>
  <c r="H349"/>
  <c r="I135"/>
  <c r="H348"/>
  <c r="I134"/>
  <c r="J133"/>
  <c r="K133" s="1"/>
  <c r="L133" s="1"/>
  <c r="M133" s="1"/>
  <c r="C334"/>
  <c r="B120"/>
  <c r="B334" s="1"/>
  <c r="C327"/>
  <c r="B113"/>
  <c r="J110"/>
  <c r="C107"/>
  <c r="D15"/>
  <c r="C320"/>
  <c r="B320" s="1"/>
  <c r="B106"/>
  <c r="J97"/>
  <c r="C308"/>
  <c r="B94"/>
  <c r="C300"/>
  <c r="B86"/>
  <c r="C298"/>
  <c r="B84"/>
  <c r="C295"/>
  <c r="B81"/>
  <c r="H293"/>
  <c r="I79"/>
  <c r="D292"/>
  <c r="C78"/>
  <c r="D289"/>
  <c r="C75"/>
  <c r="C287"/>
  <c r="B73"/>
  <c r="I71"/>
  <c r="I69"/>
  <c r="C281"/>
  <c r="B67"/>
  <c r="C7"/>
  <c r="C374"/>
  <c r="B160"/>
  <c r="C370"/>
  <c r="B156"/>
  <c r="C366"/>
  <c r="B152"/>
  <c r="C338"/>
  <c r="B124"/>
  <c r="B338" s="1"/>
  <c r="K107"/>
  <c r="I319"/>
  <c r="J105"/>
  <c r="J103"/>
  <c r="D15" i="3"/>
  <c r="D54" i="2"/>
  <c r="K87"/>
  <c r="J85"/>
  <c r="B144"/>
  <c r="C358"/>
  <c r="D19" i="3"/>
  <c r="D58" i="2"/>
  <c r="K117"/>
  <c r="D18" i="3"/>
  <c r="D57" i="2"/>
  <c r="C330"/>
  <c r="B116"/>
  <c r="C323"/>
  <c r="B109"/>
  <c r="C314"/>
  <c r="B100"/>
  <c r="C310"/>
  <c r="B96"/>
  <c r="C296"/>
  <c r="B82"/>
  <c r="C10"/>
  <c r="J80"/>
  <c r="D62" i="4"/>
  <c r="E63"/>
  <c r="C321" i="2"/>
  <c r="B265" i="16"/>
  <c r="B22"/>
  <c r="E54" i="3"/>
  <c r="B76" i="16"/>
  <c r="D20" i="2"/>
  <c r="K88" i="17"/>
  <c r="P154" i="18"/>
  <c r="P158" s="1"/>
  <c r="P142"/>
  <c r="L115" i="17"/>
  <c r="C152" i="18"/>
  <c r="C133"/>
  <c r="C143" s="1"/>
  <c r="C154"/>
  <c r="C136"/>
  <c r="B45" i="1"/>
  <c r="M92" i="17"/>
  <c r="K134"/>
  <c r="L89"/>
  <c r="H60" i="4"/>
  <c r="I20"/>
  <c r="C19"/>
  <c r="D20" i="3"/>
  <c r="C58" i="4"/>
  <c r="B18"/>
  <c r="C57"/>
  <c r="B17"/>
  <c r="H55"/>
  <c r="I15"/>
  <c r="I14"/>
  <c r="C52"/>
  <c r="B12"/>
  <c r="C13" i="3"/>
  <c r="B10" i="4"/>
  <c r="C50"/>
  <c r="C11" i="3"/>
  <c r="J277" i="18"/>
  <c r="K159"/>
  <c r="K330"/>
  <c r="K279"/>
  <c r="B33" i="3"/>
  <c r="C41"/>
  <c r="B40" i="4"/>
  <c r="B60" s="1"/>
  <c r="I174" i="2"/>
  <c r="D54" i="3"/>
  <c r="C362" i="2"/>
  <c r="B148"/>
  <c r="B342" i="16"/>
  <c r="B73"/>
  <c r="B23"/>
  <c r="C346" i="2"/>
  <c r="B346" s="1"/>
  <c r="B132"/>
  <c r="C20"/>
  <c r="C319"/>
  <c r="B105"/>
  <c r="B319" s="1"/>
  <c r="C297"/>
  <c r="B83"/>
  <c r="B297" s="1"/>
  <c r="C293"/>
  <c r="B79"/>
  <c r="C285"/>
  <c r="B71"/>
  <c r="C381"/>
  <c r="B167"/>
  <c r="H363"/>
  <c r="I149"/>
  <c r="C356"/>
  <c r="B142"/>
  <c r="J139"/>
  <c r="K139" s="1"/>
  <c r="L139" s="1"/>
  <c r="B136"/>
  <c r="B350" s="1"/>
  <c r="C350"/>
  <c r="C348"/>
  <c r="B134"/>
  <c r="I129"/>
  <c r="J129" s="1"/>
  <c r="I123"/>
  <c r="D328"/>
  <c r="C114"/>
  <c r="B114" s="1"/>
  <c r="D326"/>
  <c r="C112"/>
  <c r="D16"/>
  <c r="D322"/>
  <c r="C108"/>
  <c r="I106"/>
  <c r="C318"/>
  <c r="B104"/>
  <c r="C309"/>
  <c r="B309" s="1"/>
  <c r="B95"/>
  <c r="C307"/>
  <c r="B93"/>
  <c r="B307" s="1"/>
  <c r="I296"/>
  <c r="J82"/>
  <c r="C294"/>
  <c r="B80"/>
  <c r="B294" s="1"/>
  <c r="D291"/>
  <c r="C77"/>
  <c r="D9"/>
  <c r="D288"/>
  <c r="C74"/>
  <c r="D8"/>
  <c r="C286"/>
  <c r="B72"/>
  <c r="C283"/>
  <c r="B69"/>
  <c r="H281"/>
  <c r="I67"/>
  <c r="C52"/>
  <c r="D53" i="3"/>
  <c r="B140" i="2"/>
  <c r="C354"/>
  <c r="J121"/>
  <c r="K121" s="1"/>
  <c r="N119"/>
  <c r="C332"/>
  <c r="B118"/>
  <c r="C329"/>
  <c r="B115"/>
  <c r="B329" s="1"/>
  <c r="C324"/>
  <c r="B110"/>
  <c r="B324" s="1"/>
  <c r="C316"/>
  <c r="C14"/>
  <c r="C15" i="3" s="1"/>
  <c r="B102" i="2"/>
  <c r="C312"/>
  <c r="B98"/>
  <c r="J95"/>
  <c r="J93"/>
  <c r="K91"/>
  <c r="C305"/>
  <c r="B305" s="1"/>
  <c r="B91"/>
  <c r="C304"/>
  <c r="B304" s="1"/>
  <c r="B90"/>
  <c r="C301"/>
  <c r="B87"/>
  <c r="C11"/>
  <c r="C51" s="1"/>
  <c r="C52" i="3" s="1"/>
  <c r="J83" i="2"/>
  <c r="B290"/>
  <c r="J73"/>
  <c r="C378"/>
  <c r="B164"/>
  <c r="C347"/>
  <c r="B133"/>
  <c r="B347" s="1"/>
  <c r="C344"/>
  <c r="B130"/>
  <c r="B344" s="1"/>
  <c r="K127"/>
  <c r="C341"/>
  <c r="B127"/>
  <c r="C19"/>
  <c r="C59" s="1"/>
  <c r="C336"/>
  <c r="B122"/>
  <c r="B18" s="1"/>
  <c r="B58" s="1"/>
  <c r="C18"/>
  <c r="C58" s="1"/>
  <c r="C331"/>
  <c r="B117"/>
  <c r="C17"/>
  <c r="C18" i="3" s="1"/>
  <c r="C311" i="2"/>
  <c r="B97"/>
  <c r="C13"/>
  <c r="C14" i="3" s="1"/>
  <c r="B306" i="2"/>
  <c r="B12"/>
  <c r="K89"/>
  <c r="C303"/>
  <c r="B89"/>
  <c r="C302"/>
  <c r="B88"/>
  <c r="D11" i="3"/>
  <c r="D50" i="2"/>
  <c r="D51" i="3" s="1"/>
  <c r="K77" i="2"/>
  <c r="J72"/>
  <c r="J68"/>
  <c r="Q143" i="18"/>
  <c r="D88"/>
  <c r="T78" i="17"/>
  <c r="C21" i="4"/>
  <c r="E62"/>
  <c r="E384" i="2"/>
  <c r="B345" i="16"/>
  <c r="B72"/>
  <c r="B341"/>
  <c r="C36" i="3"/>
  <c r="D55"/>
  <c r="B344" i="16"/>
  <c r="B377" i="2"/>
  <c r="B343"/>
  <c r="B317"/>
  <c r="B376"/>
  <c r="B372"/>
  <c r="B368"/>
  <c r="B361"/>
  <c r="B359"/>
  <c r="B353"/>
  <c r="B351"/>
  <c r="B340"/>
  <c r="C325"/>
  <c r="B325" s="1"/>
  <c r="M52" i="18"/>
  <c r="P52"/>
  <c r="K52"/>
  <c r="D516"/>
  <c r="H30" i="1"/>
  <c r="Q158" i="18"/>
  <c r="I52"/>
  <c r="AB52" s="1"/>
  <c r="N52"/>
  <c r="G52"/>
  <c r="Z52" s="1"/>
  <c r="H603"/>
  <c r="Q52"/>
  <c r="Q117" s="1"/>
  <c r="J52"/>
  <c r="H578"/>
  <c r="O93"/>
  <c r="O92"/>
  <c r="O91"/>
  <c r="O89"/>
  <c r="O88"/>
  <c r="C521"/>
  <c r="U37"/>
  <c r="C342"/>
  <c r="C338"/>
  <c r="C340"/>
  <c r="C341"/>
  <c r="C339"/>
  <c r="P599"/>
  <c r="P574"/>
  <c r="P591"/>
  <c r="P566"/>
  <c r="H338"/>
  <c r="H328"/>
  <c r="C516"/>
  <c r="O104"/>
  <c r="O103"/>
  <c r="O101"/>
  <c r="O100"/>
  <c r="O98"/>
  <c r="O97"/>
  <c r="O96"/>
  <c r="O95"/>
  <c r="O140"/>
  <c r="E46" i="6"/>
  <c r="B86" i="1"/>
  <c r="M64"/>
  <c r="I13" i="10"/>
  <c r="I13" i="16"/>
  <c r="I8" i="6"/>
  <c r="O696" i="18"/>
  <c r="O663"/>
  <c r="O629"/>
  <c r="O646"/>
  <c r="O550"/>
  <c r="O649"/>
  <c r="O647"/>
  <c r="O648"/>
  <c r="O552"/>
  <c r="O653"/>
  <c r="O554"/>
  <c r="O558"/>
  <c r="O556"/>
  <c r="O272"/>
  <c r="O302"/>
  <c r="O135"/>
  <c r="O141"/>
  <c r="O142"/>
  <c r="O144"/>
  <c r="K116" i="17"/>
  <c r="K112"/>
  <c r="K105"/>
  <c r="O156" i="18"/>
  <c r="O240"/>
  <c r="O43" i="1"/>
  <c r="O295" i="18"/>
  <c r="O298"/>
  <c r="O296"/>
  <c r="O155"/>
  <c r="O297"/>
  <c r="K119" i="17"/>
  <c r="K115"/>
  <c r="K108"/>
  <c r="O152" i="18"/>
  <c r="O202"/>
  <c r="K118" i="17"/>
  <c r="K114"/>
  <c r="K107"/>
  <c r="O131" i="18"/>
  <c r="O133"/>
  <c r="O153"/>
  <c r="O112"/>
  <c r="O136"/>
  <c r="K121" i="17"/>
  <c r="K117"/>
  <c r="K113"/>
  <c r="K106"/>
  <c r="O157" i="18"/>
  <c r="O154"/>
  <c r="D603"/>
  <c r="E64" i="1"/>
  <c r="F39" i="18" s="1"/>
  <c r="G696"/>
  <c r="G697" s="1"/>
  <c r="G538"/>
  <c r="G657"/>
  <c r="G654"/>
  <c r="G663"/>
  <c r="G655"/>
  <c r="G629"/>
  <c r="G603" s="1"/>
  <c r="G537"/>
  <c r="G658"/>
  <c r="G653"/>
  <c r="G646"/>
  <c r="G649"/>
  <c r="G647"/>
  <c r="G648"/>
  <c r="G662"/>
  <c r="G509"/>
  <c r="G517" s="1"/>
  <c r="G661"/>
  <c r="G534"/>
  <c r="G652"/>
  <c r="G651"/>
  <c r="G508"/>
  <c r="G520" s="1"/>
  <c r="G272"/>
  <c r="G274" s="1"/>
  <c r="G327"/>
  <c r="G456"/>
  <c r="G486" s="1"/>
  <c r="G460"/>
  <c r="G490" s="1"/>
  <c r="G459"/>
  <c r="G489" s="1"/>
  <c r="G152"/>
  <c r="G157"/>
  <c r="G202"/>
  <c r="G240"/>
  <c r="G153"/>
  <c r="G142"/>
  <c r="G168"/>
  <c r="G299"/>
  <c r="G131"/>
  <c r="G133"/>
  <c r="G136"/>
  <c r="F45" i="1"/>
  <c r="G302" i="18"/>
  <c r="G296"/>
  <c r="G141"/>
  <c r="G154"/>
  <c r="G43" i="1"/>
  <c r="G297" i="18"/>
  <c r="G295"/>
  <c r="G298"/>
  <c r="G156"/>
  <c r="G112"/>
  <c r="G135"/>
  <c r="G144"/>
  <c r="L578"/>
  <c r="I64" i="1"/>
  <c r="E13" i="10"/>
  <c r="E13" i="16"/>
  <c r="E8" i="6"/>
  <c r="K696" i="18"/>
  <c r="K663"/>
  <c r="K629"/>
  <c r="K554"/>
  <c r="K558"/>
  <c r="K653"/>
  <c r="K647"/>
  <c r="K552"/>
  <c r="K646"/>
  <c r="K556"/>
  <c r="K550"/>
  <c r="K649"/>
  <c r="K648"/>
  <c r="K302"/>
  <c r="K272"/>
  <c r="K156"/>
  <c r="K296"/>
  <c r="K297"/>
  <c r="K298"/>
  <c r="K131"/>
  <c r="K133"/>
  <c r="K136"/>
  <c r="G116" i="17"/>
  <c r="G112"/>
  <c r="G105"/>
  <c r="G114"/>
  <c r="G107"/>
  <c r="K135" i="18"/>
  <c r="K141"/>
  <c r="K142"/>
  <c r="K144"/>
  <c r="K153"/>
  <c r="K154"/>
  <c r="K112"/>
  <c r="G115" i="17"/>
  <c r="J43" i="1"/>
  <c r="K152" i="18"/>
  <c r="K157"/>
  <c r="K202"/>
  <c r="K240"/>
  <c r="K295"/>
  <c r="G117" i="17"/>
  <c r="G113"/>
  <c r="K43" i="1"/>
  <c r="L30"/>
  <c r="C599" i="18"/>
  <c r="C631"/>
  <c r="C632"/>
  <c r="C603"/>
  <c r="C591"/>
  <c r="Q327"/>
  <c r="B379" i="16"/>
  <c r="B301"/>
  <c r="B307" s="1"/>
  <c r="B66" i="10"/>
  <c r="B378" i="16"/>
  <c r="B65" i="10"/>
  <c r="B303" i="16"/>
  <c r="B381"/>
  <c r="B380"/>
  <c r="B302"/>
  <c r="B223"/>
  <c r="B127"/>
  <c r="B38"/>
  <c r="B222"/>
  <c r="B126"/>
  <c r="B224"/>
  <c r="B128"/>
  <c r="B39"/>
  <c r="B221"/>
  <c r="B40"/>
  <c r="B48" i="6"/>
  <c r="P327" i="18"/>
  <c r="P274"/>
  <c r="F86" i="1"/>
  <c r="Q566" i="18"/>
  <c r="H591"/>
  <c r="H632"/>
  <c r="H566"/>
  <c r="H599"/>
  <c r="N90"/>
  <c r="D46" i="1"/>
  <c r="P30"/>
  <c r="O86" i="18"/>
  <c r="C697"/>
  <c r="H54" i="26"/>
  <c r="I61"/>
  <c r="M291" i="18"/>
  <c r="N565"/>
  <c r="P291"/>
  <c r="O291"/>
  <c r="I291"/>
  <c r="D291"/>
  <c r="Q291"/>
  <c r="C291"/>
  <c r="R290" s="1"/>
  <c r="R291" s="1"/>
  <c r="L291"/>
  <c r="G283"/>
  <c r="G291" s="1"/>
  <c r="H291"/>
  <c r="Q601"/>
  <c r="R602"/>
  <c r="R576"/>
  <c r="R577" s="1"/>
  <c r="V262"/>
  <c r="U262" s="1"/>
  <c r="T262" s="1"/>
  <c r="E291"/>
  <c r="L589"/>
  <c r="M564"/>
  <c r="M565" s="1"/>
  <c r="F503"/>
  <c r="G521"/>
  <c r="M592"/>
  <c r="K291"/>
  <c r="L39"/>
  <c r="P501"/>
  <c r="U278"/>
  <c r="T278" s="1"/>
  <c r="L61"/>
  <c r="M61"/>
  <c r="P61"/>
  <c r="H61"/>
  <c r="Q61"/>
  <c r="I61"/>
  <c r="G61"/>
  <c r="O61"/>
  <c r="R61"/>
  <c r="N61"/>
  <c r="J61"/>
  <c r="K61"/>
  <c r="M59"/>
  <c r="Q59"/>
  <c r="I59"/>
  <c r="J59"/>
  <c r="L59"/>
  <c r="K59"/>
  <c r="N59"/>
  <c r="H59"/>
  <c r="R59"/>
  <c r="G59"/>
  <c r="O59"/>
  <c r="P59"/>
  <c r="M57"/>
  <c r="Q57"/>
  <c r="I57"/>
  <c r="K57"/>
  <c r="N57"/>
  <c r="P57"/>
  <c r="R57"/>
  <c r="G57"/>
  <c r="O57"/>
  <c r="L57"/>
  <c r="J57"/>
  <c r="H57"/>
  <c r="O200"/>
  <c r="P15" i="26"/>
  <c r="F200" i="18"/>
  <c r="G15" i="26"/>
  <c r="B9" i="6"/>
  <c r="O53" i="18"/>
  <c r="G53"/>
  <c r="P53"/>
  <c r="H53"/>
  <c r="AA53" s="1"/>
  <c r="K53"/>
  <c r="L53"/>
  <c r="M53"/>
  <c r="N53"/>
  <c r="J53"/>
  <c r="I53"/>
  <c r="R53"/>
  <c r="Q53"/>
  <c r="Q56"/>
  <c r="I56"/>
  <c r="M56"/>
  <c r="N56"/>
  <c r="G56"/>
  <c r="O56"/>
  <c r="R56"/>
  <c r="P56"/>
  <c r="J56"/>
  <c r="L56"/>
  <c r="K56"/>
  <c r="H56"/>
  <c r="L62"/>
  <c r="K62"/>
  <c r="Q62"/>
  <c r="M62"/>
  <c r="P62"/>
  <c r="I62"/>
  <c r="N62"/>
  <c r="H62"/>
  <c r="J62"/>
  <c r="O62"/>
  <c r="R62"/>
  <c r="G62"/>
  <c r="Q38"/>
  <c r="Q39" s="1"/>
  <c r="C38"/>
  <c r="U38"/>
  <c r="U35"/>
  <c r="L54"/>
  <c r="G54"/>
  <c r="P54"/>
  <c r="R54"/>
  <c r="Q54"/>
  <c r="N54"/>
  <c r="H54"/>
  <c r="K54"/>
  <c r="J54"/>
  <c r="M54"/>
  <c r="O54"/>
  <c r="I54"/>
  <c r="G38"/>
  <c r="G39" s="1"/>
  <c r="H39"/>
  <c r="N38"/>
  <c r="O39"/>
  <c r="M48"/>
  <c r="I48"/>
  <c r="Q48"/>
  <c r="K48"/>
  <c r="H48"/>
  <c r="R48"/>
  <c r="J48"/>
  <c r="G48"/>
  <c r="O48"/>
  <c r="P48"/>
  <c r="N48"/>
  <c r="L48"/>
  <c r="Q64"/>
  <c r="I64"/>
  <c r="M64"/>
  <c r="N64"/>
  <c r="J64"/>
  <c r="H64"/>
  <c r="G64"/>
  <c r="O64"/>
  <c r="R64"/>
  <c r="P64"/>
  <c r="K64"/>
  <c r="L64"/>
  <c r="O277"/>
  <c r="P279"/>
  <c r="P159"/>
  <c r="P168" s="1"/>
  <c r="P330"/>
  <c r="P332" s="1"/>
  <c r="Q58"/>
  <c r="H58"/>
  <c r="I58"/>
  <c r="L58"/>
  <c r="M58"/>
  <c r="N58"/>
  <c r="J58"/>
  <c r="K58"/>
  <c r="R58"/>
  <c r="G58"/>
  <c r="P58"/>
  <c r="O58" s="1"/>
  <c r="M55"/>
  <c r="Q55"/>
  <c r="I55"/>
  <c r="G55"/>
  <c r="O55"/>
  <c r="N55"/>
  <c r="P55"/>
  <c r="R55"/>
  <c r="K55"/>
  <c r="L55"/>
  <c r="J55"/>
  <c r="H55"/>
  <c r="Q60"/>
  <c r="I60"/>
  <c r="M60"/>
  <c r="G60"/>
  <c r="O60"/>
  <c r="J60"/>
  <c r="L60"/>
  <c r="H60"/>
  <c r="N60"/>
  <c r="K60"/>
  <c r="R60"/>
  <c r="P60"/>
  <c r="I38"/>
  <c r="Q331"/>
  <c r="P331" s="1"/>
  <c r="O331" s="1"/>
  <c r="N331" s="1"/>
  <c r="M331" s="1"/>
  <c r="L331" s="1"/>
  <c r="K331" s="1"/>
  <c r="J331" s="1"/>
  <c r="I331" s="1"/>
  <c r="H331" s="1"/>
  <c r="G331" s="1"/>
  <c r="F331" s="1"/>
  <c r="E331" s="1"/>
  <c r="D331" s="1"/>
  <c r="C331" s="1"/>
  <c r="P51"/>
  <c r="H51"/>
  <c r="Q51"/>
  <c r="I51"/>
  <c r="L51"/>
  <c r="M51"/>
  <c r="R51"/>
  <c r="K51"/>
  <c r="G51"/>
  <c r="N51"/>
  <c r="O51"/>
  <c r="J51"/>
  <c r="Q160"/>
  <c r="I65"/>
  <c r="M65"/>
  <c r="Q65"/>
  <c r="H65"/>
  <c r="P65"/>
  <c r="G65"/>
  <c r="O65"/>
  <c r="R65"/>
  <c r="L65"/>
  <c r="N65"/>
  <c r="J65"/>
  <c r="K65"/>
  <c r="L219"/>
  <c r="M231"/>
  <c r="D85" i="29" l="1"/>
  <c r="D92"/>
  <c r="F85" i="30"/>
  <c r="F92"/>
  <c r="C92"/>
  <c r="C85"/>
  <c r="E85" i="29"/>
  <c r="E92"/>
  <c r="D85" i="30"/>
  <c r="D92"/>
  <c r="F85" i="29"/>
  <c r="F92"/>
  <c r="C92"/>
  <c r="C85"/>
  <c r="E85" i="30"/>
  <c r="E92"/>
  <c r="G92" i="29"/>
  <c r="G85"/>
  <c r="B216" i="16"/>
  <c r="Q10" i="30"/>
  <c r="Q10" i="29"/>
  <c r="F15" i="30"/>
  <c r="F15" i="29"/>
  <c r="O15" i="30"/>
  <c r="O15" i="29"/>
  <c r="M64" i="30"/>
  <c r="L71"/>
  <c r="L65"/>
  <c r="M66"/>
  <c r="M88" s="1"/>
  <c r="L67"/>
  <c r="H86"/>
  <c r="L88" i="29"/>
  <c r="L67"/>
  <c r="H92"/>
  <c r="M64"/>
  <c r="M66" s="1"/>
  <c r="L71"/>
  <c r="L65"/>
  <c r="B362" i="2"/>
  <c r="B209" i="16"/>
  <c r="B218" s="1"/>
  <c r="B193"/>
  <c r="B51" i="4"/>
  <c r="Q599" i="18"/>
  <c r="AA52"/>
  <c r="AE52" s="1"/>
  <c r="Q591"/>
  <c r="L603"/>
  <c r="H341"/>
  <c r="H342"/>
  <c r="H343" s="1"/>
  <c r="B5" i="28"/>
  <c r="L574" i="18"/>
  <c r="H340"/>
  <c r="P143"/>
  <c r="L274"/>
  <c r="D591"/>
  <c r="D328"/>
  <c r="C328" s="1"/>
  <c r="D632"/>
  <c r="C158"/>
  <c r="H158"/>
  <c r="K20" i="16"/>
  <c r="B180"/>
  <c r="B198" s="1"/>
  <c r="B182"/>
  <c r="B202" s="1"/>
  <c r="B179"/>
  <c r="B196" s="1"/>
  <c r="B183"/>
  <c r="B204" s="1"/>
  <c r="B178"/>
  <c r="B184"/>
  <c r="B206" s="1"/>
  <c r="B177"/>
  <c r="B194" s="1"/>
  <c r="B181"/>
  <c r="B200" s="1"/>
  <c r="B84"/>
  <c r="B88"/>
  <c r="B108" s="1"/>
  <c r="B83"/>
  <c r="B100" s="1"/>
  <c r="B89"/>
  <c r="B110" s="1"/>
  <c r="B87"/>
  <c r="B106" s="1"/>
  <c r="B86"/>
  <c r="B104" s="1"/>
  <c r="B85"/>
  <c r="B102" s="1"/>
  <c r="B90"/>
  <c r="B112" s="1"/>
  <c r="B341" i="2"/>
  <c r="B312"/>
  <c r="B354"/>
  <c r="D382"/>
  <c r="B296"/>
  <c r="B310"/>
  <c r="B314"/>
  <c r="B323"/>
  <c r="B330"/>
  <c r="B358"/>
  <c r="B327"/>
  <c r="D158" i="18"/>
  <c r="E53" i="3"/>
  <c r="C42"/>
  <c r="C41" i="2"/>
  <c r="D341" i="18"/>
  <c r="D342"/>
  <c r="B74" i="16"/>
  <c r="O105" i="18"/>
  <c r="D338"/>
  <c r="D520"/>
  <c r="C520" s="1"/>
  <c r="K166" i="27"/>
  <c r="G166"/>
  <c r="D169" i="18"/>
  <c r="G117"/>
  <c r="C166" i="27"/>
  <c r="Q116"/>
  <c r="O116"/>
  <c r="F5" i="28"/>
  <c r="F7" s="1"/>
  <c r="F15" s="1"/>
  <c r="V39" i="18"/>
  <c r="K116" i="27"/>
  <c r="Q166"/>
  <c r="G116"/>
  <c r="O166"/>
  <c r="K117" i="18"/>
  <c r="J117" s="1"/>
  <c r="K17" i="28"/>
  <c r="J17"/>
  <c r="O17"/>
  <c r="B8"/>
  <c r="B16" s="1"/>
  <c r="B7"/>
  <c r="B15" s="1"/>
  <c r="C7"/>
  <c r="C15" s="1"/>
  <c r="C12"/>
  <c r="C18" s="1"/>
  <c r="P17"/>
  <c r="N17"/>
  <c r="F8"/>
  <c r="F16" s="1"/>
  <c r="L116" i="27"/>
  <c r="D116"/>
  <c r="H116"/>
  <c r="J90" i="18"/>
  <c r="J158" i="27"/>
  <c r="J161"/>
  <c r="J155"/>
  <c r="J160"/>
  <c r="J225"/>
  <c r="J180"/>
  <c r="J179"/>
  <c r="J177"/>
  <c r="J176"/>
  <c r="J175"/>
  <c r="J98"/>
  <c r="J99"/>
  <c r="J100"/>
  <c r="J101"/>
  <c r="J102"/>
  <c r="J103"/>
  <c r="J104"/>
  <c r="J105"/>
  <c r="J106"/>
  <c r="I10" i="28" s="1"/>
  <c r="I9" s="1"/>
  <c r="J107" i="27"/>
  <c r="J108"/>
  <c r="J109"/>
  <c r="J110"/>
  <c r="J111"/>
  <c r="J112"/>
  <c r="J114"/>
  <c r="J115"/>
  <c r="J123"/>
  <c r="J142"/>
  <c r="J144"/>
  <c r="J146"/>
  <c r="J147"/>
  <c r="J152"/>
  <c r="J153"/>
  <c r="J167"/>
  <c r="J191"/>
  <c r="J178"/>
  <c r="J220" s="1"/>
  <c r="J263"/>
  <c r="J151"/>
  <c r="J150"/>
  <c r="J149"/>
  <c r="J148"/>
  <c r="J39"/>
  <c r="J141"/>
  <c r="J135"/>
  <c r="J131"/>
  <c r="J125"/>
  <c r="J138"/>
  <c r="J134"/>
  <c r="J130"/>
  <c r="J127"/>
  <c r="J137"/>
  <c r="J133"/>
  <c r="J129"/>
  <c r="J136"/>
  <c r="J132"/>
  <c r="J128"/>
  <c r="J140"/>
  <c r="J124"/>
  <c r="J139"/>
  <c r="J126"/>
  <c r="F43" i="1"/>
  <c r="F156" i="27"/>
  <c r="F157"/>
  <c r="F158"/>
  <c r="F161"/>
  <c r="F155"/>
  <c r="F159"/>
  <c r="E8" i="28" s="1"/>
  <c r="E16" s="1"/>
  <c r="F160" i="27"/>
  <c r="F225"/>
  <c r="F180"/>
  <c r="F179"/>
  <c r="F177"/>
  <c r="F176"/>
  <c r="F175"/>
  <c r="F141"/>
  <c r="F140"/>
  <c r="F138"/>
  <c r="F137"/>
  <c r="F136"/>
  <c r="F135"/>
  <c r="F134"/>
  <c r="F133"/>
  <c r="F132"/>
  <c r="F131"/>
  <c r="F130"/>
  <c r="F129"/>
  <c r="F128"/>
  <c r="F127"/>
  <c r="F125"/>
  <c r="F124"/>
  <c r="F98"/>
  <c r="F99"/>
  <c r="F100"/>
  <c r="F101"/>
  <c r="F102"/>
  <c r="F103"/>
  <c r="F104"/>
  <c r="F105"/>
  <c r="F106"/>
  <c r="F107"/>
  <c r="F108"/>
  <c r="F109"/>
  <c r="F110"/>
  <c r="F111"/>
  <c r="F112"/>
  <c r="F114"/>
  <c r="F115"/>
  <c r="F123"/>
  <c r="F126"/>
  <c r="F139"/>
  <c r="F142"/>
  <c r="F144"/>
  <c r="F146"/>
  <c r="F147"/>
  <c r="F152"/>
  <c r="F153"/>
  <c r="F167"/>
  <c r="F191"/>
  <c r="F178"/>
  <c r="F220" s="1"/>
  <c r="F263"/>
  <c r="F162"/>
  <c r="F151"/>
  <c r="F150"/>
  <c r="F149"/>
  <c r="F148"/>
  <c r="F39"/>
  <c r="F163"/>
  <c r="L192"/>
  <c r="L189"/>
  <c r="D192"/>
  <c r="D189"/>
  <c r="B348" i="16"/>
  <c r="B361" s="1"/>
  <c r="H166" i="27"/>
  <c r="H181"/>
  <c r="H183" s="1"/>
  <c r="L166"/>
  <c r="L181"/>
  <c r="L183" s="1"/>
  <c r="C116"/>
  <c r="C181"/>
  <c r="C183" s="1"/>
  <c r="P116"/>
  <c r="P181"/>
  <c r="P183" s="1"/>
  <c r="D166"/>
  <c r="G187"/>
  <c r="G181"/>
  <c r="G183" s="1"/>
  <c r="N139" i="18"/>
  <c r="N158" i="27"/>
  <c r="N161"/>
  <c r="N155"/>
  <c r="N160"/>
  <c r="N225"/>
  <c r="N180"/>
  <c r="N179"/>
  <c r="N177"/>
  <c r="N176"/>
  <c r="N175"/>
  <c r="N98"/>
  <c r="N99"/>
  <c r="N100"/>
  <c r="N101"/>
  <c r="N102"/>
  <c r="N103"/>
  <c r="N104"/>
  <c r="N105"/>
  <c r="N106"/>
  <c r="M10" i="28" s="1"/>
  <c r="M9" s="1"/>
  <c r="N107" i="27"/>
  <c r="N108"/>
  <c r="N109"/>
  <c r="N110"/>
  <c r="N111"/>
  <c r="N112"/>
  <c r="N114"/>
  <c r="N115"/>
  <c r="N123"/>
  <c r="N142"/>
  <c r="N144"/>
  <c r="N146"/>
  <c r="N147"/>
  <c r="N152"/>
  <c r="N153"/>
  <c r="N167"/>
  <c r="N191"/>
  <c r="N178"/>
  <c r="N220" s="1"/>
  <c r="N263"/>
  <c r="N151"/>
  <c r="N150"/>
  <c r="N149"/>
  <c r="N148"/>
  <c r="N39"/>
  <c r="N141"/>
  <c r="N137"/>
  <c r="N135"/>
  <c r="N133"/>
  <c r="N131"/>
  <c r="N129"/>
  <c r="N125"/>
  <c r="N140"/>
  <c r="N124"/>
  <c r="N138"/>
  <c r="N136"/>
  <c r="N134"/>
  <c r="N132"/>
  <c r="N130"/>
  <c r="N128"/>
  <c r="N127"/>
  <c r="N126"/>
  <c r="N139"/>
  <c r="H192"/>
  <c r="H189"/>
  <c r="K187"/>
  <c r="K181"/>
  <c r="K183" s="1"/>
  <c r="P166"/>
  <c r="D181"/>
  <c r="D183" s="1"/>
  <c r="Q181"/>
  <c r="Q183" s="1"/>
  <c r="O187"/>
  <c r="O181"/>
  <c r="O183" s="1"/>
  <c r="K68" i="2"/>
  <c r="B331"/>
  <c r="B17"/>
  <c r="B18" i="3" s="1"/>
  <c r="L127" i="2"/>
  <c r="B301"/>
  <c r="B11"/>
  <c r="B51" s="1"/>
  <c r="K93"/>
  <c r="K95"/>
  <c r="B316"/>
  <c r="B14"/>
  <c r="B15" i="3" s="1"/>
  <c r="J67" i="2"/>
  <c r="C288"/>
  <c r="B74"/>
  <c r="C9"/>
  <c r="D49"/>
  <c r="J296"/>
  <c r="K82"/>
  <c r="B318"/>
  <c r="J106"/>
  <c r="C322"/>
  <c r="B108"/>
  <c r="B322" s="1"/>
  <c r="D17" i="3"/>
  <c r="D56" i="2"/>
  <c r="B27" i="16"/>
  <c r="B347"/>
  <c r="B359" s="1"/>
  <c r="B91"/>
  <c r="B97"/>
  <c r="B41" i="3"/>
  <c r="B41" i="4"/>
  <c r="B42" i="3" s="1"/>
  <c r="B50" i="4"/>
  <c r="B52"/>
  <c r="B13" i="3"/>
  <c r="I55" i="4"/>
  <c r="J15"/>
  <c r="B58"/>
  <c r="B59" i="3" s="1"/>
  <c r="B19"/>
  <c r="L88" i="17"/>
  <c r="L87" i="2"/>
  <c r="K103"/>
  <c r="B281"/>
  <c r="D16" i="3"/>
  <c r="D55" i="2"/>
  <c r="D56" i="3" s="1"/>
  <c r="K110" i="2"/>
  <c r="N133"/>
  <c r="I348"/>
  <c r="J134"/>
  <c r="J135"/>
  <c r="K135" s="1"/>
  <c r="L135" s="1"/>
  <c r="N137"/>
  <c r="J138"/>
  <c r="N141"/>
  <c r="N145"/>
  <c r="B28" i="3"/>
  <c r="B41" i="2"/>
  <c r="B303"/>
  <c r="B336"/>
  <c r="B19"/>
  <c r="B59" s="1"/>
  <c r="B378"/>
  <c r="B332"/>
  <c r="B52"/>
  <c r="B283"/>
  <c r="C326"/>
  <c r="C328"/>
  <c r="B328" s="1"/>
  <c r="B348"/>
  <c r="B356"/>
  <c r="B381"/>
  <c r="B285"/>
  <c r="B293"/>
  <c r="B20"/>
  <c r="C57"/>
  <c r="C54"/>
  <c r="B54" s="1"/>
  <c r="B366"/>
  <c r="B370"/>
  <c r="B374"/>
  <c r="C168"/>
  <c r="B295"/>
  <c r="B298"/>
  <c r="B300"/>
  <c r="B308"/>
  <c r="B12" i="3"/>
  <c r="B271" i="16"/>
  <c r="B283" s="1"/>
  <c r="K72" i="2"/>
  <c r="K291"/>
  <c r="J291" s="1"/>
  <c r="I291" s="1"/>
  <c r="H291" s="1"/>
  <c r="G291" s="1"/>
  <c r="L77"/>
  <c r="B302"/>
  <c r="L89"/>
  <c r="B311"/>
  <c r="B13"/>
  <c r="B14" i="3" s="1"/>
  <c r="K73" i="2"/>
  <c r="O119"/>
  <c r="L121"/>
  <c r="B286"/>
  <c r="C8"/>
  <c r="D48"/>
  <c r="D21"/>
  <c r="C291"/>
  <c r="B77"/>
  <c r="B112"/>
  <c r="B16" s="1"/>
  <c r="C16"/>
  <c r="C17" i="3" s="1"/>
  <c r="J123" i="2"/>
  <c r="M139"/>
  <c r="C21" i="3"/>
  <c r="C60" i="2"/>
  <c r="C61" i="3" s="1"/>
  <c r="B356" i="16"/>
  <c r="B366" s="1"/>
  <c r="B350"/>
  <c r="J174" i="2"/>
  <c r="I277" i="18"/>
  <c r="J159"/>
  <c r="J330"/>
  <c r="J279"/>
  <c r="C62" i="4"/>
  <c r="J14"/>
  <c r="B57"/>
  <c r="C59"/>
  <c r="B19"/>
  <c r="C20" i="3"/>
  <c r="J20" i="4"/>
  <c r="M89" i="17"/>
  <c r="L118"/>
  <c r="M121"/>
  <c r="D21" i="3"/>
  <c r="D60" i="2"/>
  <c r="B10"/>
  <c r="B50" s="1"/>
  <c r="C50"/>
  <c r="C51" i="3" s="1"/>
  <c r="K85" i="2"/>
  <c r="C8" i="3"/>
  <c r="C47" i="2"/>
  <c r="B7"/>
  <c r="J69"/>
  <c r="J71"/>
  <c r="B287"/>
  <c r="C289"/>
  <c r="B75"/>
  <c r="C292"/>
  <c r="B78"/>
  <c r="J79"/>
  <c r="B107"/>
  <c r="B321" s="1"/>
  <c r="C15"/>
  <c r="L19" i="4"/>
  <c r="B55"/>
  <c r="J17"/>
  <c r="C55" i="3"/>
  <c r="B55" s="1"/>
  <c r="C53" i="2"/>
  <c r="C53" i="3"/>
  <c r="C19"/>
  <c r="C59"/>
  <c r="B24" i="16"/>
  <c r="B272"/>
  <c r="B349"/>
  <c r="B363" s="1"/>
  <c r="C12" i="3"/>
  <c r="N39" i="18"/>
  <c r="P117"/>
  <c r="O117" s="1"/>
  <c r="N117" s="1"/>
  <c r="J39"/>
  <c r="K164"/>
  <c r="C128" i="16"/>
  <c r="C46" i="1"/>
  <c r="N43"/>
  <c r="O158" i="18"/>
  <c r="G158"/>
  <c r="O143"/>
  <c r="B384" i="16"/>
  <c r="K327" i="18"/>
  <c r="K274"/>
  <c r="K599"/>
  <c r="K574"/>
  <c r="K603"/>
  <c r="K578"/>
  <c r="L341"/>
  <c r="L328"/>
  <c r="L395" s="1"/>
  <c r="L342"/>
  <c r="L338"/>
  <c r="L340"/>
  <c r="L339"/>
  <c r="G342"/>
  <c r="G338"/>
  <c r="G341"/>
  <c r="G339"/>
  <c r="G340"/>
  <c r="G328"/>
  <c r="D64" i="1"/>
  <c r="F164" i="18" s="1"/>
  <c r="F657"/>
  <c r="F659"/>
  <c r="F655"/>
  <c r="F629"/>
  <c r="F658"/>
  <c r="F654"/>
  <c r="F660"/>
  <c r="F537"/>
  <c r="F696"/>
  <c r="F697" s="1"/>
  <c r="F538"/>
  <c r="F656"/>
  <c r="F663"/>
  <c r="F653"/>
  <c r="F649"/>
  <c r="F650"/>
  <c r="F646"/>
  <c r="F647"/>
  <c r="F651"/>
  <c r="F648"/>
  <c r="F652"/>
  <c r="F661"/>
  <c r="F534"/>
  <c r="F662"/>
  <c r="F508"/>
  <c r="F520" s="1"/>
  <c r="F509"/>
  <c r="F517" s="1"/>
  <c r="F456"/>
  <c r="F486" s="1"/>
  <c r="F130"/>
  <c r="F129"/>
  <c r="F127"/>
  <c r="F126"/>
  <c r="F125"/>
  <c r="F124"/>
  <c r="F123"/>
  <c r="F122"/>
  <c r="F121"/>
  <c r="F120"/>
  <c r="F119"/>
  <c r="F118"/>
  <c r="F117"/>
  <c r="F116"/>
  <c r="F460"/>
  <c r="F490" s="1"/>
  <c r="F459"/>
  <c r="F489" s="1"/>
  <c r="F327"/>
  <c r="F114"/>
  <c r="E114" s="1"/>
  <c r="F272"/>
  <c r="F274" s="1"/>
  <c r="F113"/>
  <c r="F301"/>
  <c r="F302"/>
  <c r="F300"/>
  <c r="F168"/>
  <c r="F298"/>
  <c r="E45" i="1"/>
  <c r="F128" i="18"/>
  <c r="F131"/>
  <c r="F133"/>
  <c r="F135"/>
  <c r="F141"/>
  <c r="F142"/>
  <c r="F144"/>
  <c r="F295"/>
  <c r="F297"/>
  <c r="F152"/>
  <c r="F153"/>
  <c r="F154"/>
  <c r="F156"/>
  <c r="F157"/>
  <c r="F202"/>
  <c r="F240"/>
  <c r="F136"/>
  <c r="F296"/>
  <c r="F299"/>
  <c r="F112"/>
  <c r="F303"/>
  <c r="F95"/>
  <c r="F96"/>
  <c r="F97"/>
  <c r="F98"/>
  <c r="F100"/>
  <c r="F101"/>
  <c r="F103"/>
  <c r="F104"/>
  <c r="F91"/>
  <c r="F94"/>
  <c r="F89"/>
  <c r="F92"/>
  <c r="F86"/>
  <c r="F88"/>
  <c r="F93"/>
  <c r="N87"/>
  <c r="F90"/>
  <c r="C343"/>
  <c r="L64" i="1"/>
  <c r="N164" i="18" s="1"/>
  <c r="H13" i="10"/>
  <c r="H13" i="16"/>
  <c r="H8" i="6"/>
  <c r="N696" i="18"/>
  <c r="N663"/>
  <c r="N629"/>
  <c r="N554"/>
  <c r="N550"/>
  <c r="N646"/>
  <c r="N647"/>
  <c r="N648"/>
  <c r="N552"/>
  <c r="N558"/>
  <c r="N653"/>
  <c r="N649"/>
  <c r="N556"/>
  <c r="N296"/>
  <c r="N297"/>
  <c r="N295"/>
  <c r="N272"/>
  <c r="N298"/>
  <c r="N303"/>
  <c r="J119" i="17"/>
  <c r="J115"/>
  <c r="J108"/>
  <c r="J118"/>
  <c r="J114"/>
  <c r="J107"/>
  <c r="J121"/>
  <c r="J117"/>
  <c r="J106"/>
  <c r="N131" i="18"/>
  <c r="N133"/>
  <c r="N135"/>
  <c r="N141"/>
  <c r="N142"/>
  <c r="N144"/>
  <c r="N152"/>
  <c r="N153"/>
  <c r="N154"/>
  <c r="N156"/>
  <c r="N157"/>
  <c r="N202"/>
  <c r="N240"/>
  <c r="N302"/>
  <c r="N112"/>
  <c r="N136"/>
  <c r="J120" i="17"/>
  <c r="J116"/>
  <c r="J112"/>
  <c r="J105"/>
  <c r="J113"/>
  <c r="N86" i="18"/>
  <c r="N88"/>
  <c r="N89"/>
  <c r="N91"/>
  <c r="N92"/>
  <c r="N93"/>
  <c r="N96"/>
  <c r="N100"/>
  <c r="N104"/>
  <c r="N94"/>
  <c r="N155"/>
  <c r="N95"/>
  <c r="N98"/>
  <c r="N103"/>
  <c r="N140"/>
  <c r="N97"/>
  <c r="N101"/>
  <c r="B227" i="16"/>
  <c r="C303"/>
  <c r="B316"/>
  <c r="H64" i="1"/>
  <c r="J164" i="18" s="1"/>
  <c r="D13" i="10"/>
  <c r="D13" i="16"/>
  <c r="D8" i="6"/>
  <c r="J663" i="18"/>
  <c r="J554"/>
  <c r="J550"/>
  <c r="J696"/>
  <c r="J629"/>
  <c r="J646"/>
  <c r="J647"/>
  <c r="J648"/>
  <c r="J556"/>
  <c r="J552"/>
  <c r="J558"/>
  <c r="J653"/>
  <c r="J649"/>
  <c r="J272"/>
  <c r="J131"/>
  <c r="J133"/>
  <c r="J135"/>
  <c r="J141"/>
  <c r="J142"/>
  <c r="J144"/>
  <c r="J295"/>
  <c r="J297"/>
  <c r="J152"/>
  <c r="J153"/>
  <c r="J154"/>
  <c r="J156"/>
  <c r="J157"/>
  <c r="J202"/>
  <c r="J240"/>
  <c r="J302"/>
  <c r="J136"/>
  <c r="F115" i="17"/>
  <c r="J298" i="18"/>
  <c r="F113" i="17"/>
  <c r="J303" i="18"/>
  <c r="F114" i="17"/>
  <c r="F107"/>
  <c r="J296" i="18"/>
  <c r="F117" i="17"/>
  <c r="F116"/>
  <c r="F112"/>
  <c r="F105"/>
  <c r="J112" i="18"/>
  <c r="J88"/>
  <c r="J89"/>
  <c r="J91"/>
  <c r="J92"/>
  <c r="J93"/>
  <c r="J95"/>
  <c r="J96"/>
  <c r="J97"/>
  <c r="J98"/>
  <c r="J100"/>
  <c r="J101"/>
  <c r="J103"/>
  <c r="J104"/>
  <c r="J86"/>
  <c r="J94"/>
  <c r="J155"/>
  <c r="O327"/>
  <c r="O274"/>
  <c r="C223" i="16"/>
  <c r="G516" i="18"/>
  <c r="G513"/>
  <c r="F108" i="1"/>
  <c r="F46"/>
  <c r="E46" s="1"/>
  <c r="P339" i="18"/>
  <c r="P328"/>
  <c r="P340"/>
  <c r="P341"/>
  <c r="P342"/>
  <c r="P338"/>
  <c r="Q339"/>
  <c r="Q341"/>
  <c r="Q328"/>
  <c r="Q395" s="1"/>
  <c r="Q342"/>
  <c r="Q338"/>
  <c r="Q340"/>
  <c r="K45" i="1"/>
  <c r="G591" i="18"/>
  <c r="G632"/>
  <c r="G599"/>
  <c r="G631"/>
  <c r="O599"/>
  <c r="O574"/>
  <c r="O591"/>
  <c r="O566"/>
  <c r="C40" i="16"/>
  <c r="K158" i="18"/>
  <c r="G164"/>
  <c r="G169" s="1"/>
  <c r="O164"/>
  <c r="G54" i="26"/>
  <c r="H61"/>
  <c r="P601" i="18"/>
  <c r="Q602"/>
  <c r="Q603"/>
  <c r="Q576"/>
  <c r="Q604"/>
  <c r="Q577"/>
  <c r="M567"/>
  <c r="K589"/>
  <c r="L591"/>
  <c r="L564"/>
  <c r="L565" s="1"/>
  <c r="L592"/>
  <c r="R579"/>
  <c r="O50"/>
  <c r="Q125"/>
  <c r="Q119"/>
  <c r="P119" s="1"/>
  <c r="O119" s="1"/>
  <c r="Q118"/>
  <c r="P118" s="1"/>
  <c r="O118" s="1"/>
  <c r="N118" s="1"/>
  <c r="Q50"/>
  <c r="Q130"/>
  <c r="P120"/>
  <c r="O120" s="1"/>
  <c r="N120" s="1"/>
  <c r="P127"/>
  <c r="O127" s="1"/>
  <c r="N127" s="1"/>
  <c r="Q121"/>
  <c r="P121" s="1"/>
  <c r="O121" s="1"/>
  <c r="N121" s="1"/>
  <c r="P126"/>
  <c r="Z60"/>
  <c r="G125"/>
  <c r="P160"/>
  <c r="Q10" i="26"/>
  <c r="Q194" i="18"/>
  <c r="Q192"/>
  <c r="Q162"/>
  <c r="Q161"/>
  <c r="G50"/>
  <c r="Z51"/>
  <c r="AB60"/>
  <c r="N277"/>
  <c r="O279"/>
  <c r="O159"/>
  <c r="O168" s="1"/>
  <c r="O330"/>
  <c r="O332" s="1"/>
  <c r="L129"/>
  <c r="L63"/>
  <c r="N129"/>
  <c r="N63"/>
  <c r="Z48"/>
  <c r="AB54"/>
  <c r="Z56"/>
  <c r="G121"/>
  <c r="AA57"/>
  <c r="H122"/>
  <c r="Z57"/>
  <c r="G122"/>
  <c r="H124"/>
  <c r="AA59"/>
  <c r="H126"/>
  <c r="AA61"/>
  <c r="L50"/>
  <c r="P50"/>
  <c r="P123"/>
  <c r="O123" s="1"/>
  <c r="N123" s="1"/>
  <c r="O63"/>
  <c r="N119"/>
  <c r="K219"/>
  <c r="L231"/>
  <c r="AA60"/>
  <c r="H125"/>
  <c r="H120"/>
  <c r="AA55"/>
  <c r="H63"/>
  <c r="AA64"/>
  <c r="G119"/>
  <c r="Z54"/>
  <c r="G124"/>
  <c r="Z59"/>
  <c r="AB61"/>
  <c r="H130"/>
  <c r="AA65"/>
  <c r="H50"/>
  <c r="H116"/>
  <c r="G116" s="1"/>
  <c r="AA51"/>
  <c r="AB55"/>
  <c r="G123"/>
  <c r="Z58"/>
  <c r="H123"/>
  <c r="AA58"/>
  <c r="R63"/>
  <c r="J63"/>
  <c r="J129"/>
  <c r="AA48"/>
  <c r="AB62"/>
  <c r="AB56"/>
  <c r="AB53"/>
  <c r="G118"/>
  <c r="Z53"/>
  <c r="E200"/>
  <c r="F15" i="26"/>
  <c r="P130" i="18"/>
  <c r="O130" s="1"/>
  <c r="N130" s="1"/>
  <c r="M130" s="1"/>
  <c r="L130" s="1"/>
  <c r="K130" s="1"/>
  <c r="J130" s="1"/>
  <c r="N50"/>
  <c r="M50"/>
  <c r="P125"/>
  <c r="O125" s="1"/>
  <c r="N125" s="1"/>
  <c r="Q63"/>
  <c r="O501"/>
  <c r="Q124"/>
  <c r="P124" s="1"/>
  <c r="O124" s="1"/>
  <c r="N124" s="1"/>
  <c r="M124" s="1"/>
  <c r="L124" s="1"/>
  <c r="K124" s="1"/>
  <c r="J124" s="1"/>
  <c r="O126"/>
  <c r="N126" s="1"/>
  <c r="AB65"/>
  <c r="R50"/>
  <c r="Z55"/>
  <c r="G120"/>
  <c r="AB58"/>
  <c r="P63"/>
  <c r="P129"/>
  <c r="O129" s="1"/>
  <c r="AB64"/>
  <c r="I63"/>
  <c r="AB48"/>
  <c r="G130"/>
  <c r="Z65"/>
  <c r="AB51"/>
  <c r="I50"/>
  <c r="K129"/>
  <c r="K63"/>
  <c r="Z64"/>
  <c r="G63"/>
  <c r="AA54"/>
  <c r="H119"/>
  <c r="G127"/>
  <c r="Z62"/>
  <c r="H127"/>
  <c r="AA62"/>
  <c r="AA56"/>
  <c r="H121"/>
  <c r="N200"/>
  <c r="O15" i="26"/>
  <c r="AB57" i="18"/>
  <c r="AB59"/>
  <c r="G126"/>
  <c r="Z61"/>
  <c r="J50"/>
  <c r="K50"/>
  <c r="M63"/>
  <c r="Q122"/>
  <c r="P122" s="1"/>
  <c r="O122" s="1"/>
  <c r="N122" s="1"/>
  <c r="B51" i="3" l="1"/>
  <c r="N15" i="26"/>
  <c r="N15" i="30"/>
  <c r="N15" i="29"/>
  <c r="E15" i="30"/>
  <c r="E15" i="29"/>
  <c r="P10" i="30"/>
  <c r="P10" i="29"/>
  <c r="Q25" i="30"/>
  <c r="Q27" s="1"/>
  <c r="Q12"/>
  <c r="Q23" s="1"/>
  <c r="Q19" s="1"/>
  <c r="Q28" s="1"/>
  <c r="Q13"/>
  <c r="Q25" i="29"/>
  <c r="Q27" s="1"/>
  <c r="Q12"/>
  <c r="Q23" s="1"/>
  <c r="Q19" s="1"/>
  <c r="Q13"/>
  <c r="M67" i="30"/>
  <c r="H92"/>
  <c r="M71"/>
  <c r="M65"/>
  <c r="N64"/>
  <c r="M88" i="29"/>
  <c r="M67"/>
  <c r="M71"/>
  <c r="M65"/>
  <c r="N64"/>
  <c r="N66" s="1"/>
  <c r="M119" i="18"/>
  <c r="L119" s="1"/>
  <c r="K119" s="1"/>
  <c r="J119" s="1"/>
  <c r="M123"/>
  <c r="L123" s="1"/>
  <c r="K123" s="1"/>
  <c r="J123" s="1"/>
  <c r="M129"/>
  <c r="M127"/>
  <c r="L127" s="1"/>
  <c r="K127" s="1"/>
  <c r="J127" s="1"/>
  <c r="M118"/>
  <c r="L118" s="1"/>
  <c r="K118" s="1"/>
  <c r="J118" s="1"/>
  <c r="I129"/>
  <c r="H129" s="1"/>
  <c r="G129" s="1"/>
  <c r="B201" i="16"/>
  <c r="B207"/>
  <c r="B205"/>
  <c r="B203"/>
  <c r="B195"/>
  <c r="B197"/>
  <c r="B199"/>
  <c r="B111"/>
  <c r="B107"/>
  <c r="B103"/>
  <c r="B113"/>
  <c r="B109"/>
  <c r="B105"/>
  <c r="B101"/>
  <c r="B115"/>
  <c r="M122" i="18"/>
  <c r="L122" s="1"/>
  <c r="K122" s="1"/>
  <c r="J122" s="1"/>
  <c r="M126"/>
  <c r="L126" s="1"/>
  <c r="K126" s="1"/>
  <c r="J126" s="1"/>
  <c r="M125"/>
  <c r="L125" s="1"/>
  <c r="K125" s="1"/>
  <c r="J125" s="1"/>
  <c r="AE53"/>
  <c r="M121"/>
  <c r="L121" s="1"/>
  <c r="K121" s="1"/>
  <c r="J121" s="1"/>
  <c r="M120"/>
  <c r="L120" s="1"/>
  <c r="K120" s="1"/>
  <c r="J120" s="1"/>
  <c r="F50" i="1"/>
  <c r="F18" s="1"/>
  <c r="M117" i="18"/>
  <c r="M140"/>
  <c r="L140" s="1"/>
  <c r="K140" s="1"/>
  <c r="J140" s="1"/>
  <c r="M43" i="1"/>
  <c r="I121" i="18"/>
  <c r="I126"/>
  <c r="I119"/>
  <c r="I125"/>
  <c r="F521"/>
  <c r="B168" i="2"/>
  <c r="B57"/>
  <c r="B288"/>
  <c r="I122" i="18"/>
  <c r="I118"/>
  <c r="H118" s="1"/>
  <c r="I127"/>
  <c r="I120"/>
  <c r="N143"/>
  <c r="I124"/>
  <c r="I130"/>
  <c r="I123"/>
  <c r="I94"/>
  <c r="B118" i="16"/>
  <c r="B123" s="1"/>
  <c r="E43" i="1"/>
  <c r="E5" i="28"/>
  <c r="E7" s="1"/>
  <c r="E15" s="1"/>
  <c r="M17"/>
  <c r="B12"/>
  <c r="B18" s="1"/>
  <c r="F12"/>
  <c r="F18" s="1"/>
  <c r="I17"/>
  <c r="F116" i="27"/>
  <c r="M155"/>
  <c r="M160"/>
  <c r="M158"/>
  <c r="M161"/>
  <c r="M225"/>
  <c r="M180"/>
  <c r="M179"/>
  <c r="M177"/>
  <c r="M176"/>
  <c r="M175"/>
  <c r="M187"/>
  <c r="M99"/>
  <c r="M100"/>
  <c r="M101"/>
  <c r="M102"/>
  <c r="M103"/>
  <c r="M104"/>
  <c r="M105"/>
  <c r="M106"/>
  <c r="L10" i="28" s="1"/>
  <c r="L9" s="1"/>
  <c r="M107" i="27"/>
  <c r="M108"/>
  <c r="M109"/>
  <c r="M110"/>
  <c r="M111"/>
  <c r="M112"/>
  <c r="M115"/>
  <c r="M142"/>
  <c r="M144"/>
  <c r="M146"/>
  <c r="M147"/>
  <c r="M152"/>
  <c r="M153"/>
  <c r="M167"/>
  <c r="M191"/>
  <c r="M178"/>
  <c r="M220" s="1"/>
  <c r="M263"/>
  <c r="M114"/>
  <c r="M123"/>
  <c r="M98"/>
  <c r="M39"/>
  <c r="M151"/>
  <c r="M150"/>
  <c r="M149"/>
  <c r="M148"/>
  <c r="M141"/>
  <c r="M135"/>
  <c r="M131"/>
  <c r="M125"/>
  <c r="M136"/>
  <c r="M132"/>
  <c r="M128"/>
  <c r="M124"/>
  <c r="M137"/>
  <c r="M133"/>
  <c r="M129"/>
  <c r="M138"/>
  <c r="M134"/>
  <c r="M130"/>
  <c r="M127"/>
  <c r="M140"/>
  <c r="M139"/>
  <c r="M126"/>
  <c r="D215"/>
  <c r="D184"/>
  <c r="D217"/>
  <c r="D185"/>
  <c r="D188" s="1"/>
  <c r="K184"/>
  <c r="K215"/>
  <c r="K217"/>
  <c r="G192"/>
  <c r="G189"/>
  <c r="P215"/>
  <c r="P184"/>
  <c r="P217"/>
  <c r="P185"/>
  <c r="P188" s="1"/>
  <c r="N116"/>
  <c r="F166"/>
  <c r="F181"/>
  <c r="F183" s="1"/>
  <c r="J116"/>
  <c r="I39" i="18"/>
  <c r="I155" i="27"/>
  <c r="I160"/>
  <c r="I158"/>
  <c r="I161"/>
  <c r="I225"/>
  <c r="I180"/>
  <c r="I179"/>
  <c r="I177"/>
  <c r="I176"/>
  <c r="I175"/>
  <c r="I187"/>
  <c r="I98"/>
  <c r="I99"/>
  <c r="I100"/>
  <c r="I101"/>
  <c r="I102"/>
  <c r="I103"/>
  <c r="I104"/>
  <c r="I105"/>
  <c r="I106"/>
  <c r="H10" i="28" s="1"/>
  <c r="H9" s="1"/>
  <c r="I107" i="27"/>
  <c r="I108"/>
  <c r="I109"/>
  <c r="I110"/>
  <c r="I111"/>
  <c r="I112"/>
  <c r="I115"/>
  <c r="I142"/>
  <c r="I144"/>
  <c r="I146"/>
  <c r="I147"/>
  <c r="I152"/>
  <c r="I153"/>
  <c r="I167"/>
  <c r="I191"/>
  <c r="I178"/>
  <c r="I220" s="1"/>
  <c r="I263"/>
  <c r="I114"/>
  <c r="I123"/>
  <c r="I39"/>
  <c r="I151"/>
  <c r="I150"/>
  <c r="I149"/>
  <c r="I148"/>
  <c r="I141"/>
  <c r="I140"/>
  <c r="I138"/>
  <c r="I136"/>
  <c r="I134"/>
  <c r="I132"/>
  <c r="I130"/>
  <c r="I128"/>
  <c r="I124"/>
  <c r="I137"/>
  <c r="I135"/>
  <c r="I133"/>
  <c r="I131"/>
  <c r="I129"/>
  <c r="I127"/>
  <c r="I125"/>
  <c r="I126"/>
  <c r="I139"/>
  <c r="E155"/>
  <c r="E159"/>
  <c r="E160"/>
  <c r="E156"/>
  <c r="E157"/>
  <c r="E158"/>
  <c r="E161"/>
  <c r="E225"/>
  <c r="E180"/>
  <c r="E179"/>
  <c r="E177"/>
  <c r="E176"/>
  <c r="E175"/>
  <c r="E141"/>
  <c r="E140"/>
  <c r="E138"/>
  <c r="E137"/>
  <c r="E136"/>
  <c r="E135"/>
  <c r="E134"/>
  <c r="E133"/>
  <c r="E132"/>
  <c r="E131"/>
  <c r="E130"/>
  <c r="E129"/>
  <c r="E128"/>
  <c r="E127"/>
  <c r="E125"/>
  <c r="E124"/>
  <c r="E187"/>
  <c r="E99"/>
  <c r="E100"/>
  <c r="E101"/>
  <c r="E102"/>
  <c r="E103"/>
  <c r="E104"/>
  <c r="E105"/>
  <c r="E106"/>
  <c r="E107"/>
  <c r="E108"/>
  <c r="E109"/>
  <c r="E110"/>
  <c r="E111"/>
  <c r="E112"/>
  <c r="E115"/>
  <c r="E126"/>
  <c r="E142"/>
  <c r="E144"/>
  <c r="E146"/>
  <c r="E147"/>
  <c r="E152"/>
  <c r="E153"/>
  <c r="E167"/>
  <c r="E191"/>
  <c r="E178"/>
  <c r="E220" s="1"/>
  <c r="E263"/>
  <c r="E114"/>
  <c r="E123"/>
  <c r="E139"/>
  <c r="E98"/>
  <c r="E39"/>
  <c r="X39" s="1"/>
  <c r="E162"/>
  <c r="E151"/>
  <c r="E150"/>
  <c r="E149"/>
  <c r="E148"/>
  <c r="E163"/>
  <c r="O184"/>
  <c r="O215"/>
  <c r="O217"/>
  <c r="Q184"/>
  <c r="Q215"/>
  <c r="Q217"/>
  <c r="Q185"/>
  <c r="Q188" s="1"/>
  <c r="K192"/>
  <c r="K189"/>
  <c r="G184"/>
  <c r="G215"/>
  <c r="G217"/>
  <c r="G185"/>
  <c r="G188" s="1"/>
  <c r="C217"/>
  <c r="C219" s="1"/>
  <c r="C184"/>
  <c r="C215"/>
  <c r="L215"/>
  <c r="L184"/>
  <c r="L217"/>
  <c r="L185"/>
  <c r="L188" s="1"/>
  <c r="H215"/>
  <c r="H184"/>
  <c r="H217"/>
  <c r="H185"/>
  <c r="H188" s="1"/>
  <c r="N166"/>
  <c r="N181"/>
  <c r="N183" s="1"/>
  <c r="N187"/>
  <c r="F187"/>
  <c r="J166"/>
  <c r="J181"/>
  <c r="J183" s="1"/>
  <c r="J187"/>
  <c r="B28" i="16"/>
  <c r="B33" s="1"/>
  <c r="B53" i="2"/>
  <c r="C54" i="3"/>
  <c r="K17" i="4"/>
  <c r="B15" i="2"/>
  <c r="B16" i="3" s="1"/>
  <c r="C55" i="2"/>
  <c r="C16" i="3"/>
  <c r="K79" i="2"/>
  <c r="K71"/>
  <c r="K69"/>
  <c r="B8" i="3"/>
  <c r="B47" i="2"/>
  <c r="L85"/>
  <c r="M118" i="17"/>
  <c r="J60" i="4"/>
  <c r="I60" s="1"/>
  <c r="B20" i="3"/>
  <c r="M121" i="2"/>
  <c r="P119"/>
  <c r="L72"/>
  <c r="B60"/>
  <c r="B61" i="3" s="1"/>
  <c r="B21"/>
  <c r="M88" i="17"/>
  <c r="L117"/>
  <c r="J55" i="4"/>
  <c r="K15"/>
  <c r="B62"/>
  <c r="C56" i="2"/>
  <c r="B56" s="1"/>
  <c r="D57" i="3"/>
  <c r="K106" i="2"/>
  <c r="B9"/>
  <c r="B49" s="1"/>
  <c r="C49"/>
  <c r="L93"/>
  <c r="B326"/>
  <c r="B362" i="16"/>
  <c r="B11" i="3"/>
  <c r="B285" i="16"/>
  <c r="B59" i="4"/>
  <c r="B63" s="1"/>
  <c r="C60" i="3"/>
  <c r="K14" i="4"/>
  <c r="I159" i="18"/>
  <c r="I330"/>
  <c r="I279"/>
  <c r="K174" i="2"/>
  <c r="N139"/>
  <c r="B291"/>
  <c r="B8"/>
  <c r="B48" s="1"/>
  <c r="C9" i="3"/>
  <c r="B9" s="1"/>
  <c r="C48" i="2"/>
  <c r="M77"/>
  <c r="O145"/>
  <c r="O141"/>
  <c r="K138"/>
  <c r="O137"/>
  <c r="M135"/>
  <c r="J348"/>
  <c r="K134"/>
  <c r="O133"/>
  <c r="L103"/>
  <c r="K296"/>
  <c r="L82"/>
  <c r="J281"/>
  <c r="M127"/>
  <c r="L68"/>
  <c r="I43" i="1"/>
  <c r="M87" i="18"/>
  <c r="L87" s="1"/>
  <c r="K87" s="1"/>
  <c r="J87" s="1"/>
  <c r="B292" i="2"/>
  <c r="B289"/>
  <c r="B382" s="1"/>
  <c r="C21"/>
  <c r="C61" s="1"/>
  <c r="C61" i="4"/>
  <c r="C63"/>
  <c r="B369" i="16"/>
  <c r="B17" i="3"/>
  <c r="C56"/>
  <c r="C382" i="2"/>
  <c r="B53" i="3"/>
  <c r="B21" i="4"/>
  <c r="B30" i="16"/>
  <c r="B52" i="3"/>
  <c r="B364" i="16"/>
  <c r="P395" i="18"/>
  <c r="Q343"/>
  <c r="N105"/>
  <c r="N158"/>
  <c r="N599"/>
  <c r="N574"/>
  <c r="N591"/>
  <c r="N566"/>
  <c r="I155"/>
  <c r="H155" s="1"/>
  <c r="G155" s="1"/>
  <c r="F155" s="1"/>
  <c r="E155" s="1"/>
  <c r="D155" s="1"/>
  <c r="C155" s="1"/>
  <c r="J197"/>
  <c r="J327"/>
  <c r="J274"/>
  <c r="K338"/>
  <c r="K340"/>
  <c r="K339"/>
  <c r="K342"/>
  <c r="K341"/>
  <c r="K328"/>
  <c r="K395" s="1"/>
  <c r="I87"/>
  <c r="H87" s="1"/>
  <c r="G87" s="1"/>
  <c r="F87" s="1"/>
  <c r="E87" s="1"/>
  <c r="D87" s="1"/>
  <c r="C87" s="1"/>
  <c r="F169"/>
  <c r="G343"/>
  <c r="L343"/>
  <c r="R49" i="1"/>
  <c r="R48" s="1"/>
  <c r="R47" s="1"/>
  <c r="O341" i="18"/>
  <c r="O328"/>
  <c r="O395" s="1"/>
  <c r="O338"/>
  <c r="O339"/>
  <c r="O340"/>
  <c r="O342"/>
  <c r="B323" i="16"/>
  <c r="B329"/>
  <c r="F516" i="18"/>
  <c r="F513"/>
  <c r="F599"/>
  <c r="F591"/>
  <c r="F603"/>
  <c r="F631"/>
  <c r="F632"/>
  <c r="E696"/>
  <c r="E697" s="1"/>
  <c r="E654"/>
  <c r="E538"/>
  <c r="E663"/>
  <c r="E660"/>
  <c r="E659"/>
  <c r="E655"/>
  <c r="E629"/>
  <c r="E537"/>
  <c r="E657"/>
  <c r="E656"/>
  <c r="E658"/>
  <c r="E647"/>
  <c r="E653"/>
  <c r="E646"/>
  <c r="E649"/>
  <c r="E652"/>
  <c r="E651"/>
  <c r="E662"/>
  <c r="E650"/>
  <c r="E648"/>
  <c r="E508"/>
  <c r="E509"/>
  <c r="E517" s="1"/>
  <c r="E534"/>
  <c r="E459"/>
  <c r="E489" s="1"/>
  <c r="E327"/>
  <c r="E157"/>
  <c r="E154"/>
  <c r="E460"/>
  <c r="E490" s="1"/>
  <c r="E202"/>
  <c r="E113"/>
  <c r="D113" s="1"/>
  <c r="E164"/>
  <c r="E153"/>
  <c r="E456"/>
  <c r="E486" s="1"/>
  <c r="E156"/>
  <c r="E130"/>
  <c r="E129"/>
  <c r="E127"/>
  <c r="E126"/>
  <c r="E125"/>
  <c r="E124"/>
  <c r="E123"/>
  <c r="E122"/>
  <c r="E121"/>
  <c r="E120"/>
  <c r="E119"/>
  <c r="E118"/>
  <c r="E117"/>
  <c r="E116"/>
  <c r="E272"/>
  <c r="E274" s="1"/>
  <c r="E152"/>
  <c r="E115"/>
  <c r="E128"/>
  <c r="E296"/>
  <c r="E133"/>
  <c r="E141"/>
  <c r="E300"/>
  <c r="E168"/>
  <c r="E135"/>
  <c r="E142"/>
  <c r="E301"/>
  <c r="E297"/>
  <c r="E298"/>
  <c r="E240"/>
  <c r="E112"/>
  <c r="E131"/>
  <c r="E136"/>
  <c r="E144"/>
  <c r="D45" i="1"/>
  <c r="D43"/>
  <c r="E302" i="18"/>
  <c r="E299"/>
  <c r="E295"/>
  <c r="E91"/>
  <c r="E92"/>
  <c r="E93"/>
  <c r="E140"/>
  <c r="E139"/>
  <c r="E303"/>
  <c r="E95"/>
  <c r="E97"/>
  <c r="E100"/>
  <c r="E103"/>
  <c r="E94"/>
  <c r="E39"/>
  <c r="X39" s="1"/>
  <c r="E96"/>
  <c r="E98"/>
  <c r="E101"/>
  <c r="E104"/>
  <c r="E138"/>
  <c r="E88"/>
  <c r="E89"/>
  <c r="E90"/>
  <c r="E86"/>
  <c r="D86" s="1"/>
  <c r="B375" i="16"/>
  <c r="P343" i="18"/>
  <c r="J105"/>
  <c r="J158"/>
  <c r="F158"/>
  <c r="L45" i="1"/>
  <c r="B237" i="16"/>
  <c r="F339" i="18"/>
  <c r="F342"/>
  <c r="F341"/>
  <c r="F338"/>
  <c r="F340"/>
  <c r="F328"/>
  <c r="J599"/>
  <c r="J574"/>
  <c r="J603"/>
  <c r="J578"/>
  <c r="C13" i="10"/>
  <c r="B13" s="1"/>
  <c r="C13" i="16"/>
  <c r="C8" i="6"/>
  <c r="I696" i="18"/>
  <c r="I663"/>
  <c r="I629"/>
  <c r="I552"/>
  <c r="I554"/>
  <c r="I647"/>
  <c r="I648"/>
  <c r="I649"/>
  <c r="I646"/>
  <c r="I558"/>
  <c r="I556"/>
  <c r="I653"/>
  <c r="I550"/>
  <c r="I651"/>
  <c r="I327"/>
  <c r="I154"/>
  <c r="I153"/>
  <c r="I152"/>
  <c r="I202"/>
  <c r="I156"/>
  <c r="I272"/>
  <c r="I274" s="1"/>
  <c r="I164"/>
  <c r="I157"/>
  <c r="I135"/>
  <c r="I142"/>
  <c r="I297"/>
  <c r="I298"/>
  <c r="E114" i="17"/>
  <c r="E107"/>
  <c r="I141" i="18"/>
  <c r="E105" i="17"/>
  <c r="I240" i="18"/>
  <c r="I302"/>
  <c r="I295"/>
  <c r="I112"/>
  <c r="E117" i="17"/>
  <c r="E113"/>
  <c r="E106"/>
  <c r="I133" i="18"/>
  <c r="E116" i="17"/>
  <c r="I131" i="18"/>
  <c r="I136"/>
  <c r="I144"/>
  <c r="I296"/>
  <c r="E115" i="17"/>
  <c r="E108"/>
  <c r="H43" i="1"/>
  <c r="E112" i="17"/>
  <c r="I88" i="18"/>
  <c r="I90"/>
  <c r="I95"/>
  <c r="I96"/>
  <c r="I97"/>
  <c r="I98"/>
  <c r="I100"/>
  <c r="I101"/>
  <c r="I103"/>
  <c r="I104"/>
  <c r="I303"/>
  <c r="I89"/>
  <c r="I91"/>
  <c r="I92"/>
  <c r="I93"/>
  <c r="I117"/>
  <c r="I86"/>
  <c r="M155"/>
  <c r="L155" s="1"/>
  <c r="K155" s="1"/>
  <c r="N197"/>
  <c r="N327"/>
  <c r="N274"/>
  <c r="G13" i="10"/>
  <c r="F13" s="1"/>
  <c r="G13" i="16"/>
  <c r="G8" i="6"/>
  <c r="M696" i="18"/>
  <c r="M663"/>
  <c r="M629"/>
  <c r="M646"/>
  <c r="M651"/>
  <c r="M558"/>
  <c r="M552"/>
  <c r="M550"/>
  <c r="M647"/>
  <c r="M652"/>
  <c r="M556"/>
  <c r="M650"/>
  <c r="M648"/>
  <c r="M554"/>
  <c r="M649"/>
  <c r="M653"/>
  <c r="M202"/>
  <c r="M157"/>
  <c r="M156"/>
  <c r="M272"/>
  <c r="M152"/>
  <c r="M164"/>
  <c r="M154"/>
  <c r="M153"/>
  <c r="M135"/>
  <c r="M240"/>
  <c r="M142"/>
  <c r="M302"/>
  <c r="M295"/>
  <c r="M112"/>
  <c r="I118" i="17"/>
  <c r="I114"/>
  <c r="I107"/>
  <c r="I103"/>
  <c r="I99"/>
  <c r="M144" i="18"/>
  <c r="I112" i="17"/>
  <c r="M133" i="18"/>
  <c r="M141"/>
  <c r="M299"/>
  <c r="I121" i="17"/>
  <c r="I117"/>
  <c r="I113"/>
  <c r="I106"/>
  <c r="I102"/>
  <c r="I120"/>
  <c r="I105"/>
  <c r="M131" i="18"/>
  <c r="M136"/>
  <c r="M301"/>
  <c r="M296"/>
  <c r="M297"/>
  <c r="M298"/>
  <c r="I119" i="17"/>
  <c r="I115"/>
  <c r="I108"/>
  <c r="I104"/>
  <c r="I100"/>
  <c r="L43" i="1"/>
  <c r="M300" i="18"/>
  <c r="I116" i="17"/>
  <c r="I101"/>
  <c r="M94" i="18"/>
  <c r="M95"/>
  <c r="M96"/>
  <c r="M97"/>
  <c r="M98"/>
  <c r="M100"/>
  <c r="M101"/>
  <c r="M103"/>
  <c r="M104"/>
  <c r="M92"/>
  <c r="M86"/>
  <c r="M88"/>
  <c r="M89"/>
  <c r="M90"/>
  <c r="M303"/>
  <c r="M91"/>
  <c r="M93"/>
  <c r="M39"/>
  <c r="B394" i="16"/>
  <c r="I140" i="18"/>
  <c r="H140" s="1"/>
  <c r="G140" s="1"/>
  <c r="F140" s="1"/>
  <c r="E661"/>
  <c r="M139"/>
  <c r="L139" s="1"/>
  <c r="K139" s="1"/>
  <c r="J139" s="1"/>
  <c r="I139" s="1"/>
  <c r="H139" s="1"/>
  <c r="G139" s="1"/>
  <c r="F139" s="1"/>
  <c r="F54" i="26"/>
  <c r="G61"/>
  <c r="P115" i="18"/>
  <c r="O115" s="1"/>
  <c r="N115" s="1"/>
  <c r="AE65"/>
  <c r="M115"/>
  <c r="L115" s="1"/>
  <c r="L566"/>
  <c r="L567"/>
  <c r="O601"/>
  <c r="P603"/>
  <c r="P602"/>
  <c r="P576"/>
  <c r="P604"/>
  <c r="J589"/>
  <c r="K591"/>
  <c r="K564"/>
  <c r="K592"/>
  <c r="Q578"/>
  <c r="Q579"/>
  <c r="AE56"/>
  <c r="AE55"/>
  <c r="AE58"/>
  <c r="N501"/>
  <c r="M501" s="1"/>
  <c r="L501" s="1"/>
  <c r="K501" s="1"/>
  <c r="J501" s="1"/>
  <c r="I501" s="1"/>
  <c r="H501" s="1"/>
  <c r="AE64"/>
  <c r="AE61"/>
  <c r="G128"/>
  <c r="Z63"/>
  <c r="Q455"/>
  <c r="Q193"/>
  <c r="AE62"/>
  <c r="K115"/>
  <c r="J115" s="1"/>
  <c r="AE54"/>
  <c r="AE51"/>
  <c r="I128"/>
  <c r="AB63"/>
  <c r="D200"/>
  <c r="E15" i="26"/>
  <c r="J219" i="18"/>
  <c r="K231"/>
  <c r="O160"/>
  <c r="P10" i="26"/>
  <c r="P161" i="18"/>
  <c r="P192"/>
  <c r="P194"/>
  <c r="AE57"/>
  <c r="AE60"/>
  <c r="I115"/>
  <c r="AB50"/>
  <c r="Q25" i="26"/>
  <c r="Q13"/>
  <c r="Q12"/>
  <c r="Q23" s="1"/>
  <c r="Q19" s="1"/>
  <c r="Q128" i="18"/>
  <c r="P128" s="1"/>
  <c r="O128" s="1"/>
  <c r="N128" s="1"/>
  <c r="M128" s="1"/>
  <c r="L128" s="1"/>
  <c r="K128" s="1"/>
  <c r="J128" s="1"/>
  <c r="H115"/>
  <c r="AA50"/>
  <c r="H128"/>
  <c r="AA63"/>
  <c r="N279"/>
  <c r="N330"/>
  <c r="N332" s="1"/>
  <c r="M332" s="1"/>
  <c r="L332" s="1"/>
  <c r="K332" s="1"/>
  <c r="J332" s="1"/>
  <c r="N159"/>
  <c r="N168" s="1"/>
  <c r="M168" s="1"/>
  <c r="G115"/>
  <c r="F115" s="1"/>
  <c r="Z50"/>
  <c r="R174"/>
  <c r="Q170"/>
  <c r="Q196"/>
  <c r="Q173"/>
  <c r="AE59"/>
  <c r="Q28" i="29" l="1"/>
  <c r="P25"/>
  <c r="P27" s="1"/>
  <c r="P12"/>
  <c r="P23" s="1"/>
  <c r="P19" s="1"/>
  <c r="P28" s="1"/>
  <c r="P13"/>
  <c r="P162" i="18"/>
  <c r="O10" i="30"/>
  <c r="O10" i="29"/>
  <c r="D15" i="30"/>
  <c r="D15" i="29"/>
  <c r="P25" i="30"/>
  <c r="P27" s="1"/>
  <c r="P12"/>
  <c r="P23" s="1"/>
  <c r="P19" s="1"/>
  <c r="P28" s="1"/>
  <c r="P13"/>
  <c r="O64"/>
  <c r="O66" s="1"/>
  <c r="O88" s="1"/>
  <c r="N71"/>
  <c r="N65"/>
  <c r="N66"/>
  <c r="N88" i="29"/>
  <c r="N67"/>
  <c r="O64"/>
  <c r="N71"/>
  <c r="N65"/>
  <c r="O66"/>
  <c r="O88" s="1"/>
  <c r="B29" i="16"/>
  <c r="I116" i="27"/>
  <c r="I332" i="18"/>
  <c r="H332" s="1"/>
  <c r="B60" i="3"/>
  <c r="B55" i="2"/>
  <c r="B56" i="3" s="1"/>
  <c r="D5" i="28"/>
  <c r="D7" s="1"/>
  <c r="D15" s="1"/>
  <c r="D8"/>
  <c r="D16" s="1"/>
  <c r="B122" i="16"/>
  <c r="B133" s="1"/>
  <c r="E521" i="18"/>
  <c r="D521" s="1"/>
  <c r="M166" i="27"/>
  <c r="E166"/>
  <c r="E12" i="28"/>
  <c r="E18" s="1"/>
  <c r="I166" i="27"/>
  <c r="D12" i="28"/>
  <c r="D18" s="1"/>
  <c r="H17"/>
  <c r="L17"/>
  <c r="J215" i="27"/>
  <c r="J184"/>
  <c r="J217"/>
  <c r="F192"/>
  <c r="F189"/>
  <c r="C216"/>
  <c r="G219"/>
  <c r="G193"/>
  <c r="G196"/>
  <c r="Q219"/>
  <c r="Q193"/>
  <c r="R197"/>
  <c r="Q196"/>
  <c r="O193"/>
  <c r="P197"/>
  <c r="O219"/>
  <c r="O196"/>
  <c r="K216"/>
  <c r="M192"/>
  <c r="M189"/>
  <c r="N189" s="1"/>
  <c r="O189" s="1"/>
  <c r="P189" s="1"/>
  <c r="Q189" s="1"/>
  <c r="R189" s="1"/>
  <c r="I197" i="18"/>
  <c r="E116" i="27"/>
  <c r="K185"/>
  <c r="K188" s="1"/>
  <c r="M181"/>
  <c r="M183" s="1"/>
  <c r="N185" s="1"/>
  <c r="N188" s="1"/>
  <c r="J192"/>
  <c r="J189"/>
  <c r="N215"/>
  <c r="N184"/>
  <c r="N217"/>
  <c r="H196"/>
  <c r="H193"/>
  <c r="H219"/>
  <c r="H216"/>
  <c r="L196"/>
  <c r="L193"/>
  <c r="L219"/>
  <c r="L216"/>
  <c r="G216"/>
  <c r="Q216"/>
  <c r="O216"/>
  <c r="E192"/>
  <c r="E189"/>
  <c r="I192"/>
  <c r="I189"/>
  <c r="F215"/>
  <c r="F184"/>
  <c r="F217"/>
  <c r="P196"/>
  <c r="Q197"/>
  <c r="P219"/>
  <c r="P193"/>
  <c r="P216"/>
  <c r="K219"/>
  <c r="K193"/>
  <c r="K196"/>
  <c r="D196"/>
  <c r="D193"/>
  <c r="D219"/>
  <c r="D216"/>
  <c r="O185"/>
  <c r="O188" s="1"/>
  <c r="E181"/>
  <c r="E183" s="1"/>
  <c r="I181"/>
  <c r="I183" s="1"/>
  <c r="M116"/>
  <c r="B35" i="16"/>
  <c r="B34"/>
  <c r="B374"/>
  <c r="B373"/>
  <c r="N127" i="2"/>
  <c r="N77"/>
  <c r="L174"/>
  <c r="M93"/>
  <c r="L106"/>
  <c r="M117" i="17"/>
  <c r="L69" i="2"/>
  <c r="L71"/>
  <c r="L79"/>
  <c r="L17" i="4"/>
  <c r="M105" i="18"/>
  <c r="L105" s="1"/>
  <c r="K105" s="1"/>
  <c r="M197"/>
  <c r="L197" s="1"/>
  <c r="C57" i="3"/>
  <c r="B57" s="1"/>
  <c r="B61" i="4"/>
  <c r="B54" i="3"/>
  <c r="I281" i="2"/>
  <c r="M82"/>
  <c r="P133"/>
  <c r="K348"/>
  <c r="L134"/>
  <c r="L348" s="1"/>
  <c r="N135"/>
  <c r="P137"/>
  <c r="L138"/>
  <c r="P141"/>
  <c r="P145"/>
  <c r="O139"/>
  <c r="B217" i="16"/>
  <c r="L14" i="4"/>
  <c r="K55"/>
  <c r="M72" i="2"/>
  <c r="Q119"/>
  <c r="N121"/>
  <c r="B21"/>
  <c r="B61" s="1"/>
  <c r="K197" i="18"/>
  <c r="O343"/>
  <c r="F343"/>
  <c r="M143"/>
  <c r="L143" s="1"/>
  <c r="K143" s="1"/>
  <c r="J143" s="1"/>
  <c r="I143" s="1"/>
  <c r="H143" s="1"/>
  <c r="G143" s="1"/>
  <c r="F143" s="1"/>
  <c r="E143" s="1"/>
  <c r="D143" s="1"/>
  <c r="K343"/>
  <c r="H197"/>
  <c r="G197" s="1"/>
  <c r="F197" s="1"/>
  <c r="E197" s="1"/>
  <c r="D197" s="1"/>
  <c r="C197" s="1"/>
  <c r="B402" i="16"/>
  <c r="B409"/>
  <c r="M158" i="18"/>
  <c r="U629"/>
  <c r="M599"/>
  <c r="M574"/>
  <c r="M603"/>
  <c r="M578"/>
  <c r="M591"/>
  <c r="M566"/>
  <c r="E516"/>
  <c r="E513"/>
  <c r="E520"/>
  <c r="J340"/>
  <c r="J342"/>
  <c r="J341"/>
  <c r="J328"/>
  <c r="J395" s="1"/>
  <c r="J339"/>
  <c r="J338"/>
  <c r="M327"/>
  <c r="M274"/>
  <c r="T274" s="1"/>
  <c r="N328"/>
  <c r="N395" s="1"/>
  <c r="N341"/>
  <c r="N338"/>
  <c r="N339"/>
  <c r="N340"/>
  <c r="N342"/>
  <c r="I342"/>
  <c r="I338"/>
  <c r="I340"/>
  <c r="I328"/>
  <c r="I341"/>
  <c r="I339"/>
  <c r="I599"/>
  <c r="I574"/>
  <c r="I603"/>
  <c r="I578"/>
  <c r="C245" i="16"/>
  <c r="C402"/>
  <c r="C323"/>
  <c r="I158" i="18"/>
  <c r="E158"/>
  <c r="R45" i="1"/>
  <c r="E342" i="18"/>
  <c r="E338"/>
  <c r="E328"/>
  <c r="E339"/>
  <c r="E340"/>
  <c r="D340" s="1"/>
  <c r="D343" s="1"/>
  <c r="E341"/>
  <c r="H86"/>
  <c r="I105"/>
  <c r="B245" i="16"/>
  <c r="B252"/>
  <c r="B387"/>
  <c r="E632" i="18"/>
  <c r="E603"/>
  <c r="E591"/>
  <c r="E599"/>
  <c r="D599" s="1"/>
  <c r="E631"/>
  <c r="E169"/>
  <c r="E54" i="26"/>
  <c r="F61"/>
  <c r="K566" i="18"/>
  <c r="K567"/>
  <c r="N601"/>
  <c r="O603"/>
  <c r="O602"/>
  <c r="O576"/>
  <c r="O604"/>
  <c r="I589"/>
  <c r="J591"/>
  <c r="J564"/>
  <c r="J592"/>
  <c r="K565"/>
  <c r="P578"/>
  <c r="P579"/>
  <c r="P577"/>
  <c r="L168"/>
  <c r="M169"/>
  <c r="P170"/>
  <c r="P196"/>
  <c r="Q174"/>
  <c r="P173"/>
  <c r="P13" i="26"/>
  <c r="P12"/>
  <c r="P23" s="1"/>
  <c r="P19" s="1"/>
  <c r="P25"/>
  <c r="AE63" i="18"/>
  <c r="I219"/>
  <c r="J231"/>
  <c r="Q485"/>
  <c r="Q469"/>
  <c r="Q465" s="1"/>
  <c r="H395"/>
  <c r="Q27" i="26"/>
  <c r="Q28"/>
  <c r="P455" i="18"/>
  <c r="P193"/>
  <c r="AE50"/>
  <c r="N160"/>
  <c r="O10" i="26"/>
  <c r="O161" i="18"/>
  <c r="O194"/>
  <c r="O192"/>
  <c r="C200"/>
  <c r="D15" i="26"/>
  <c r="O162" i="18" l="1"/>
  <c r="N10" i="30"/>
  <c r="N10" i="29"/>
  <c r="C15" i="26"/>
  <c r="C15" i="30"/>
  <c r="C30" s="1"/>
  <c r="C15" i="29"/>
  <c r="C30" s="1"/>
  <c r="O25" i="30"/>
  <c r="O27" s="1"/>
  <c r="O12"/>
  <c r="O23" s="1"/>
  <c r="O19" s="1"/>
  <c r="O13"/>
  <c r="O25" i="29"/>
  <c r="O27" s="1"/>
  <c r="O12"/>
  <c r="O23" s="1"/>
  <c r="O19" s="1"/>
  <c r="O13"/>
  <c r="O67" i="30"/>
  <c r="N88"/>
  <c r="N67"/>
  <c r="O71"/>
  <c r="O65"/>
  <c r="P64"/>
  <c r="P66" s="1"/>
  <c r="O71" i="29"/>
  <c r="O65"/>
  <c r="P64"/>
  <c r="P66"/>
  <c r="P88" s="1"/>
  <c r="O67"/>
  <c r="E184" i="27"/>
  <c r="E215"/>
  <c r="E217"/>
  <c r="E185"/>
  <c r="E188" s="1"/>
  <c r="F193"/>
  <c r="F219"/>
  <c r="F196"/>
  <c r="F216"/>
  <c r="M184"/>
  <c r="M217"/>
  <c r="M185"/>
  <c r="V183"/>
  <c r="M215"/>
  <c r="W183"/>
  <c r="J193"/>
  <c r="J219"/>
  <c r="J196"/>
  <c r="J216"/>
  <c r="I184"/>
  <c r="I215"/>
  <c r="I217"/>
  <c r="I185"/>
  <c r="I188" s="1"/>
  <c r="N219"/>
  <c r="N193"/>
  <c r="O197"/>
  <c r="N196"/>
  <c r="N216"/>
  <c r="F185"/>
  <c r="F188" s="1"/>
  <c r="J185"/>
  <c r="J188" s="1"/>
  <c r="O121" i="2"/>
  <c r="M14" i="4"/>
  <c r="P139" i="2"/>
  <c r="Q145"/>
  <c r="Q141"/>
  <c r="M138"/>
  <c r="Q137"/>
  <c r="O135"/>
  <c r="Q133"/>
  <c r="M79"/>
  <c r="M71"/>
  <c r="M69"/>
  <c r="M106"/>
  <c r="N93"/>
  <c r="O77"/>
  <c r="N72"/>
  <c r="M296"/>
  <c r="N82"/>
  <c r="B62" i="3"/>
  <c r="I395" i="18"/>
  <c r="M338"/>
  <c r="M339"/>
  <c r="M340"/>
  <c r="M342"/>
  <c r="M328"/>
  <c r="M395" s="1"/>
  <c r="E343"/>
  <c r="B98" i="16"/>
  <c r="B99" s="1"/>
  <c r="N343" i="18"/>
  <c r="M341"/>
  <c r="H105"/>
  <c r="G105" s="1"/>
  <c r="F105" s="1"/>
  <c r="E105" s="1"/>
  <c r="D105" s="1"/>
  <c r="C105" s="1"/>
  <c r="I343"/>
  <c r="J343"/>
  <c r="C30" i="26"/>
  <c r="D54"/>
  <c r="E61"/>
  <c r="J565" i="18"/>
  <c r="O578"/>
  <c r="O579"/>
  <c r="J566"/>
  <c r="J567"/>
  <c r="N602"/>
  <c r="N576"/>
  <c r="N603"/>
  <c r="N604"/>
  <c r="M604" s="1"/>
  <c r="I564"/>
  <c r="I591"/>
  <c r="I592"/>
  <c r="O577"/>
  <c r="N577" s="1"/>
  <c r="M577" s="1"/>
  <c r="L577" s="1"/>
  <c r="K577" s="1"/>
  <c r="J577" s="1"/>
  <c r="I577" s="1"/>
  <c r="H577" s="1"/>
  <c r="O455"/>
  <c r="O193"/>
  <c r="O25" i="26"/>
  <c r="O13"/>
  <c r="O12"/>
  <c r="O23" s="1"/>
  <c r="O19" s="1"/>
  <c r="P28"/>
  <c r="P27"/>
  <c r="K168" i="18"/>
  <c r="L169"/>
  <c r="O196"/>
  <c r="P174"/>
  <c r="O170"/>
  <c r="O173"/>
  <c r="M160"/>
  <c r="N10" i="26"/>
  <c r="N161" i="18"/>
  <c r="N194"/>
  <c r="N192"/>
  <c r="P485"/>
  <c r="P469"/>
  <c r="P465" s="1"/>
  <c r="H219"/>
  <c r="I231"/>
  <c r="O28" i="30" l="1"/>
  <c r="O28" i="29"/>
  <c r="N162" i="18"/>
  <c r="M10" i="30"/>
  <c r="M10" i="29"/>
  <c r="N25"/>
  <c r="N27" s="1"/>
  <c r="N12"/>
  <c r="N23" s="1"/>
  <c r="N19" s="1"/>
  <c r="N28" s="1"/>
  <c r="N13"/>
  <c r="N25" i="30"/>
  <c r="N27" s="1"/>
  <c r="N12"/>
  <c r="N23" s="1"/>
  <c r="N19" s="1"/>
  <c r="N13"/>
  <c r="P88"/>
  <c r="P67"/>
  <c r="Q64"/>
  <c r="Q66" s="1"/>
  <c r="P71"/>
  <c r="P65"/>
  <c r="P67" i="29"/>
  <c r="Q64"/>
  <c r="P71"/>
  <c r="P65"/>
  <c r="Q66"/>
  <c r="Q88" s="1"/>
  <c r="I216" i="27"/>
  <c r="M193"/>
  <c r="N197"/>
  <c r="M219"/>
  <c r="M196"/>
  <c r="E219"/>
  <c r="E193"/>
  <c r="E196"/>
  <c r="I219"/>
  <c r="I193"/>
  <c r="I196"/>
  <c r="W215"/>
  <c r="V215"/>
  <c r="M216"/>
  <c r="V184"/>
  <c r="M188"/>
  <c r="W184"/>
  <c r="E216"/>
  <c r="O82" i="2"/>
  <c r="O93"/>
  <c r="N106"/>
  <c r="N69"/>
  <c r="N71"/>
  <c r="P135"/>
  <c r="N138"/>
  <c r="Q139"/>
  <c r="L296"/>
  <c r="N14" i="4"/>
  <c r="P121" i="2"/>
  <c r="M343" i="18"/>
  <c r="C54" i="26"/>
  <c r="D61"/>
  <c r="I566" i="18"/>
  <c r="I567"/>
  <c r="N578"/>
  <c r="N579"/>
  <c r="I565"/>
  <c r="J168"/>
  <c r="K169"/>
  <c r="O28" i="26"/>
  <c r="O27"/>
  <c r="O174" i="18"/>
  <c r="N170"/>
  <c r="N196"/>
  <c r="N173"/>
  <c r="G219"/>
  <c r="H231"/>
  <c r="N455"/>
  <c r="N193"/>
  <c r="L160"/>
  <c r="M10" i="26"/>
  <c r="M194" i="18"/>
  <c r="M192"/>
  <c r="M161"/>
  <c r="N25" i="26"/>
  <c r="N13"/>
  <c r="N12"/>
  <c r="N23" s="1"/>
  <c r="N19" s="1"/>
  <c r="O485" i="18"/>
  <c r="O469"/>
  <c r="O465" s="1"/>
  <c r="N28" i="30" l="1"/>
  <c r="M162" i="18"/>
  <c r="L10" i="30"/>
  <c r="L10" i="29"/>
  <c r="M25"/>
  <c r="M27" s="1"/>
  <c r="M12"/>
  <c r="M23" s="1"/>
  <c r="M19" s="1"/>
  <c r="M13"/>
  <c r="M25" i="30"/>
  <c r="M27" s="1"/>
  <c r="M12"/>
  <c r="M23" s="1"/>
  <c r="M19" s="1"/>
  <c r="M13"/>
  <c r="Q88"/>
  <c r="Q67"/>
  <c r="Q71"/>
  <c r="Q65"/>
  <c r="R64"/>
  <c r="R66"/>
  <c r="R88" s="1"/>
  <c r="Q67" i="29"/>
  <c r="Q71"/>
  <c r="Q65"/>
  <c r="R64"/>
  <c r="R66" s="1"/>
  <c r="R88" s="1"/>
  <c r="W216" i="27"/>
  <c r="V216"/>
  <c r="O14" i="4"/>
  <c r="O138" i="2"/>
  <c r="Q135"/>
  <c r="O69"/>
  <c r="O106"/>
  <c r="P93"/>
  <c r="Q121"/>
  <c r="R53" i="26"/>
  <c r="Q53" s="1"/>
  <c r="P53" s="1"/>
  <c r="O53" s="1"/>
  <c r="N53" s="1"/>
  <c r="M53" s="1"/>
  <c r="L53" s="1"/>
  <c r="K53" s="1"/>
  <c r="J53" s="1"/>
  <c r="I53" s="1"/>
  <c r="H53" s="1"/>
  <c r="G53" s="1"/>
  <c r="F53" s="1"/>
  <c r="E53" s="1"/>
  <c r="D53" s="1"/>
  <c r="C53" s="1"/>
  <c r="C62" s="1"/>
  <c r="C63" s="1"/>
  <c r="R62" s="1"/>
  <c r="C61"/>
  <c r="M193" i="18"/>
  <c r="L161"/>
  <c r="N27" i="26"/>
  <c r="N28"/>
  <c r="K160" i="18"/>
  <c r="L10" i="26"/>
  <c r="L194" i="18"/>
  <c r="L192"/>
  <c r="L455" s="1"/>
  <c r="L469" s="1"/>
  <c r="L465" s="1"/>
  <c r="F219"/>
  <c r="G231"/>
  <c r="M25" i="26"/>
  <c r="M13"/>
  <c r="M12"/>
  <c r="M23" s="1"/>
  <c r="M19" s="1"/>
  <c r="I168" i="18"/>
  <c r="J169"/>
  <c r="N174"/>
  <c r="M170"/>
  <c r="M173"/>
  <c r="M455"/>
  <c r="N485"/>
  <c r="N469"/>
  <c r="N465" s="1"/>
  <c r="M196"/>
  <c r="M28" i="30" l="1"/>
  <c r="M28" i="29"/>
  <c r="L162" i="18"/>
  <c r="K10" i="30"/>
  <c r="K10" i="29"/>
  <c r="L25"/>
  <c r="L27" s="1"/>
  <c r="L12"/>
  <c r="L23" s="1"/>
  <c r="L19" s="1"/>
  <c r="L13"/>
  <c r="L25" i="30"/>
  <c r="L27" s="1"/>
  <c r="L12"/>
  <c r="L23" s="1"/>
  <c r="L19" s="1"/>
  <c r="L13"/>
  <c r="R71"/>
  <c r="R65"/>
  <c r="R67"/>
  <c r="R71" i="29"/>
  <c r="R65"/>
  <c r="R67"/>
  <c r="Q93" i="2"/>
  <c r="P106"/>
  <c r="P69"/>
  <c r="P138"/>
  <c r="P14" i="4"/>
  <c r="L170" i="18"/>
  <c r="Q62" i="26"/>
  <c r="R63"/>
  <c r="H168" i="18"/>
  <c r="H169" s="1"/>
  <c r="I169"/>
  <c r="M485"/>
  <c r="L485" s="1"/>
  <c r="M469"/>
  <c r="M465" s="1"/>
  <c r="M27" i="26"/>
  <c r="M28"/>
  <c r="L196" i="18"/>
  <c r="L173"/>
  <c r="J160"/>
  <c r="K10" i="26"/>
  <c r="K194" i="18"/>
  <c r="K170" s="1"/>
  <c r="K192"/>
  <c r="K455" s="1"/>
  <c r="K485" s="1"/>
  <c r="K161"/>
  <c r="L193"/>
  <c r="E219"/>
  <c r="F231"/>
  <c r="L13" i="26"/>
  <c r="L12"/>
  <c r="L23" s="1"/>
  <c r="L19" s="1"/>
  <c r="L25"/>
  <c r="L28" i="29" l="1"/>
  <c r="L28" i="30"/>
  <c r="K162" i="18"/>
  <c r="J10" i="30"/>
  <c r="J10" i="29"/>
  <c r="K25"/>
  <c r="K27" s="1"/>
  <c r="K12"/>
  <c r="K23" s="1"/>
  <c r="K19" s="1"/>
  <c r="K13"/>
  <c r="K25" i="30"/>
  <c r="K27" s="1"/>
  <c r="K12"/>
  <c r="K23" s="1"/>
  <c r="K19" s="1"/>
  <c r="K13"/>
  <c r="Q14" i="4"/>
  <c r="Q138" i="2"/>
  <c r="Q69"/>
  <c r="Q106"/>
  <c r="K469" i="18"/>
  <c r="K465" s="1"/>
  <c r="P62" i="26"/>
  <c r="Q63"/>
  <c r="L28"/>
  <c r="L27"/>
  <c r="D219" i="18"/>
  <c r="E231"/>
  <c r="I160"/>
  <c r="J10" i="26"/>
  <c r="J194" i="18"/>
  <c r="J192"/>
  <c r="J161"/>
  <c r="K25" i="26"/>
  <c r="K13"/>
  <c r="K12"/>
  <c r="K23" s="1"/>
  <c r="K19" s="1"/>
  <c r="K193" i="18"/>
  <c r="K196"/>
  <c r="K173"/>
  <c r="K28" i="29" l="1"/>
  <c r="K28" i="30"/>
  <c r="J162" i="18"/>
  <c r="I10" i="30"/>
  <c r="I10" i="29"/>
  <c r="J25"/>
  <c r="J27" s="1"/>
  <c r="J12"/>
  <c r="J23" s="1"/>
  <c r="J19" s="1"/>
  <c r="J13"/>
  <c r="J25" i="30"/>
  <c r="J27" s="1"/>
  <c r="J12"/>
  <c r="J23" s="1"/>
  <c r="J19" s="1"/>
  <c r="J13"/>
  <c r="O62" i="26"/>
  <c r="P63"/>
  <c r="J196" i="18"/>
  <c r="J170"/>
  <c r="J173"/>
  <c r="C219"/>
  <c r="C231" s="1"/>
  <c r="D231"/>
  <c r="J455"/>
  <c r="J193"/>
  <c r="H160"/>
  <c r="I10" i="26"/>
  <c r="I194" i="18"/>
  <c r="I192"/>
  <c r="I455" s="1"/>
  <c r="I485" s="1"/>
  <c r="I162"/>
  <c r="J25" i="26"/>
  <c r="J13"/>
  <c r="J12"/>
  <c r="J23" s="1"/>
  <c r="J19" s="1"/>
  <c r="I161" i="18"/>
  <c r="H161" s="1"/>
  <c r="K28" i="26"/>
  <c r="K27"/>
  <c r="J28" i="29" l="1"/>
  <c r="J28" i="30"/>
  <c r="I25" i="29"/>
  <c r="I27" s="1"/>
  <c r="I12"/>
  <c r="I23" s="1"/>
  <c r="I19" s="1"/>
  <c r="I28" s="1"/>
  <c r="I13"/>
  <c r="H10" i="30"/>
  <c r="H10" i="29"/>
  <c r="I25" i="30"/>
  <c r="I27" s="1"/>
  <c r="I12"/>
  <c r="I23" s="1"/>
  <c r="I19" s="1"/>
  <c r="I13"/>
  <c r="N62" i="26"/>
  <c r="O63"/>
  <c r="I173" i="18"/>
  <c r="I196"/>
  <c r="I170"/>
  <c r="J485"/>
  <c r="J469"/>
  <c r="J27" i="26"/>
  <c r="J28"/>
  <c r="I193" i="18"/>
  <c r="G160"/>
  <c r="H10" i="26"/>
  <c r="H194" i="18"/>
  <c r="H192"/>
  <c r="V160"/>
  <c r="I25" i="26"/>
  <c r="I13"/>
  <c r="I12"/>
  <c r="I23" s="1"/>
  <c r="I19" s="1"/>
  <c r="I469" i="18" l="1"/>
  <c r="J465"/>
  <c r="H162"/>
  <c r="V161" s="1"/>
  <c r="G10" i="30"/>
  <c r="G10" i="29"/>
  <c r="H25"/>
  <c r="H27" s="1"/>
  <c r="H12"/>
  <c r="H23" s="1"/>
  <c r="H19" s="1"/>
  <c r="H28" s="1"/>
  <c r="H13"/>
  <c r="I28" i="30"/>
  <c r="H25"/>
  <c r="H27" s="1"/>
  <c r="H12"/>
  <c r="H23" s="1"/>
  <c r="H19" s="1"/>
  <c r="H13"/>
  <c r="M62" i="26"/>
  <c r="N63"/>
  <c r="H170" i="18"/>
  <c r="H13" i="26"/>
  <c r="H12"/>
  <c r="H23" s="1"/>
  <c r="H19" s="1"/>
  <c r="H25"/>
  <c r="H193" i="18"/>
  <c r="I27" i="26"/>
  <c r="I28"/>
  <c r="H196" i="18"/>
  <c r="H173"/>
  <c r="H455"/>
  <c r="V192"/>
  <c r="F160"/>
  <c r="G10" i="26"/>
  <c r="G161" i="18"/>
  <c r="G194"/>
  <c r="G192"/>
  <c r="G455" s="1"/>
  <c r="F10" i="30" l="1"/>
  <c r="F10" i="29"/>
  <c r="G25"/>
  <c r="G27" s="1"/>
  <c r="G12"/>
  <c r="G23" s="1"/>
  <c r="G19" s="1"/>
  <c r="G28" s="1"/>
  <c r="G13"/>
  <c r="G25" i="30"/>
  <c r="G27" s="1"/>
  <c r="G12"/>
  <c r="G23" s="1"/>
  <c r="G19" s="1"/>
  <c r="G13"/>
  <c r="H28"/>
  <c r="L62" i="26"/>
  <c r="M63"/>
  <c r="H485" i="18"/>
  <c r="H469"/>
  <c r="H462"/>
  <c r="G170"/>
  <c r="G173"/>
  <c r="G463"/>
  <c r="G462"/>
  <c r="G469"/>
  <c r="E160"/>
  <c r="F10" i="26"/>
  <c r="F194" i="18"/>
  <c r="F192"/>
  <c r="F455" s="1"/>
  <c r="F161"/>
  <c r="G25" i="26"/>
  <c r="G13"/>
  <c r="G12"/>
  <c r="G23" s="1"/>
  <c r="G19" s="1"/>
  <c r="H28"/>
  <c r="H27"/>
  <c r="G196" i="18"/>
  <c r="G162"/>
  <c r="G193"/>
  <c r="G28" i="30" l="1"/>
  <c r="F25"/>
  <c r="F27" s="1"/>
  <c r="F12"/>
  <c r="F23" s="1"/>
  <c r="F19" s="1"/>
  <c r="F28" s="1"/>
  <c r="F13"/>
  <c r="F162" i="18"/>
  <c r="E10" i="30"/>
  <c r="E10" i="29"/>
  <c r="F25"/>
  <c r="F27" s="1"/>
  <c r="F12"/>
  <c r="F23" s="1"/>
  <c r="F19" s="1"/>
  <c r="F28" s="1"/>
  <c r="F13"/>
  <c r="K62" i="26"/>
  <c r="L63"/>
  <c r="F193" i="18"/>
  <c r="F173"/>
  <c r="E161"/>
  <c r="D160"/>
  <c r="E10" i="26"/>
  <c r="E194" i="18"/>
  <c r="E192"/>
  <c r="E193" s="1"/>
  <c r="E162"/>
  <c r="G485"/>
  <c r="F25" i="26"/>
  <c r="F13"/>
  <c r="F12"/>
  <c r="F23" s="1"/>
  <c r="F19" s="1"/>
  <c r="G28"/>
  <c r="G27"/>
  <c r="F170" i="18"/>
  <c r="F196"/>
  <c r="F462"/>
  <c r="F485"/>
  <c r="F493" s="1"/>
  <c r="F463"/>
  <c r="F469"/>
  <c r="D10" i="30" l="1"/>
  <c r="D10" i="29"/>
  <c r="E25"/>
  <c r="E27" s="1"/>
  <c r="E12"/>
  <c r="E23" s="1"/>
  <c r="E19" s="1"/>
  <c r="E28" s="1"/>
  <c r="E13"/>
  <c r="E25" i="30"/>
  <c r="E27" s="1"/>
  <c r="E12"/>
  <c r="E23" s="1"/>
  <c r="E19" s="1"/>
  <c r="E13"/>
  <c r="C82" i="1"/>
  <c r="J62" i="26"/>
  <c r="K63"/>
  <c r="E196" i="18"/>
  <c r="F27" i="26"/>
  <c r="F28"/>
  <c r="C160" i="18"/>
  <c r="D10" i="26"/>
  <c r="D161" i="18"/>
  <c r="D194"/>
  <c r="D192"/>
  <c r="W160"/>
  <c r="E455"/>
  <c r="E25" i="26"/>
  <c r="E13"/>
  <c r="E12"/>
  <c r="E23" s="1"/>
  <c r="E19" s="1"/>
  <c r="G493" i="18"/>
  <c r="G492"/>
  <c r="F492" s="1"/>
  <c r="E170"/>
  <c r="E173"/>
  <c r="E28" i="30" l="1"/>
  <c r="D25"/>
  <c r="D27" s="1"/>
  <c r="D12"/>
  <c r="D23" s="1"/>
  <c r="D19" s="1"/>
  <c r="D28" s="1"/>
  <c r="D30" s="1"/>
  <c r="E30" s="1"/>
  <c r="D13"/>
  <c r="E32"/>
  <c r="E33" s="1"/>
  <c r="D162" i="18"/>
  <c r="W161" s="1"/>
  <c r="C10" i="30"/>
  <c r="C10" i="29"/>
  <c r="D25"/>
  <c r="D27" s="1"/>
  <c r="D12"/>
  <c r="D23" s="1"/>
  <c r="D19" s="1"/>
  <c r="D13"/>
  <c r="B82" i="1"/>
  <c r="C74"/>
  <c r="C72"/>
  <c r="I62" i="26"/>
  <c r="J63"/>
  <c r="C161" i="18"/>
  <c r="E27" i="26"/>
  <c r="E28"/>
  <c r="D173" i="18"/>
  <c r="D170"/>
  <c r="E485"/>
  <c r="E463"/>
  <c r="E469"/>
  <c r="E462"/>
  <c r="D455"/>
  <c r="D193"/>
  <c r="W192"/>
  <c r="C10" i="26"/>
  <c r="C194" i="18"/>
  <c r="C192"/>
  <c r="C455" s="1"/>
  <c r="D196"/>
  <c r="D13" i="26"/>
  <c r="D12"/>
  <c r="D23" s="1"/>
  <c r="D19" s="1"/>
  <c r="C19" s="1"/>
  <c r="D25"/>
  <c r="D27" s="1"/>
  <c r="D28" i="29" l="1"/>
  <c r="D30" s="1"/>
  <c r="E30" s="1"/>
  <c r="F32" s="1"/>
  <c r="F33" s="1"/>
  <c r="C25" i="30"/>
  <c r="C12"/>
  <c r="C13"/>
  <c r="D32" i="29"/>
  <c r="D33" s="1"/>
  <c r="D32" i="30"/>
  <c r="D33" s="1"/>
  <c r="F30" i="29"/>
  <c r="C25"/>
  <c r="C12"/>
  <c r="C13"/>
  <c r="F30" i="30"/>
  <c r="F32" s="1"/>
  <c r="F33" s="1"/>
  <c r="B74" i="1"/>
  <c r="B72"/>
  <c r="Q64" s="1"/>
  <c r="H62" i="26"/>
  <c r="I63"/>
  <c r="C25"/>
  <c r="C27" s="1"/>
  <c r="C13"/>
  <c r="C12"/>
  <c r="C196" i="18"/>
  <c r="D485"/>
  <c r="D469"/>
  <c r="D462"/>
  <c r="D463"/>
  <c r="E493"/>
  <c r="E492"/>
  <c r="D28" i="26"/>
  <c r="C485" i="18"/>
  <c r="C463"/>
  <c r="C469"/>
  <c r="C462"/>
  <c r="C193"/>
  <c r="W193"/>
  <c r="V193" s="1"/>
  <c r="E32" i="29" l="1"/>
  <c r="E33" s="1"/>
  <c r="C27"/>
  <c r="C28"/>
  <c r="G30"/>
  <c r="G32"/>
  <c r="G33" s="1"/>
  <c r="C27" i="30"/>
  <c r="C28"/>
  <c r="G30"/>
  <c r="H30" s="1"/>
  <c r="G32"/>
  <c r="G33" s="1"/>
  <c r="R158" i="27"/>
  <c r="R161"/>
  <c r="R155"/>
  <c r="R160"/>
  <c r="R187"/>
  <c r="R225"/>
  <c r="R180"/>
  <c r="R179"/>
  <c r="R177"/>
  <c r="R176"/>
  <c r="R175"/>
  <c r="R98"/>
  <c r="R99"/>
  <c r="R100"/>
  <c r="R101"/>
  <c r="R102"/>
  <c r="R103"/>
  <c r="R104"/>
  <c r="R105"/>
  <c r="R106"/>
  <c r="Q10" i="28" s="1"/>
  <c r="Q9" s="1"/>
  <c r="R107" i="27"/>
  <c r="R108"/>
  <c r="R109"/>
  <c r="R110"/>
  <c r="R111"/>
  <c r="R112"/>
  <c r="R114"/>
  <c r="R115"/>
  <c r="R123"/>
  <c r="R142"/>
  <c r="R144"/>
  <c r="R146"/>
  <c r="R147"/>
  <c r="R152"/>
  <c r="R153"/>
  <c r="R167"/>
  <c r="R191"/>
  <c r="R178"/>
  <c r="R220" s="1"/>
  <c r="R263"/>
  <c r="R151"/>
  <c r="R150"/>
  <c r="R149"/>
  <c r="R148"/>
  <c r="R39"/>
  <c r="R141"/>
  <c r="R137"/>
  <c r="R133"/>
  <c r="R129"/>
  <c r="R136"/>
  <c r="R132"/>
  <c r="R128"/>
  <c r="R127"/>
  <c r="R124"/>
  <c r="R135"/>
  <c r="R131"/>
  <c r="R125"/>
  <c r="R138"/>
  <c r="R134"/>
  <c r="R130"/>
  <c r="R140"/>
  <c r="R126"/>
  <c r="R139"/>
  <c r="C481" i="18"/>
  <c r="L13" i="10"/>
  <c r="L13" i="16"/>
  <c r="L8" i="6"/>
  <c r="R629" i="18"/>
  <c r="R696"/>
  <c r="R697" s="1"/>
  <c r="Q697" s="1"/>
  <c r="P697" s="1"/>
  <c r="O697" s="1"/>
  <c r="N697" s="1"/>
  <c r="M697" s="1"/>
  <c r="L697" s="1"/>
  <c r="K697" s="1"/>
  <c r="J697" s="1"/>
  <c r="I697" s="1"/>
  <c r="R663"/>
  <c r="R554"/>
  <c r="R552"/>
  <c r="R558"/>
  <c r="R550"/>
  <c r="R652"/>
  <c r="R649"/>
  <c r="R650"/>
  <c r="R651"/>
  <c r="R556"/>
  <c r="R646"/>
  <c r="R647"/>
  <c r="R648"/>
  <c r="R653"/>
  <c r="R298"/>
  <c r="R272"/>
  <c r="R164"/>
  <c r="R112"/>
  <c r="N119" i="17"/>
  <c r="N115"/>
  <c r="N108"/>
  <c r="N104"/>
  <c r="N100"/>
  <c r="Q43" i="1"/>
  <c r="R131" i="18"/>
  <c r="R135"/>
  <c r="R142"/>
  <c r="R153"/>
  <c r="R157"/>
  <c r="R240"/>
  <c r="R295"/>
  <c r="N121" i="17"/>
  <c r="R168" i="18"/>
  <c r="R300"/>
  <c r="R302"/>
  <c r="R299"/>
  <c r="R296"/>
  <c r="N118" i="17"/>
  <c r="N114"/>
  <c r="N107"/>
  <c r="N103"/>
  <c r="N99"/>
  <c r="R133" i="18"/>
  <c r="R141"/>
  <c r="R144"/>
  <c r="R152"/>
  <c r="R154"/>
  <c r="R202"/>
  <c r="N113" i="17"/>
  <c r="R301" i="18"/>
  <c r="R297"/>
  <c r="R303"/>
  <c r="N120" i="17"/>
  <c r="N116"/>
  <c r="N112"/>
  <c r="N105"/>
  <c r="N101"/>
  <c r="R156" i="18"/>
  <c r="R136"/>
  <c r="N117" i="17"/>
  <c r="N106"/>
  <c r="N102"/>
  <c r="R90" i="18"/>
  <c r="Q90" s="1"/>
  <c r="P90" s="1"/>
  <c r="R94"/>
  <c r="R95"/>
  <c r="R96"/>
  <c r="R97"/>
  <c r="R98"/>
  <c r="R100"/>
  <c r="R101"/>
  <c r="R103"/>
  <c r="R104"/>
  <c r="R87"/>
  <c r="Q87" s="1"/>
  <c r="P87" s="1"/>
  <c r="R140"/>
  <c r="R86"/>
  <c r="R105" s="1"/>
  <c r="R88"/>
  <c r="R89"/>
  <c r="R91"/>
  <c r="R92"/>
  <c r="R93"/>
  <c r="R155"/>
  <c r="R197" s="1"/>
  <c r="Q197" s="1"/>
  <c r="P197" s="1"/>
  <c r="O197" s="1"/>
  <c r="R137"/>
  <c r="Q137" s="1"/>
  <c r="P137" s="1"/>
  <c r="O137" s="1"/>
  <c r="N137" s="1"/>
  <c r="M137" s="1"/>
  <c r="L137" s="1"/>
  <c r="K137" s="1"/>
  <c r="J137" s="1"/>
  <c r="I137" s="1"/>
  <c r="H137" s="1"/>
  <c r="G137" s="1"/>
  <c r="F137" s="1"/>
  <c r="E137" s="1"/>
  <c r="R139"/>
  <c r="Q139" s="1"/>
  <c r="R117"/>
  <c r="R138"/>
  <c r="Q138" s="1"/>
  <c r="P138" s="1"/>
  <c r="O138" s="1"/>
  <c r="N138" s="1"/>
  <c r="M138" s="1"/>
  <c r="L138" s="1"/>
  <c r="K138" s="1"/>
  <c r="J138" s="1"/>
  <c r="I138" s="1"/>
  <c r="H138" s="1"/>
  <c r="G138" s="1"/>
  <c r="F138" s="1"/>
  <c r="R39"/>
  <c r="R130"/>
  <c r="R122"/>
  <c r="R124"/>
  <c r="R119"/>
  <c r="R113"/>
  <c r="Q113" s="1"/>
  <c r="P113" s="1"/>
  <c r="O113" s="1"/>
  <c r="N113" s="1"/>
  <c r="M113" s="1"/>
  <c r="L113" s="1"/>
  <c r="K113" s="1"/>
  <c r="J113" s="1"/>
  <c r="I113" s="1"/>
  <c r="H113" s="1"/>
  <c r="G113" s="1"/>
  <c r="R129"/>
  <c r="Q129" s="1"/>
  <c r="R120"/>
  <c r="Q120" s="1"/>
  <c r="R121"/>
  <c r="R125"/>
  <c r="R116"/>
  <c r="Q116" s="1"/>
  <c r="P116" s="1"/>
  <c r="O116" s="1"/>
  <c r="N116" s="1"/>
  <c r="M116" s="1"/>
  <c r="L116" s="1"/>
  <c r="K116" s="1"/>
  <c r="J116" s="1"/>
  <c r="I116" s="1"/>
  <c r="R127"/>
  <c r="Q127" s="1"/>
  <c r="R123"/>
  <c r="Q123" s="1"/>
  <c r="R126"/>
  <c r="Q126" s="1"/>
  <c r="R118"/>
  <c r="R128"/>
  <c r="R115"/>
  <c r="Q115" s="1"/>
  <c r="C480"/>
  <c r="G62" i="26"/>
  <c r="H63"/>
  <c r="C493" i="18"/>
  <c r="C492"/>
  <c r="D493"/>
  <c r="D492"/>
  <c r="C28" i="26"/>
  <c r="D30"/>
  <c r="H32" i="30" l="1"/>
  <c r="H33" s="1"/>
  <c r="I30"/>
  <c r="J30" s="1"/>
  <c r="H30" i="29"/>
  <c r="H32" s="1"/>
  <c r="H33" s="1"/>
  <c r="Q17" i="28"/>
  <c r="R166" i="27"/>
  <c r="R181"/>
  <c r="R116"/>
  <c r="R143" i="18"/>
  <c r="R599"/>
  <c r="R591"/>
  <c r="V629"/>
  <c r="R566"/>
  <c r="R603"/>
  <c r="R578"/>
  <c r="R327"/>
  <c r="U272"/>
  <c r="T272" s="1"/>
  <c r="R274"/>
  <c r="R158"/>
  <c r="F62" i="26"/>
  <c r="G63"/>
  <c r="D32"/>
  <c r="I32" i="30" l="1"/>
  <c r="I33" s="1"/>
  <c r="I30" i="29"/>
  <c r="J30" s="1"/>
  <c r="J32" i="30"/>
  <c r="J33" s="1"/>
  <c r="K30"/>
  <c r="K32" s="1"/>
  <c r="K33" s="1"/>
  <c r="S181" i="27"/>
  <c r="R183"/>
  <c r="S158" i="18"/>
  <c r="R160"/>
  <c r="R396"/>
  <c r="Q396" s="1"/>
  <c r="U274"/>
  <c r="R339"/>
  <c r="R341"/>
  <c r="R340"/>
  <c r="R342"/>
  <c r="R328"/>
  <c r="R338"/>
  <c r="E62" i="26"/>
  <c r="F63"/>
  <c r="D33"/>
  <c r="E30"/>
  <c r="E32" s="1"/>
  <c r="E33" s="1"/>
  <c r="H463" i="18"/>
  <c r="H481" s="1"/>
  <c r="D481"/>
  <c r="H480"/>
  <c r="D480"/>
  <c r="M261"/>
  <c r="N261" s="1"/>
  <c r="Y49"/>
  <c r="AD49" s="1"/>
  <c r="K678"/>
  <c r="K683" s="1"/>
  <c r="J678"/>
  <c r="J683" s="1"/>
  <c r="R678"/>
  <c r="Q678"/>
  <c r="Q683" s="1"/>
  <c r="H676"/>
  <c r="H681" s="1"/>
  <c r="G676"/>
  <c r="G681" s="1"/>
  <c r="F676"/>
  <c r="F681" s="1"/>
  <c r="E676"/>
  <c r="E681" s="1"/>
  <c r="D676"/>
  <c r="D681" s="1"/>
  <c r="P678"/>
  <c r="P683" s="1"/>
  <c r="O678"/>
  <c r="N678"/>
  <c r="N683" s="1"/>
  <c r="M678"/>
  <c r="M683" s="1"/>
  <c r="L678"/>
  <c r="L683" s="1"/>
  <c r="R201"/>
  <c r="S201" s="1"/>
  <c r="H677"/>
  <c r="H682" s="1"/>
  <c r="G677"/>
  <c r="G682" s="1"/>
  <c r="F677"/>
  <c r="F682" s="1"/>
  <c r="E677"/>
  <c r="E682" s="1"/>
  <c r="D677"/>
  <c r="D682" s="1"/>
  <c r="C677"/>
  <c r="C682" s="1"/>
  <c r="R676"/>
  <c r="Q676"/>
  <c r="Q681" s="1"/>
  <c r="P676"/>
  <c r="P681" s="1"/>
  <c r="O676"/>
  <c r="O681" s="1"/>
  <c r="N676"/>
  <c r="N681" s="1"/>
  <c r="M676"/>
  <c r="M681" s="1"/>
  <c r="L676"/>
  <c r="L681" s="1"/>
  <c r="K676"/>
  <c r="K681" s="1"/>
  <c r="J676"/>
  <c r="J681" s="1"/>
  <c r="I676"/>
  <c r="I681" s="1"/>
  <c r="I678"/>
  <c r="I683" s="1"/>
  <c r="F678"/>
  <c r="F683" s="1"/>
  <c r="E678"/>
  <c r="O683"/>
  <c r="C676"/>
  <c r="C681" s="1"/>
  <c r="R675"/>
  <c r="Q675"/>
  <c r="Q680" s="1"/>
  <c r="P675"/>
  <c r="P680" s="1"/>
  <c r="O675"/>
  <c r="O680" s="1"/>
  <c r="N675"/>
  <c r="N680" s="1"/>
  <c r="M675"/>
  <c r="M680" s="1"/>
  <c r="L675"/>
  <c r="K675"/>
  <c r="K680" s="1"/>
  <c r="J675"/>
  <c r="J680" s="1"/>
  <c r="I675"/>
  <c r="I680" s="1"/>
  <c r="H675"/>
  <c r="H680" s="1"/>
  <c r="G675"/>
  <c r="G680" s="1"/>
  <c r="F675"/>
  <c r="F680" s="1"/>
  <c r="E675"/>
  <c r="E680" s="1"/>
  <c r="D675"/>
  <c r="D680" s="1"/>
  <c r="C675"/>
  <c r="C680" s="1"/>
  <c r="R674"/>
  <c r="M166"/>
  <c r="N166" s="1"/>
  <c r="O166" s="1"/>
  <c r="P166" s="1"/>
  <c r="Q166" s="1"/>
  <c r="R166" s="1"/>
  <c r="L166"/>
  <c r="K166"/>
  <c r="J166"/>
  <c r="I166"/>
  <c r="H166"/>
  <c r="G166"/>
  <c r="F166"/>
  <c r="E166"/>
  <c r="D166"/>
  <c r="Q165"/>
  <c r="P165"/>
  <c r="O165"/>
  <c r="N165"/>
  <c r="M165"/>
  <c r="L165"/>
  <c r="K165"/>
  <c r="J165"/>
  <c r="I165"/>
  <c r="H165"/>
  <c r="G165"/>
  <c r="F165"/>
  <c r="E165"/>
  <c r="D165"/>
  <c r="C678"/>
  <c r="C683" s="1"/>
  <c r="R677"/>
  <c r="R682" s="1"/>
  <c r="Q677"/>
  <c r="Q682" s="1"/>
  <c r="P677"/>
  <c r="P682" s="1"/>
  <c r="O677"/>
  <c r="O682" s="1"/>
  <c r="N677"/>
  <c r="N682" s="1"/>
  <c r="M677"/>
  <c r="M682" s="1"/>
  <c r="L677"/>
  <c r="L682" s="1"/>
  <c r="K677"/>
  <c r="K682" s="1"/>
  <c r="J677"/>
  <c r="J682" s="1"/>
  <c r="I677"/>
  <c r="I682" s="1"/>
  <c r="E683"/>
  <c r="D678"/>
  <c r="D683" s="1"/>
  <c r="G678"/>
  <c r="G683" s="1"/>
  <c r="H678"/>
  <c r="H683" s="1"/>
  <c r="AE48"/>
  <c r="R410"/>
  <c r="Q410"/>
  <c r="P410"/>
  <c r="O410"/>
  <c r="N410"/>
  <c r="M410"/>
  <c r="L410"/>
  <c r="K410"/>
  <c r="J410"/>
  <c r="I410"/>
  <c r="H410"/>
  <c r="G410"/>
  <c r="F410"/>
  <c r="E410"/>
  <c r="D410"/>
  <c r="C410"/>
  <c r="G514"/>
  <c r="F514"/>
  <c r="E514"/>
  <c r="D514"/>
  <c r="G622"/>
  <c r="G656" s="1"/>
  <c r="Q674"/>
  <c r="Q679" s="1"/>
  <c r="N636"/>
  <c r="O636" s="1"/>
  <c r="G626"/>
  <c r="G660" s="1"/>
  <c r="I636"/>
  <c r="J636" s="1"/>
  <c r="G639"/>
  <c r="F639"/>
  <c r="F674"/>
  <c r="F679" s="1"/>
  <c r="E674"/>
  <c r="E679" s="1"/>
  <c r="J674"/>
  <c r="J679" s="1"/>
  <c r="I674"/>
  <c r="N674"/>
  <c r="M674"/>
  <c r="M679" s="1"/>
  <c r="L674"/>
  <c r="L679" s="1"/>
  <c r="K674"/>
  <c r="D674"/>
  <c r="H674"/>
  <c r="H679" s="1"/>
  <c r="P674"/>
  <c r="P679" s="1"/>
  <c r="H662"/>
  <c r="G625"/>
  <c r="G659" s="1"/>
  <c r="C674"/>
  <c r="C679" s="1"/>
  <c r="G674"/>
  <c r="O674"/>
  <c r="O679" s="1"/>
  <c r="R664"/>
  <c r="Q664"/>
  <c r="P664"/>
  <c r="O664"/>
  <c r="N664"/>
  <c r="M664"/>
  <c r="L664"/>
  <c r="K664"/>
  <c r="J664"/>
  <c r="I664"/>
  <c r="H664"/>
  <c r="G664"/>
  <c r="F664"/>
  <c r="M699"/>
  <c r="M701" s="1"/>
  <c r="F30" i="26"/>
  <c r="G30" s="1"/>
  <c r="H30" s="1"/>
  <c r="I32" i="29" l="1"/>
  <c r="I33" s="1"/>
  <c r="R10" i="30"/>
  <c r="R10" i="29"/>
  <c r="J32"/>
  <c r="J33" s="1"/>
  <c r="K30"/>
  <c r="L30" s="1"/>
  <c r="K32"/>
  <c r="K33" s="1"/>
  <c r="L30" i="30"/>
  <c r="L32"/>
  <c r="L33" s="1"/>
  <c r="R683" i="18"/>
  <c r="K684"/>
  <c r="M347"/>
  <c r="R681"/>
  <c r="R215" i="27"/>
  <c r="R184"/>
  <c r="R217"/>
  <c r="R185"/>
  <c r="R188" s="1"/>
  <c r="T261" i="18"/>
  <c r="I261" s="1"/>
  <c r="I347" s="1"/>
  <c r="G684"/>
  <c r="R680"/>
  <c r="R194"/>
  <c r="R161"/>
  <c r="R192"/>
  <c r="R10" i="26"/>
  <c r="R162" i="18"/>
  <c r="R165" s="1"/>
  <c r="P396"/>
  <c r="O396" s="1"/>
  <c r="N396" s="1"/>
  <c r="M396" s="1"/>
  <c r="Q397"/>
  <c r="I684"/>
  <c r="R679"/>
  <c r="D684"/>
  <c r="R684"/>
  <c r="R343"/>
  <c r="D62" i="26"/>
  <c r="D63" s="1"/>
  <c r="E63"/>
  <c r="P684" i="18"/>
  <c r="K679"/>
  <c r="M684"/>
  <c r="D679"/>
  <c r="D685" s="1"/>
  <c r="E684"/>
  <c r="N684"/>
  <c r="I679"/>
  <c r="J684"/>
  <c r="G32" i="26"/>
  <c r="G33" s="1"/>
  <c r="F32"/>
  <c r="F33" s="1"/>
  <c r="P685" i="18"/>
  <c r="F685"/>
  <c r="I699"/>
  <c r="I701" s="1"/>
  <c r="G679"/>
  <c r="G685" s="1"/>
  <c r="L684"/>
  <c r="Q49"/>
  <c r="Q114" s="1"/>
  <c r="K49"/>
  <c r="I49"/>
  <c r="L49"/>
  <c r="H49"/>
  <c r="M49"/>
  <c r="R49"/>
  <c r="R114" s="1"/>
  <c r="N49"/>
  <c r="P49"/>
  <c r="G49"/>
  <c r="E685"/>
  <c r="I685"/>
  <c r="H685"/>
  <c r="H684"/>
  <c r="Q684"/>
  <c r="F684"/>
  <c r="N699"/>
  <c r="N701" s="1"/>
  <c r="L680"/>
  <c r="L685" s="1"/>
  <c r="K685"/>
  <c r="C685"/>
  <c r="O685"/>
  <c r="N679"/>
  <c r="N685" s="1"/>
  <c r="O684"/>
  <c r="C684"/>
  <c r="J685"/>
  <c r="M685"/>
  <c r="Q685"/>
  <c r="P636"/>
  <c r="O699"/>
  <c r="O701" s="1"/>
  <c r="K636"/>
  <c r="J699"/>
  <c r="J701" s="1"/>
  <c r="H32" i="26"/>
  <c r="H33" s="1"/>
  <c r="I30"/>
  <c r="O261" i="18"/>
  <c r="N347"/>
  <c r="O49"/>
  <c r="J49"/>
  <c r="R25" i="30" l="1"/>
  <c r="R27" s="1"/>
  <c r="R12"/>
  <c r="R23" s="1"/>
  <c r="R19" s="1"/>
  <c r="R28" s="1"/>
  <c r="R13"/>
  <c r="M30"/>
  <c r="M32" s="1"/>
  <c r="M33" s="1"/>
  <c r="L32" i="29"/>
  <c r="L33" s="1"/>
  <c r="M30"/>
  <c r="R25"/>
  <c r="R27" s="1"/>
  <c r="R12"/>
  <c r="R23" s="1"/>
  <c r="R19" s="1"/>
  <c r="R13"/>
  <c r="J261" i="18"/>
  <c r="K261" s="1"/>
  <c r="R685"/>
  <c r="R219" i="27"/>
  <c r="R193"/>
  <c r="R196"/>
  <c r="R216"/>
  <c r="L396" i="18"/>
  <c r="M397"/>
  <c r="R193"/>
  <c r="R455"/>
  <c r="R196"/>
  <c r="R170"/>
  <c r="R173"/>
  <c r="R13" i="26"/>
  <c r="R12"/>
  <c r="R23" s="1"/>
  <c r="R19" s="1"/>
  <c r="R25"/>
  <c r="P397" i="18"/>
  <c r="O397" s="1"/>
  <c r="N397" s="1"/>
  <c r="Q46"/>
  <c r="M46"/>
  <c r="M114"/>
  <c r="P114"/>
  <c r="P46"/>
  <c r="AA49"/>
  <c r="H114"/>
  <c r="H46"/>
  <c r="G114"/>
  <c r="G46"/>
  <c r="Z49"/>
  <c r="K46"/>
  <c r="K114"/>
  <c r="I46"/>
  <c r="AB49"/>
  <c r="I114"/>
  <c r="N46"/>
  <c r="N114"/>
  <c r="L46"/>
  <c r="L114"/>
  <c r="R46"/>
  <c r="J347"/>
  <c r="J30" i="26"/>
  <c r="J32" s="1"/>
  <c r="J33" s="1"/>
  <c r="L636" i="18"/>
  <c r="L699" s="1"/>
  <c r="L701" s="1"/>
  <c r="K699"/>
  <c r="K701" s="1"/>
  <c r="J114"/>
  <c r="J46"/>
  <c r="I32" i="26"/>
  <c r="I33" s="1"/>
  <c r="O46" i="18"/>
  <c r="O114"/>
  <c r="P261"/>
  <c r="O347"/>
  <c r="P699"/>
  <c r="P701" s="1"/>
  <c r="Q636"/>
  <c r="Q699" s="1"/>
  <c r="Q701" s="1"/>
  <c r="M32" i="29" l="1"/>
  <c r="M33" s="1"/>
  <c r="N30"/>
  <c r="O30" s="1"/>
  <c r="N32"/>
  <c r="N33" s="1"/>
  <c r="R28"/>
  <c r="N30" i="30"/>
  <c r="N32" s="1"/>
  <c r="N33" s="1"/>
  <c r="S464" i="18"/>
  <c r="K396"/>
  <c r="L397"/>
  <c r="R28" i="26"/>
  <c r="R27"/>
  <c r="R485" i="18"/>
  <c r="R469"/>
  <c r="R465" s="1"/>
  <c r="AE49"/>
  <c r="K30" i="26"/>
  <c r="K32" s="1"/>
  <c r="K33" s="1"/>
  <c r="Q261" i="18"/>
  <c r="Q347" s="1"/>
  <c r="P347"/>
  <c r="L261"/>
  <c r="K347"/>
  <c r="O30" i="30" l="1"/>
  <c r="O32" s="1"/>
  <c r="O33" s="1"/>
  <c r="O32" i="29"/>
  <c r="O33" s="1"/>
  <c r="P30"/>
  <c r="J396" i="18"/>
  <c r="K397"/>
  <c r="L30" i="26"/>
  <c r="L347" i="18"/>
  <c r="V347" s="1"/>
  <c r="V261"/>
  <c r="P30" i="30" l="1"/>
  <c r="P32" s="1"/>
  <c r="P33" s="1"/>
  <c r="P32" i="29"/>
  <c r="P33" s="1"/>
  <c r="Q30"/>
  <c r="I396" i="18"/>
  <c r="J397"/>
  <c r="M30" i="26"/>
  <c r="L32"/>
  <c r="L33" s="1"/>
  <c r="Q30" i="30" l="1"/>
  <c r="Q32" s="1"/>
  <c r="Q33" s="1"/>
  <c r="Q32" i="29"/>
  <c r="Q33" s="1"/>
  <c r="R30"/>
  <c r="R32" s="1"/>
  <c r="R33" s="1"/>
  <c r="H396" i="18"/>
  <c r="I397"/>
  <c r="N30" i="26"/>
  <c r="M32"/>
  <c r="M33" s="1"/>
  <c r="R30" i="30" l="1"/>
  <c r="R32" s="1"/>
  <c r="R33" s="1"/>
  <c r="R395" i="18"/>
  <c r="H397"/>
  <c r="O30" i="26"/>
  <c r="N32"/>
  <c r="N33" s="1"/>
  <c r="R261" i="18" l="1"/>
  <c r="R397"/>
  <c r="P30" i="26"/>
  <c r="O32"/>
  <c r="O33" s="1"/>
  <c r="R347" i="18" l="1"/>
  <c r="U261"/>
  <c r="Q30" i="26"/>
  <c r="P32"/>
  <c r="P33" s="1"/>
  <c r="R30" l="1"/>
  <c r="R32" s="1"/>
  <c r="R33" s="1"/>
  <c r="Q32"/>
  <c r="Q33" s="1"/>
  <c r="G593" i="18"/>
  <c r="G596" s="1"/>
  <c r="F593"/>
  <c r="D593"/>
  <c r="D605"/>
  <c r="C593"/>
  <c r="C595" s="1"/>
  <c r="C605"/>
  <c r="I267"/>
  <c r="I311" s="1"/>
  <c r="I269"/>
  <c r="J269" s="1"/>
  <c r="I268"/>
  <c r="J268" s="1"/>
  <c r="N269"/>
  <c r="N301" s="1"/>
  <c r="I313"/>
  <c r="N267"/>
  <c r="N299" s="1"/>
  <c r="J267"/>
  <c r="K267" s="1"/>
  <c r="N268"/>
  <c r="N288" s="1"/>
  <c r="J287"/>
  <c r="H300"/>
  <c r="J617"/>
  <c r="K617" s="1"/>
  <c r="H593"/>
  <c r="H568" s="1"/>
  <c r="H571" s="1"/>
  <c r="H605"/>
  <c r="R547"/>
  <c r="R548" s="1"/>
  <c r="R593"/>
  <c r="R605"/>
  <c r="R585" s="1"/>
  <c r="Q547"/>
  <c r="Q593"/>
  <c r="Q605"/>
  <c r="Q580" s="1"/>
  <c r="P547"/>
  <c r="P593"/>
  <c r="P568" s="1"/>
  <c r="P605"/>
  <c r="O547"/>
  <c r="O593"/>
  <c r="O605"/>
  <c r="O580" s="1"/>
  <c r="N547"/>
  <c r="N593"/>
  <c r="N568" s="1"/>
  <c r="N605"/>
  <c r="N585" s="1"/>
  <c r="R568"/>
  <c r="R571" s="1"/>
  <c r="J593"/>
  <c r="J605"/>
  <c r="F605"/>
  <c r="F608" s="1"/>
  <c r="E605"/>
  <c r="E608" s="1"/>
  <c r="J547"/>
  <c r="I547"/>
  <c r="I548" s="1"/>
  <c r="I593"/>
  <c r="I605"/>
  <c r="I585" s="1"/>
  <c r="I616"/>
  <c r="J616" s="1"/>
  <c r="I568"/>
  <c r="I571" s="1"/>
  <c r="J568"/>
  <c r="J570" s="1"/>
  <c r="F596"/>
  <c r="E593"/>
  <c r="E595" s="1"/>
  <c r="K593"/>
  <c r="K605"/>
  <c r="K606" s="1"/>
  <c r="L593"/>
  <c r="L605"/>
  <c r="M593"/>
  <c r="M568" s="1"/>
  <c r="M605"/>
  <c r="G605"/>
  <c r="G585" s="1"/>
  <c r="H608"/>
  <c r="H607"/>
  <c r="H580"/>
  <c r="H582" s="1"/>
  <c r="H606"/>
  <c r="E607"/>
  <c r="N580"/>
  <c r="N582" s="1"/>
  <c r="M547"/>
  <c r="M548" s="1"/>
  <c r="R580"/>
  <c r="R581" s="1"/>
  <c r="P580"/>
  <c r="P581" s="1"/>
  <c r="N581"/>
  <c r="M580"/>
  <c r="M581" s="1"/>
  <c r="K580"/>
  <c r="K581" s="1"/>
  <c r="R572"/>
  <c r="R573" s="1"/>
  <c r="Q573"/>
  <c r="P573"/>
  <c r="O573"/>
  <c r="N573"/>
  <c r="M573"/>
  <c r="L573"/>
  <c r="K573"/>
  <c r="J573"/>
  <c r="I573"/>
  <c r="H573"/>
  <c r="R574"/>
  <c r="R582"/>
  <c r="I618"/>
  <c r="J618" s="1"/>
  <c r="L568"/>
  <c r="L571" s="1"/>
  <c r="P583"/>
  <c r="J596"/>
  <c r="J595"/>
  <c r="J594"/>
  <c r="R596"/>
  <c r="R595"/>
  <c r="R594"/>
  <c r="K608"/>
  <c r="K607"/>
  <c r="N616"/>
  <c r="O616" s="1"/>
  <c r="N617"/>
  <c r="N651" s="1"/>
  <c r="N618"/>
  <c r="O618" s="1"/>
  <c r="O548"/>
  <c r="K568"/>
  <c r="K571" s="1"/>
  <c r="J608"/>
  <c r="J606"/>
  <c r="R607"/>
  <c r="O617"/>
  <c r="P617" s="1"/>
  <c r="N652"/>
  <c r="P548"/>
  <c r="Q596"/>
  <c r="Q594"/>
  <c r="Q595"/>
  <c r="K582"/>
  <c r="E585"/>
  <c r="E587" s="1"/>
  <c r="N596"/>
  <c r="N594"/>
  <c r="C608"/>
  <c r="C607"/>
  <c r="J548"/>
  <c r="N548"/>
  <c r="L547"/>
  <c r="K547"/>
  <c r="R569"/>
  <c r="O568"/>
  <c r="O569" s="1"/>
  <c r="L569"/>
  <c r="K569"/>
  <c r="J569"/>
  <c r="M583"/>
  <c r="M582"/>
  <c r="H596"/>
  <c r="G595"/>
  <c r="L596"/>
  <c r="L595"/>
  <c r="L594"/>
  <c r="D596"/>
  <c r="D595"/>
  <c r="P594"/>
  <c r="I608"/>
  <c r="I606"/>
  <c r="M608"/>
  <c r="M607"/>
  <c r="M606"/>
  <c r="Q607"/>
  <c r="G608"/>
  <c r="I650"/>
  <c r="H650"/>
  <c r="G650"/>
  <c r="N650"/>
  <c r="K548"/>
  <c r="M595"/>
  <c r="E596"/>
  <c r="O607"/>
  <c r="W547"/>
  <c r="U547"/>
  <c r="Q548"/>
  <c r="L548"/>
  <c r="V547"/>
  <c r="O571"/>
  <c r="K596"/>
  <c r="K595"/>
  <c r="K594"/>
  <c r="C596"/>
  <c r="I596"/>
  <c r="I594"/>
  <c r="I595"/>
  <c r="O596"/>
  <c r="O594"/>
  <c r="O595"/>
  <c r="L608"/>
  <c r="P608"/>
  <c r="P607"/>
  <c r="P606"/>
  <c r="D607"/>
  <c r="N608"/>
  <c r="N606"/>
  <c r="N607"/>
  <c r="I652"/>
  <c r="O651"/>
  <c r="D585" l="1"/>
  <c r="L585"/>
  <c r="F607"/>
  <c r="N560"/>
  <c r="N588"/>
  <c r="N586"/>
  <c r="J585"/>
  <c r="R570"/>
  <c r="F585"/>
  <c r="F587" s="1"/>
  <c r="H581"/>
  <c r="H583"/>
  <c r="Q617"/>
  <c r="Q651" s="1"/>
  <c r="P651"/>
  <c r="L588"/>
  <c r="L586"/>
  <c r="L587"/>
  <c r="I560"/>
  <c r="I587"/>
  <c r="I588"/>
  <c r="I586"/>
  <c r="O581"/>
  <c r="O582"/>
  <c r="O583"/>
  <c r="P569"/>
  <c r="P571"/>
  <c r="Q581"/>
  <c r="Q582"/>
  <c r="Q583"/>
  <c r="L617"/>
  <c r="L651" s="1"/>
  <c r="K651"/>
  <c r="M570"/>
  <c r="M569"/>
  <c r="R560"/>
  <c r="R588"/>
  <c r="R586"/>
  <c r="R587"/>
  <c r="D588"/>
  <c r="D587"/>
  <c r="J651"/>
  <c r="D608"/>
  <c r="L606"/>
  <c r="O570"/>
  <c r="O606"/>
  <c r="O608"/>
  <c r="M594"/>
  <c r="M596"/>
  <c r="G607"/>
  <c r="Q606"/>
  <c r="Q608"/>
  <c r="L607"/>
  <c r="I607"/>
  <c r="P595"/>
  <c r="P596"/>
  <c r="H594"/>
  <c r="H595"/>
  <c r="I569"/>
  <c r="L560"/>
  <c r="L561" s="1"/>
  <c r="N595"/>
  <c r="K583"/>
  <c r="R606"/>
  <c r="R608"/>
  <c r="J607"/>
  <c r="P582"/>
  <c r="L570"/>
  <c r="R583"/>
  <c r="I580"/>
  <c r="L580"/>
  <c r="M585"/>
  <c r="K585"/>
  <c r="K560" s="1"/>
  <c r="F595"/>
  <c r="J571"/>
  <c r="N587"/>
  <c r="I570"/>
  <c r="P585"/>
  <c r="Q585"/>
  <c r="Q560" s="1"/>
  <c r="H585"/>
  <c r="N300"/>
  <c r="I300"/>
  <c r="J311"/>
  <c r="J299"/>
  <c r="C585"/>
  <c r="C587" s="1"/>
  <c r="H569"/>
  <c r="J587"/>
  <c r="J588"/>
  <c r="J586"/>
  <c r="N571"/>
  <c r="N570"/>
  <c r="N569"/>
  <c r="M588"/>
  <c r="M586"/>
  <c r="V585"/>
  <c r="M587"/>
  <c r="P560"/>
  <c r="P562" s="1"/>
  <c r="P586"/>
  <c r="P588"/>
  <c r="P587"/>
  <c r="C588"/>
  <c r="P570"/>
  <c r="K570"/>
  <c r="F588"/>
  <c r="J580"/>
  <c r="Q568"/>
  <c r="Q571" s="1"/>
  <c r="O585"/>
  <c r="N287"/>
  <c r="I289"/>
  <c r="O269"/>
  <c r="O313" s="1"/>
  <c r="I287"/>
  <c r="M560"/>
  <c r="M563" s="1"/>
  <c r="J560"/>
  <c r="H570"/>
  <c r="O652"/>
  <c r="P618"/>
  <c r="M561"/>
  <c r="G587"/>
  <c r="G588"/>
  <c r="K586"/>
  <c r="W585"/>
  <c r="N561"/>
  <c r="N563"/>
  <c r="N562"/>
  <c r="Q586"/>
  <c r="Q588"/>
  <c r="L563"/>
  <c r="P561"/>
  <c r="P563"/>
  <c r="K311"/>
  <c r="K299"/>
  <c r="K287"/>
  <c r="L267"/>
  <c r="O650"/>
  <c r="P616"/>
  <c r="I562"/>
  <c r="I563"/>
  <c r="I561"/>
  <c r="J563"/>
  <c r="J561"/>
  <c r="J562"/>
  <c r="R561"/>
  <c r="R562"/>
  <c r="R563"/>
  <c r="H587"/>
  <c r="H560"/>
  <c r="H586"/>
  <c r="U585"/>
  <c r="H588"/>
  <c r="J301"/>
  <c r="J289"/>
  <c r="J313"/>
  <c r="K269"/>
  <c r="J652"/>
  <c r="K618"/>
  <c r="J650"/>
  <c r="K616"/>
  <c r="O560"/>
  <c r="O586"/>
  <c r="O587"/>
  <c r="O588"/>
  <c r="J300"/>
  <c r="J288"/>
  <c r="K268"/>
  <c r="J312"/>
  <c r="E588"/>
  <c r="O301"/>
  <c r="O268"/>
  <c r="O267"/>
  <c r="N313"/>
  <c r="I312"/>
  <c r="I299"/>
  <c r="R575"/>
  <c r="M571"/>
  <c r="N583"/>
  <c r="N312"/>
  <c r="N311"/>
  <c r="N289"/>
  <c r="I288"/>
  <c r="I301"/>
  <c r="K563" l="1"/>
  <c r="K562"/>
  <c r="K561"/>
  <c r="L581"/>
  <c r="L582"/>
  <c r="L583"/>
  <c r="I581"/>
  <c r="I582"/>
  <c r="I583"/>
  <c r="L562"/>
  <c r="Q587"/>
  <c r="K588"/>
  <c r="K587"/>
  <c r="M562"/>
  <c r="P269"/>
  <c r="O289"/>
  <c r="Q570"/>
  <c r="Q569"/>
  <c r="J583"/>
  <c r="J581"/>
  <c r="J582"/>
  <c r="L618"/>
  <c r="L652" s="1"/>
  <c r="K652"/>
  <c r="Q616"/>
  <c r="Q650" s="1"/>
  <c r="P650"/>
  <c r="K288"/>
  <c r="L268"/>
  <c r="K300"/>
  <c r="K312"/>
  <c r="Q618"/>
  <c r="Q652" s="1"/>
  <c r="P652"/>
  <c r="P268"/>
  <c r="O288"/>
  <c r="O300"/>
  <c r="O312"/>
  <c r="L616"/>
  <c r="L650" s="1"/>
  <c r="K650"/>
  <c r="L269"/>
  <c r="K301"/>
  <c r="K313"/>
  <c r="K289"/>
  <c r="Q562"/>
  <c r="Q563"/>
  <c r="Q561"/>
  <c r="O299"/>
  <c r="P267"/>
  <c r="O311"/>
  <c r="O287"/>
  <c r="O562"/>
  <c r="O563"/>
  <c r="O561"/>
  <c r="H563"/>
  <c r="H561"/>
  <c r="H562"/>
  <c r="L311"/>
  <c r="L299"/>
  <c r="L287"/>
  <c r="P301" l="1"/>
  <c r="Q269"/>
  <c r="P289"/>
  <c r="P313"/>
  <c r="L301"/>
  <c r="L289"/>
  <c r="L313"/>
  <c r="L312"/>
  <c r="L288"/>
  <c r="L300"/>
  <c r="Q268"/>
  <c r="P288"/>
  <c r="P300"/>
  <c r="P312"/>
  <c r="Q267"/>
  <c r="P287"/>
  <c r="P311"/>
  <c r="P299"/>
  <c r="Q301" l="1"/>
  <c r="Q313"/>
  <c r="Q289"/>
  <c r="Q299"/>
  <c r="Q311"/>
  <c r="Q287"/>
  <c r="Q300"/>
  <c r="Q288"/>
  <c r="Q312"/>
  <c r="D64" i="26"/>
  <c r="D66" s="1"/>
  <c r="C92"/>
  <c r="D71" l="1"/>
  <c r="D65"/>
  <c r="D88"/>
  <c r="D67"/>
  <c r="E64"/>
  <c r="D79" l="1"/>
  <c r="D75" s="1"/>
  <c r="D84" s="1"/>
  <c r="D85" s="1"/>
  <c r="E66"/>
  <c r="E65"/>
  <c r="E71"/>
  <c r="F64"/>
  <c r="F66" s="1"/>
  <c r="F67" s="1"/>
  <c r="D86" l="1"/>
  <c r="D92" s="1"/>
  <c r="E88"/>
  <c r="E67"/>
  <c r="F88"/>
  <c r="G64"/>
  <c r="G65" s="1"/>
  <c r="F71"/>
  <c r="F65"/>
  <c r="G66" l="1"/>
  <c r="G67" s="1"/>
  <c r="E79"/>
  <c r="E75" s="1"/>
  <c r="E84" s="1"/>
  <c r="E85" s="1"/>
  <c r="H64"/>
  <c r="H71" s="1"/>
  <c r="G71"/>
  <c r="I64" l="1"/>
  <c r="G88"/>
  <c r="H66"/>
  <c r="H88" s="1"/>
  <c r="H65"/>
  <c r="E86"/>
  <c r="F79" s="1"/>
  <c r="F75" s="1"/>
  <c r="F84" s="1"/>
  <c r="F85" s="1"/>
  <c r="J64"/>
  <c r="I71"/>
  <c r="I65"/>
  <c r="I66"/>
  <c r="H67" l="1"/>
  <c r="E92"/>
  <c r="F86"/>
  <c r="F92" s="1"/>
  <c r="K64"/>
  <c r="J65"/>
  <c r="J71"/>
  <c r="J66"/>
  <c r="I88"/>
  <c r="I67"/>
  <c r="G79" l="1"/>
  <c r="G75" s="1"/>
  <c r="G84" s="1"/>
  <c r="G85" s="1"/>
  <c r="K66"/>
  <c r="K71"/>
  <c r="L64"/>
  <c r="K65"/>
  <c r="L66"/>
  <c r="L88" s="1"/>
  <c r="J88"/>
  <c r="J67"/>
  <c r="G86" l="1"/>
  <c r="H79" s="1"/>
  <c r="H75" s="1"/>
  <c r="H84" s="1"/>
  <c r="H85" s="1"/>
  <c r="K88"/>
  <c r="K67"/>
  <c r="L71"/>
  <c r="M64"/>
  <c r="L65"/>
  <c r="L67"/>
  <c r="G92" l="1"/>
  <c r="M71"/>
  <c r="M65"/>
  <c r="N64"/>
  <c r="N66" s="1"/>
  <c r="M66"/>
  <c r="H86"/>
  <c r="N88" l="1"/>
  <c r="N67"/>
  <c r="M88"/>
  <c r="M67"/>
  <c r="N65"/>
  <c r="O64"/>
  <c r="N71"/>
  <c r="H92"/>
  <c r="O66" l="1"/>
  <c r="O65"/>
  <c r="P64"/>
  <c r="O71"/>
  <c r="O88" l="1"/>
  <c r="O67"/>
  <c r="P66"/>
  <c r="P71"/>
  <c r="Q64"/>
  <c r="P65"/>
  <c r="P88" l="1"/>
  <c r="P67"/>
  <c r="R64"/>
  <c r="Q66"/>
  <c r="Q65"/>
  <c r="Q71"/>
  <c r="R65" l="1"/>
  <c r="R71"/>
  <c r="R66"/>
  <c r="Q67"/>
  <c r="Q88"/>
  <c r="R67" l="1"/>
  <c r="R88"/>
  <c r="F3" l="1"/>
  <c r="G3" s="1"/>
  <c r="H3" s="1"/>
  <c r="I3" s="1"/>
  <c r="J3" s="1"/>
  <c r="K3" s="1"/>
  <c r="L3" s="1"/>
  <c r="M3" s="1"/>
  <c r="N3" s="1"/>
  <c r="O3" s="1"/>
  <c r="P3" s="1"/>
  <c r="Q3" s="1"/>
  <c r="R3" s="1"/>
  <c r="E37"/>
  <c r="F37"/>
  <c r="G37" s="1"/>
  <c r="H37" s="1"/>
  <c r="I37" s="1"/>
  <c r="J37" s="1"/>
  <c r="K37" s="1"/>
  <c r="L37" s="1"/>
  <c r="M37" s="1"/>
  <c r="N37" s="1"/>
  <c r="O37" s="1"/>
  <c r="P37" s="1"/>
  <c r="Q37" s="1"/>
  <c r="R37" s="1"/>
  <c r="M45" i="1"/>
  <c r="M50" s="1"/>
  <c r="K26"/>
  <c r="L26" s="1"/>
  <c r="J27"/>
  <c r="C104" i="6"/>
  <c r="B104"/>
  <c r="B132" i="16"/>
  <c r="B142"/>
  <c r="B149" s="1"/>
  <c r="B134"/>
  <c r="B143" s="1"/>
  <c r="B229"/>
  <c r="B239" s="1"/>
  <c r="C380"/>
  <c r="B385"/>
  <c r="B395" s="1"/>
  <c r="B386"/>
  <c r="B396" s="1"/>
  <c r="B397"/>
  <c r="B412" s="1"/>
  <c r="B43"/>
  <c r="B52" s="1"/>
  <c r="B44"/>
  <c r="B53" s="1"/>
  <c r="B45"/>
  <c r="B54" s="1"/>
  <c r="F97" i="1"/>
  <c r="E97"/>
  <c r="D97"/>
  <c r="C97"/>
  <c r="B97"/>
  <c r="F46" i="6"/>
  <c r="E48" i="16"/>
  <c r="F48" s="1"/>
  <c r="G48" s="1"/>
  <c r="G91" i="1"/>
  <c r="F89"/>
  <c r="N45" l="1"/>
  <c r="O45" s="1"/>
  <c r="P45" s="1"/>
  <c r="B155" i="16"/>
  <c r="B405"/>
  <c r="B410"/>
  <c r="B403"/>
  <c r="B150"/>
  <c r="B156"/>
  <c r="B411"/>
  <c r="B413" s="1"/>
  <c r="B404"/>
  <c r="B398"/>
  <c r="B135"/>
  <c r="B141"/>
  <c r="O50" i="1"/>
  <c r="M26"/>
  <c r="G46" i="6"/>
  <c r="B65" i="16"/>
  <c r="B59"/>
  <c r="B254"/>
  <c r="B247"/>
  <c r="K27" i="1"/>
  <c r="E47" i="6"/>
  <c r="N50" i="1"/>
  <c r="B388" i="16"/>
  <c r="B55"/>
  <c r="B58"/>
  <c r="B64"/>
  <c r="B60"/>
  <c r="B66"/>
  <c r="H48"/>
  <c r="I48" s="1"/>
  <c r="J48" s="1"/>
  <c r="B46"/>
  <c r="G25" i="10"/>
  <c r="G93" i="1"/>
  <c r="G88" s="1"/>
  <c r="G94"/>
  <c r="G89" s="1"/>
  <c r="G92"/>
  <c r="G87" s="1"/>
  <c r="F87" s="1"/>
  <c r="G86"/>
  <c r="B406" i="16" l="1"/>
  <c r="B67"/>
  <c r="B61"/>
  <c r="L27" i="1"/>
  <c r="F47" i="6"/>
  <c r="Q45" i="1"/>
  <c r="Q50" s="1"/>
  <c r="P50"/>
  <c r="B144" i="16"/>
  <c r="B148"/>
  <c r="B151" s="1"/>
  <c r="B154"/>
  <c r="B157" s="1"/>
  <c r="N26" i="1"/>
  <c r="H46" i="6"/>
  <c r="K48" i="16"/>
  <c r="G46" i="1"/>
  <c r="G27" i="10"/>
  <c r="G26"/>
  <c r="G108" i="1"/>
  <c r="H416" i="18" l="1"/>
  <c r="H534" s="1"/>
  <c r="H622" s="1"/>
  <c r="H656" s="1"/>
  <c r="H439"/>
  <c r="I46" i="6"/>
  <c r="O26" i="1"/>
  <c r="M27"/>
  <c r="G47" i="6"/>
  <c r="L48" i="16"/>
  <c r="G50" i="1"/>
  <c r="G18" s="1"/>
  <c r="H46"/>
  <c r="F26" i="10"/>
  <c r="H456" i="18" l="1"/>
  <c r="H470" s="1"/>
  <c r="E26" i="10"/>
  <c r="P26" i="1"/>
  <c r="J46" i="6"/>
  <c r="N27" i="1"/>
  <c r="H47" i="6"/>
  <c r="B68"/>
  <c r="B38" i="10"/>
  <c r="I46" i="1"/>
  <c r="H50"/>
  <c r="H86"/>
  <c r="H486" i="18" l="1"/>
  <c r="D26" i="10"/>
  <c r="I47" i="6"/>
  <c r="O27" i="1"/>
  <c r="Q26"/>
  <c r="K46" i="6"/>
  <c r="B69"/>
  <c r="B68" i="10"/>
  <c r="H18" i="1"/>
  <c r="I86"/>
  <c r="H91"/>
  <c r="I50"/>
  <c r="J46"/>
  <c r="C26" i="10" l="1"/>
  <c r="L46" i="6"/>
  <c r="P27" i="1"/>
  <c r="J47" i="6"/>
  <c r="C38" i="10"/>
  <c r="C68" s="1"/>
  <c r="C68" i="6"/>
  <c r="I18" i="1"/>
  <c r="B69" i="10"/>
  <c r="B70" s="1"/>
  <c r="B78" s="1"/>
  <c r="J50" i="1"/>
  <c r="J19" s="1"/>
  <c r="K46"/>
  <c r="I91"/>
  <c r="J86"/>
  <c r="H25" i="10"/>
  <c r="H96" i="1"/>
  <c r="H97" s="1"/>
  <c r="B70" i="6"/>
  <c r="E62" i="10" l="1"/>
  <c r="E63" s="1"/>
  <c r="E66" i="6"/>
  <c r="E65"/>
  <c r="E64"/>
  <c r="Q27" i="1"/>
  <c r="K47" i="6"/>
  <c r="B26" i="10"/>
  <c r="J91" i="1"/>
  <c r="K86"/>
  <c r="B89" i="10"/>
  <c r="C69"/>
  <c r="C70" s="1"/>
  <c r="C78" s="1"/>
  <c r="L46" i="1"/>
  <c r="L50" s="1"/>
  <c r="K50"/>
  <c r="C69" i="6"/>
  <c r="C70" s="1"/>
  <c r="H26" i="10"/>
  <c r="H27"/>
  <c r="I25"/>
  <c r="I96" i="1"/>
  <c r="I97" s="1"/>
  <c r="J18"/>
  <c r="D68" i="6"/>
  <c r="D38" i="10"/>
  <c r="D68" s="1"/>
  <c r="S50" i="1" l="1"/>
  <c r="K19"/>
  <c r="L47" i="6"/>
  <c r="Q25" i="1"/>
  <c r="C89" i="10"/>
  <c r="K18" i="1"/>
  <c r="E38" i="10"/>
  <c r="E68" s="1"/>
  <c r="E68" i="6"/>
  <c r="J25" i="10"/>
  <c r="J96" i="1"/>
  <c r="J97" s="1"/>
  <c r="D69" i="6"/>
  <c r="D70" s="1"/>
  <c r="I26" i="10"/>
  <c r="I27"/>
  <c r="L86" i="1"/>
  <c r="K91"/>
  <c r="D69" i="10"/>
  <c r="D70" s="1"/>
  <c r="D78" s="1"/>
  <c r="B99"/>
  <c r="B107"/>
  <c r="L19" i="1" l="1"/>
  <c r="F62" i="10"/>
  <c r="F63" s="1"/>
  <c r="F64" i="6"/>
  <c r="F66"/>
  <c r="F65"/>
  <c r="L66" i="10"/>
  <c r="L38" i="16"/>
  <c r="L221"/>
  <c r="L65" i="10"/>
  <c r="L222" i="16"/>
  <c r="L48" i="6"/>
  <c r="L104" s="1"/>
  <c r="L39" i="16"/>
  <c r="L127"/>
  <c r="L126"/>
  <c r="D89" i="10"/>
  <c r="L91" i="1"/>
  <c r="M86"/>
  <c r="E69" i="10"/>
  <c r="E70" s="1"/>
  <c r="E78" s="1"/>
  <c r="K25"/>
  <c r="K96" i="1"/>
  <c r="K97" s="1"/>
  <c r="J26" i="10"/>
  <c r="J27"/>
  <c r="E69" i="6"/>
  <c r="F38" i="10"/>
  <c r="F68" s="1"/>
  <c r="F68" i="6"/>
  <c r="L18" i="1"/>
  <c r="C107" i="10"/>
  <c r="C99"/>
  <c r="M19" i="1" l="1"/>
  <c r="G62" i="10"/>
  <c r="G63" s="1"/>
  <c r="G65" i="6"/>
  <c r="G64"/>
  <c r="G66"/>
  <c r="D107" i="10"/>
  <c r="D99"/>
  <c r="E70" i="6"/>
  <c r="E89" i="10"/>
  <c r="F69" i="6"/>
  <c r="F70" s="1"/>
  <c r="G68"/>
  <c r="M18" i="1"/>
  <c r="G38" i="10"/>
  <c r="G68" s="1"/>
  <c r="F69"/>
  <c r="F70" s="1"/>
  <c r="F78" s="1"/>
  <c r="K26"/>
  <c r="K27"/>
  <c r="L25"/>
  <c r="L96" i="1"/>
  <c r="L97" s="1"/>
  <c r="N86"/>
  <c r="M91"/>
  <c r="M96" s="1"/>
  <c r="M97" s="1"/>
  <c r="N19" l="1"/>
  <c r="H62" i="10"/>
  <c r="H63" s="1"/>
  <c r="H66" i="6"/>
  <c r="H65"/>
  <c r="H64"/>
  <c r="F89" i="10"/>
  <c r="G69" i="6"/>
  <c r="G70" s="1"/>
  <c r="N18" i="1"/>
  <c r="H38" i="10"/>
  <c r="H68" s="1"/>
  <c r="H68" i="6"/>
  <c r="L26" i="10"/>
  <c r="L27"/>
  <c r="G69"/>
  <c r="G70" s="1"/>
  <c r="G78" s="1"/>
  <c r="O86" i="1"/>
  <c r="N91"/>
  <c r="N96" s="1"/>
  <c r="N97" s="1"/>
  <c r="E99" i="10"/>
  <c r="E107"/>
  <c r="O19" i="1" l="1"/>
  <c r="I62" i="10"/>
  <c r="I63" s="1"/>
  <c r="I66" i="6"/>
  <c r="I65"/>
  <c r="I64"/>
  <c r="G89" i="10"/>
  <c r="F99"/>
  <c r="F107"/>
  <c r="O18" i="1"/>
  <c r="I38" i="10"/>
  <c r="I68" s="1"/>
  <c r="I68" i="6"/>
  <c r="P86" i="1"/>
  <c r="O91"/>
  <c r="O96" s="1"/>
  <c r="O97" s="1"/>
  <c r="H69" i="10"/>
  <c r="H70" s="1"/>
  <c r="H78" s="1"/>
  <c r="H69" i="6"/>
  <c r="H70" s="1"/>
  <c r="P19" i="1" l="1"/>
  <c r="J62" i="10"/>
  <c r="J63" s="1"/>
  <c r="J64" i="6"/>
  <c r="J66"/>
  <c r="J65"/>
  <c r="H89" i="10"/>
  <c r="J38"/>
  <c r="J68" s="1"/>
  <c r="J68" i="6"/>
  <c r="P18" i="1"/>
  <c r="Q86"/>
  <c r="Q91" s="1"/>
  <c r="Q96" s="1"/>
  <c r="Q97" s="1"/>
  <c r="P91"/>
  <c r="P96" s="1"/>
  <c r="P97" s="1"/>
  <c r="I69" i="10"/>
  <c r="I70" s="1"/>
  <c r="I78" s="1"/>
  <c r="I69" i="6"/>
  <c r="G107" i="10"/>
  <c r="G99"/>
  <c r="Q19" i="1" l="1"/>
  <c r="K62" i="10"/>
  <c r="K63" s="1"/>
  <c r="K65" i="6"/>
  <c r="K66"/>
  <c r="K64"/>
  <c r="I89" i="10"/>
  <c r="K68" i="6"/>
  <c r="Q18" i="1"/>
  <c r="K38" i="10"/>
  <c r="K68" s="1"/>
  <c r="H99"/>
  <c r="H107"/>
  <c r="J69"/>
  <c r="J70" s="1"/>
  <c r="J78" s="1"/>
  <c r="J69" i="6"/>
  <c r="J70" s="1"/>
  <c r="I70"/>
  <c r="L62" i="10" l="1"/>
  <c r="L63" s="1"/>
  <c r="L66" i="6"/>
  <c r="L65"/>
  <c r="L64"/>
  <c r="K69"/>
  <c r="I99" i="10"/>
  <c r="I107"/>
  <c r="L38"/>
  <c r="L68" s="1"/>
  <c r="L68" i="6"/>
  <c r="K69" i="10"/>
  <c r="K70" s="1"/>
  <c r="K78" s="1"/>
  <c r="J89"/>
  <c r="K89" l="1"/>
  <c r="J99"/>
  <c r="J107"/>
  <c r="L69"/>
  <c r="L70" s="1"/>
  <c r="L78" s="1"/>
  <c r="K70" i="6"/>
  <c r="L69"/>
  <c r="L70" s="1"/>
  <c r="L89" i="10" l="1"/>
  <c r="K107"/>
  <c r="K99"/>
  <c r="L99" l="1"/>
  <c r="L107"/>
  <c r="D352" i="16" l="1"/>
  <c r="E352" s="1"/>
  <c r="F352" s="1"/>
  <c r="G352" s="1"/>
  <c r="H352" s="1"/>
  <c r="I352" s="1"/>
  <c r="J352" s="1"/>
  <c r="K352" s="1"/>
  <c r="L352" s="1"/>
  <c r="D276"/>
  <c r="E276" s="1"/>
  <c r="F276" s="1"/>
  <c r="G276" s="1"/>
  <c r="H276" s="1"/>
  <c r="I276" s="1"/>
  <c r="J276" s="1"/>
  <c r="K276" s="1"/>
  <c r="L276" s="1"/>
  <c r="D390"/>
  <c r="E390" s="1"/>
  <c r="F390" s="1"/>
  <c r="G390" s="1"/>
  <c r="H390" s="1"/>
  <c r="I390" s="1"/>
  <c r="J390" s="1"/>
  <c r="K390" s="1"/>
  <c r="L390" s="1"/>
  <c r="D312"/>
  <c r="E312" s="1"/>
  <c r="F312" s="1"/>
  <c r="G312" s="1"/>
  <c r="H312" s="1"/>
  <c r="I312" s="1"/>
  <c r="J312" s="1"/>
  <c r="K312" s="1"/>
  <c r="L312" s="1"/>
  <c r="D277"/>
  <c r="E277" s="1"/>
  <c r="F277" s="1"/>
  <c r="G277" s="1"/>
  <c r="H277" s="1"/>
  <c r="I277" s="1"/>
  <c r="J277" s="1"/>
  <c r="K277" s="1"/>
  <c r="L277" s="1"/>
  <c r="D353"/>
  <c r="E353" s="1"/>
  <c r="F353" s="1"/>
  <c r="G353" s="1"/>
  <c r="H353" s="1"/>
  <c r="I353" s="1"/>
  <c r="J353" s="1"/>
  <c r="K353" s="1"/>
  <c r="L353" s="1"/>
  <c r="L302" l="1"/>
  <c r="L301"/>
  <c r="L378"/>
  <c r="L379"/>
  <c r="I21" i="1" l="1"/>
  <c r="I25" s="1"/>
  <c r="D302" i="16" s="1"/>
  <c r="J147" i="2"/>
  <c r="K147" s="1"/>
  <c r="L147" s="1"/>
  <c r="I254"/>
  <c r="J254" s="1"/>
  <c r="I148"/>
  <c r="J148" s="1"/>
  <c r="K148"/>
  <c r="L148" s="1"/>
  <c r="M148" s="1"/>
  <c r="J149"/>
  <c r="K149"/>
  <c r="L149" s="1"/>
  <c r="M149" s="1"/>
  <c r="N149" s="1"/>
  <c r="O149" s="1"/>
  <c r="I256"/>
  <c r="J256" s="1"/>
  <c r="K256" s="1"/>
  <c r="H150"/>
  <c r="I150" s="1"/>
  <c r="H257"/>
  <c r="I257" s="1"/>
  <c r="J257" s="1"/>
  <c r="J151"/>
  <c r="K151" s="1"/>
  <c r="L151" s="1"/>
  <c r="M151" s="1"/>
  <c r="N151" s="1"/>
  <c r="I258"/>
  <c r="J258" s="1"/>
  <c r="H152"/>
  <c r="I152" s="1"/>
  <c r="J152" s="1"/>
  <c r="H259"/>
  <c r="I259" s="1"/>
  <c r="J153"/>
  <c r="K153" s="1"/>
  <c r="I260"/>
  <c r="J260" s="1"/>
  <c r="K260" s="1"/>
  <c r="L260" s="1"/>
  <c r="M260" s="1"/>
  <c r="N260" s="1"/>
  <c r="O260" s="1"/>
  <c r="P260" s="1"/>
  <c r="Q260" s="1"/>
  <c r="H154"/>
  <c r="I154" s="1"/>
  <c r="H261"/>
  <c r="I261" s="1"/>
  <c r="J261" s="1"/>
  <c r="J155"/>
  <c r="K155" s="1"/>
  <c r="L155" s="1"/>
  <c r="I262"/>
  <c r="J262" s="1"/>
  <c r="H156"/>
  <c r="I156" s="1"/>
  <c r="J156" s="1"/>
  <c r="H263"/>
  <c r="I263" s="1"/>
  <c r="J157"/>
  <c r="K157" s="1"/>
  <c r="L157" s="1"/>
  <c r="M157" s="1"/>
  <c r="N157" s="1"/>
  <c r="O157" s="1"/>
  <c r="I264"/>
  <c r="J264" s="1"/>
  <c r="K264" s="1"/>
  <c r="H158"/>
  <c r="I158"/>
  <c r="J158" s="1"/>
  <c r="K158" s="1"/>
  <c r="H265"/>
  <c r="I265" s="1"/>
  <c r="J265" s="1"/>
  <c r="J159"/>
  <c r="K159" s="1"/>
  <c r="L159" s="1"/>
  <c r="M159" s="1"/>
  <c r="N159" s="1"/>
  <c r="I266"/>
  <c r="J266" s="1"/>
  <c r="H160"/>
  <c r="I160" s="1"/>
  <c r="J160" s="1"/>
  <c r="H267"/>
  <c r="I267"/>
  <c r="J267" s="1"/>
  <c r="K267" s="1"/>
  <c r="L267" s="1"/>
  <c r="M267" s="1"/>
  <c r="N267" s="1"/>
  <c r="O267" s="1"/>
  <c r="P267" s="1"/>
  <c r="Q267" s="1"/>
  <c r="J161"/>
  <c r="K161"/>
  <c r="L161" s="1"/>
  <c r="M161" s="1"/>
  <c r="I268"/>
  <c r="J268" s="1"/>
  <c r="K268"/>
  <c r="L268" s="1"/>
  <c r="M268" s="1"/>
  <c r="N268" s="1"/>
  <c r="O268" s="1"/>
  <c r="P268" s="1"/>
  <c r="Q268" s="1"/>
  <c r="H162"/>
  <c r="I162"/>
  <c r="J162" s="1"/>
  <c r="K162" s="1"/>
  <c r="H269"/>
  <c r="I269" s="1"/>
  <c r="J269" s="1"/>
  <c r="J163"/>
  <c r="K163" s="1"/>
  <c r="L163" s="1"/>
  <c r="I270"/>
  <c r="J270"/>
  <c r="K270" s="1"/>
  <c r="L270" s="1"/>
  <c r="M270" s="1"/>
  <c r="N270" s="1"/>
  <c r="O270" s="1"/>
  <c r="P270" s="1"/>
  <c r="Q270" s="1"/>
  <c r="I164"/>
  <c r="J164" s="1"/>
  <c r="K164" s="1"/>
  <c r="H271"/>
  <c r="I271" s="1"/>
  <c r="J271" s="1"/>
  <c r="J165"/>
  <c r="K165" s="1"/>
  <c r="L165" s="1"/>
  <c r="I272"/>
  <c r="J272" s="1"/>
  <c r="J166"/>
  <c r="K166" s="1"/>
  <c r="L166" s="1"/>
  <c r="M166" s="1"/>
  <c r="N166" s="1"/>
  <c r="H273"/>
  <c r="I273" s="1"/>
  <c r="K167"/>
  <c r="L167" s="1"/>
  <c r="M167" s="1"/>
  <c r="N167" s="1"/>
  <c r="I274"/>
  <c r="J274" s="1"/>
  <c r="I244"/>
  <c r="J244" s="1"/>
  <c r="K244" s="1"/>
  <c r="H245"/>
  <c r="I245" s="1"/>
  <c r="J245" s="1"/>
  <c r="K245" s="1"/>
  <c r="I246"/>
  <c r="J246" s="1"/>
  <c r="H140"/>
  <c r="I140" s="1"/>
  <c r="J140" s="1"/>
  <c r="K140" s="1"/>
  <c r="H247"/>
  <c r="I247" s="1"/>
  <c r="J247" s="1"/>
  <c r="K247" s="1"/>
  <c r="L247" s="1"/>
  <c r="M247" s="1"/>
  <c r="N247" s="1"/>
  <c r="O247" s="1"/>
  <c r="P247" s="1"/>
  <c r="Q247" s="1"/>
  <c r="I248"/>
  <c r="J248" s="1"/>
  <c r="H142"/>
  <c r="I142" s="1"/>
  <c r="J142" s="1"/>
  <c r="K142" s="1"/>
  <c r="H249"/>
  <c r="I249" s="1"/>
  <c r="J249" s="1"/>
  <c r="K249" s="1"/>
  <c r="L249" s="1"/>
  <c r="M249" s="1"/>
  <c r="N249" s="1"/>
  <c r="O249" s="1"/>
  <c r="P249" s="1"/>
  <c r="Q249" s="1"/>
  <c r="I143"/>
  <c r="J143" s="1"/>
  <c r="I250"/>
  <c r="J250" s="1"/>
  <c r="H144"/>
  <c r="I144" s="1"/>
  <c r="J144" s="1"/>
  <c r="H251"/>
  <c r="I251" s="1"/>
  <c r="I252"/>
  <c r="J252" s="1"/>
  <c r="H146"/>
  <c r="I146" s="1"/>
  <c r="J146" s="1"/>
  <c r="H253"/>
  <c r="I253" s="1"/>
  <c r="H132"/>
  <c r="I132" s="1"/>
  <c r="J132" s="1"/>
  <c r="K132" s="1"/>
  <c r="L132" s="1"/>
  <c r="M132" s="1"/>
  <c r="N132" s="1"/>
  <c r="O132" s="1"/>
  <c r="P132" s="1"/>
  <c r="Q132" s="1"/>
  <c r="Q346" s="1"/>
  <c r="H239"/>
  <c r="I239" s="1"/>
  <c r="J239" s="1"/>
  <c r="K239" s="1"/>
  <c r="L239" s="1"/>
  <c r="M239" s="1"/>
  <c r="N239" s="1"/>
  <c r="O239" s="1"/>
  <c r="P239" s="1"/>
  <c r="Q239" s="1"/>
  <c r="I240"/>
  <c r="J240" s="1"/>
  <c r="K240" s="1"/>
  <c r="M134"/>
  <c r="N134" s="1"/>
  <c r="I242"/>
  <c r="J242" s="1"/>
  <c r="H136"/>
  <c r="I136" s="1"/>
  <c r="J136" s="1"/>
  <c r="K136" s="1"/>
  <c r="H243"/>
  <c r="I243" s="1"/>
  <c r="J243" s="1"/>
  <c r="K243" s="1"/>
  <c r="L243" s="1"/>
  <c r="M243" s="1"/>
  <c r="N243" s="1"/>
  <c r="O243" s="1"/>
  <c r="P243" s="1"/>
  <c r="Q243" s="1"/>
  <c r="E19" i="16"/>
  <c r="F19" s="1"/>
  <c r="G19" s="1"/>
  <c r="H19" s="1"/>
  <c r="I19" s="1"/>
  <c r="J19" s="1"/>
  <c r="K19" s="1"/>
  <c r="L19" s="1"/>
  <c r="L362" i="2"/>
  <c r="L375"/>
  <c r="K362"/>
  <c r="K375"/>
  <c r="K377"/>
  <c r="J362"/>
  <c r="J363"/>
  <c r="J367"/>
  <c r="J371"/>
  <c r="J375"/>
  <c r="J377"/>
  <c r="I359"/>
  <c r="I361"/>
  <c r="I362"/>
  <c r="I363"/>
  <c r="I365"/>
  <c r="I367"/>
  <c r="I369"/>
  <c r="I371"/>
  <c r="I372"/>
  <c r="I373"/>
  <c r="I374"/>
  <c r="I375"/>
  <c r="I376"/>
  <c r="I377"/>
  <c r="I378"/>
  <c r="I379"/>
  <c r="I381"/>
  <c r="K67"/>
  <c r="L67" s="1"/>
  <c r="M67" s="1"/>
  <c r="N67" s="1"/>
  <c r="O67" s="1"/>
  <c r="P67" s="1"/>
  <c r="Q67" s="1"/>
  <c r="M174"/>
  <c r="N174"/>
  <c r="O174" s="1"/>
  <c r="P174" s="1"/>
  <c r="Q174" s="1"/>
  <c r="M68"/>
  <c r="N68"/>
  <c r="O68" s="1"/>
  <c r="P68" s="1"/>
  <c r="Q68" s="1"/>
  <c r="H175"/>
  <c r="I175" s="1"/>
  <c r="J175" s="1"/>
  <c r="K175" s="1"/>
  <c r="L175" s="1"/>
  <c r="M175" s="1"/>
  <c r="N175" s="1"/>
  <c r="O175" s="1"/>
  <c r="P175" s="1"/>
  <c r="Q175" s="1"/>
  <c r="H176"/>
  <c r="I176" s="1"/>
  <c r="H70"/>
  <c r="I70" s="1"/>
  <c r="J70" s="1"/>
  <c r="K70" s="1"/>
  <c r="L70" s="1"/>
  <c r="M70" s="1"/>
  <c r="N70" s="1"/>
  <c r="O70" s="1"/>
  <c r="P70" s="1"/>
  <c r="Q70" s="1"/>
  <c r="H177"/>
  <c r="I177" s="1"/>
  <c r="J177" s="1"/>
  <c r="K177" s="1"/>
  <c r="L177" s="1"/>
  <c r="M177" s="1"/>
  <c r="N177" s="1"/>
  <c r="O177" s="1"/>
  <c r="P177" s="1"/>
  <c r="Q177" s="1"/>
  <c r="O71"/>
  <c r="P71" s="1"/>
  <c r="H178"/>
  <c r="I178" s="1"/>
  <c r="J178" s="1"/>
  <c r="K178" s="1"/>
  <c r="L178" s="1"/>
  <c r="M178" s="1"/>
  <c r="N178" s="1"/>
  <c r="O178" s="1"/>
  <c r="P178" s="1"/>
  <c r="Q178" s="1"/>
  <c r="O72"/>
  <c r="P72"/>
  <c r="Q72" s="1"/>
  <c r="H179"/>
  <c r="I179" s="1"/>
  <c r="J179" s="1"/>
  <c r="K179" s="1"/>
  <c r="L179" s="1"/>
  <c r="M179" s="1"/>
  <c r="N179" s="1"/>
  <c r="O179" s="1"/>
  <c r="P179" s="1"/>
  <c r="Q179" s="1"/>
  <c r="L73"/>
  <c r="M73" s="1"/>
  <c r="N73" s="1"/>
  <c r="O73" s="1"/>
  <c r="P73" s="1"/>
  <c r="Q73" s="1"/>
  <c r="H180"/>
  <c r="I180" s="1"/>
  <c r="J180" s="1"/>
  <c r="K180" s="1"/>
  <c r="L180" s="1"/>
  <c r="M180" s="1"/>
  <c r="N180" s="1"/>
  <c r="O180" s="1"/>
  <c r="P180" s="1"/>
  <c r="Q180" s="1"/>
  <c r="H74"/>
  <c r="I74" s="1"/>
  <c r="H181"/>
  <c r="I181"/>
  <c r="J181" s="1"/>
  <c r="K181" s="1"/>
  <c r="L181" s="1"/>
  <c r="M181" s="1"/>
  <c r="N181" s="1"/>
  <c r="O181" s="1"/>
  <c r="P181" s="1"/>
  <c r="Q181" s="1"/>
  <c r="J75"/>
  <c r="K75" s="1"/>
  <c r="L75" s="1"/>
  <c r="M75" s="1"/>
  <c r="N75" s="1"/>
  <c r="O75" s="1"/>
  <c r="P75" s="1"/>
  <c r="Q75" s="1"/>
  <c r="I182"/>
  <c r="J182" s="1"/>
  <c r="K182" s="1"/>
  <c r="L182" s="1"/>
  <c r="M182" s="1"/>
  <c r="N182" s="1"/>
  <c r="O182" s="1"/>
  <c r="P182" s="1"/>
  <c r="Q182" s="1"/>
  <c r="I76"/>
  <c r="J76" s="1"/>
  <c r="K76" s="1"/>
  <c r="H183"/>
  <c r="I183" s="1"/>
  <c r="P77"/>
  <c r="Q77" s="1"/>
  <c r="L184"/>
  <c r="M184" s="1"/>
  <c r="N184" s="1"/>
  <c r="O184" s="1"/>
  <c r="P184" s="1"/>
  <c r="Q184" s="1"/>
  <c r="H78"/>
  <c r="I78" s="1"/>
  <c r="J78" s="1"/>
  <c r="K78" s="1"/>
  <c r="L78" s="1"/>
  <c r="M78" s="1"/>
  <c r="N78" s="1"/>
  <c r="O78" s="1"/>
  <c r="P78" s="1"/>
  <c r="Q78" s="1"/>
  <c r="I185"/>
  <c r="J185" s="1"/>
  <c r="K185" s="1"/>
  <c r="L185" s="1"/>
  <c r="M185" s="1"/>
  <c r="N185" s="1"/>
  <c r="O185" s="1"/>
  <c r="P185" s="1"/>
  <c r="Q185" s="1"/>
  <c r="N79"/>
  <c r="O79" s="1"/>
  <c r="P79" s="1"/>
  <c r="Q79" s="1"/>
  <c r="I186"/>
  <c r="J186" s="1"/>
  <c r="K186" s="1"/>
  <c r="L186" s="1"/>
  <c r="M186" s="1"/>
  <c r="N186" s="1"/>
  <c r="O186" s="1"/>
  <c r="P186" s="1"/>
  <c r="Q186" s="1"/>
  <c r="K80"/>
  <c r="L80" s="1"/>
  <c r="M80" s="1"/>
  <c r="N80" s="1"/>
  <c r="O80" s="1"/>
  <c r="P80" s="1"/>
  <c r="Q80" s="1"/>
  <c r="H187"/>
  <c r="I187" s="1"/>
  <c r="I81"/>
  <c r="J81" s="1"/>
  <c r="K81" s="1"/>
  <c r="L81" s="1"/>
  <c r="M81" s="1"/>
  <c r="N81" s="1"/>
  <c r="O81" s="1"/>
  <c r="P81" s="1"/>
  <c r="Q81" s="1"/>
  <c r="I188"/>
  <c r="J188" s="1"/>
  <c r="P82"/>
  <c r="Q82" s="1"/>
  <c r="Q10" s="1"/>
  <c r="Q11" i="3" s="1"/>
  <c r="N189" i="2"/>
  <c r="O189" s="1"/>
  <c r="H10" i="4"/>
  <c r="I10" s="1"/>
  <c r="J10" s="1"/>
  <c r="K10" s="1"/>
  <c r="L10" s="1"/>
  <c r="M10" s="1"/>
  <c r="N10" s="1"/>
  <c r="O10" s="1"/>
  <c r="P10" s="1"/>
  <c r="Q10" s="1"/>
  <c r="Q50" s="1"/>
  <c r="L30"/>
  <c r="M30" s="1"/>
  <c r="N30" s="1"/>
  <c r="O30" s="1"/>
  <c r="P30" s="1"/>
  <c r="Q30" s="1"/>
  <c r="H11"/>
  <c r="I11" s="1"/>
  <c r="K31"/>
  <c r="L31" s="1"/>
  <c r="M31" s="1"/>
  <c r="N31" s="1"/>
  <c r="O31" s="1"/>
  <c r="P31" s="1"/>
  <c r="Q31" s="1"/>
  <c r="H12"/>
  <c r="I12" s="1"/>
  <c r="I32"/>
  <c r="J32" s="1"/>
  <c r="K32" s="1"/>
  <c r="L32" s="1"/>
  <c r="M32" s="1"/>
  <c r="N32" s="1"/>
  <c r="O32" s="1"/>
  <c r="P32" s="1"/>
  <c r="Q32" s="1"/>
  <c r="J13"/>
  <c r="K13" s="1"/>
  <c r="H33"/>
  <c r="I33" s="1"/>
  <c r="H34"/>
  <c r="I34" s="1"/>
  <c r="J34" s="1"/>
  <c r="K34" s="1"/>
  <c r="L34" s="1"/>
  <c r="M34" s="1"/>
  <c r="N34" s="1"/>
  <c r="O34" s="1"/>
  <c r="P34" s="1"/>
  <c r="Q34" s="1"/>
  <c r="Q54" s="1"/>
  <c r="L15"/>
  <c r="M15"/>
  <c r="N15" s="1"/>
  <c r="O15" s="1"/>
  <c r="P15" s="1"/>
  <c r="Q15" s="1"/>
  <c r="N35"/>
  <c r="O35"/>
  <c r="P35" s="1"/>
  <c r="Q35" s="1"/>
  <c r="H16"/>
  <c r="I16" s="1"/>
  <c r="J16" s="1"/>
  <c r="K16" s="1"/>
  <c r="L16" s="1"/>
  <c r="M16" s="1"/>
  <c r="N16" s="1"/>
  <c r="O16" s="1"/>
  <c r="P16" s="1"/>
  <c r="Q16" s="1"/>
  <c r="I36"/>
  <c r="J36" s="1"/>
  <c r="K36" s="1"/>
  <c r="L36" s="1"/>
  <c r="M36" s="1"/>
  <c r="N36" s="1"/>
  <c r="O36" s="1"/>
  <c r="P36" s="1"/>
  <c r="Q36" s="1"/>
  <c r="M17"/>
  <c r="N17" s="1"/>
  <c r="O17" s="1"/>
  <c r="P17" s="1"/>
  <c r="Q17" s="1"/>
  <c r="H37"/>
  <c r="I37" s="1"/>
  <c r="I18"/>
  <c r="J18" s="1"/>
  <c r="K18" s="1"/>
  <c r="L18" s="1"/>
  <c r="M18" s="1"/>
  <c r="N18" s="1"/>
  <c r="O18" s="1"/>
  <c r="P18" s="1"/>
  <c r="Q18" s="1"/>
  <c r="H38"/>
  <c r="I38" s="1"/>
  <c r="M19"/>
  <c r="N19" s="1"/>
  <c r="O19" s="1"/>
  <c r="P19" s="1"/>
  <c r="Q19" s="1"/>
  <c r="G39"/>
  <c r="H39" s="1"/>
  <c r="E34" i="10"/>
  <c r="F34" s="1"/>
  <c r="G34" s="1"/>
  <c r="H34" s="1"/>
  <c r="I34" s="1"/>
  <c r="J34" s="1"/>
  <c r="K34" s="1"/>
  <c r="L34" s="1"/>
  <c r="K83" i="2"/>
  <c r="L83" s="1"/>
  <c r="M83" s="1"/>
  <c r="N83" s="1"/>
  <c r="O83" s="1"/>
  <c r="P83" s="1"/>
  <c r="Q83" s="1"/>
  <c r="H190"/>
  <c r="I190" s="1"/>
  <c r="H84"/>
  <c r="I84" s="1"/>
  <c r="J84" s="1"/>
  <c r="K84" s="1"/>
  <c r="L84" s="1"/>
  <c r="M84" s="1"/>
  <c r="N84" s="1"/>
  <c r="O84" s="1"/>
  <c r="P84" s="1"/>
  <c r="Q84" s="1"/>
  <c r="I191"/>
  <c r="J191" s="1"/>
  <c r="K191" s="1"/>
  <c r="L191" s="1"/>
  <c r="M191" s="1"/>
  <c r="N191" s="1"/>
  <c r="O191" s="1"/>
  <c r="P191" s="1"/>
  <c r="Q191" s="1"/>
  <c r="M85"/>
  <c r="N85" s="1"/>
  <c r="O85" s="1"/>
  <c r="P85" s="1"/>
  <c r="Q85" s="1"/>
  <c r="H192"/>
  <c r="I192" s="1"/>
  <c r="H86"/>
  <c r="I86" s="1"/>
  <c r="J86" s="1"/>
  <c r="K86" s="1"/>
  <c r="L86" s="1"/>
  <c r="M86" s="1"/>
  <c r="N86" s="1"/>
  <c r="O86" s="1"/>
  <c r="P86" s="1"/>
  <c r="Q86" s="1"/>
  <c r="H193"/>
  <c r="I193" s="1"/>
  <c r="J193" s="1"/>
  <c r="K193" s="1"/>
  <c r="L193" s="1"/>
  <c r="M193" s="1"/>
  <c r="N193" s="1"/>
  <c r="O193" s="1"/>
  <c r="P193" s="1"/>
  <c r="Q193" s="1"/>
  <c r="M87"/>
  <c r="N87" s="1"/>
  <c r="H194"/>
  <c r="I194" s="1"/>
  <c r="J194" s="1"/>
  <c r="K194" s="1"/>
  <c r="L194" s="1"/>
  <c r="M194" s="1"/>
  <c r="N194" s="1"/>
  <c r="O194" s="1"/>
  <c r="P194" s="1"/>
  <c r="Q194" s="1"/>
  <c r="H88"/>
  <c r="I88" s="1"/>
  <c r="I195"/>
  <c r="J195" s="1"/>
  <c r="K195" s="1"/>
  <c r="L195" s="1"/>
  <c r="M195" s="1"/>
  <c r="N195" s="1"/>
  <c r="O195" s="1"/>
  <c r="P195" s="1"/>
  <c r="Q195" s="1"/>
  <c r="M89"/>
  <c r="N89" s="1"/>
  <c r="H196"/>
  <c r="I196" s="1"/>
  <c r="J196" s="1"/>
  <c r="K196" s="1"/>
  <c r="L196" s="1"/>
  <c r="M196" s="1"/>
  <c r="N196" s="1"/>
  <c r="O196" s="1"/>
  <c r="P196" s="1"/>
  <c r="Q196" s="1"/>
  <c r="H90"/>
  <c r="I90"/>
  <c r="J90" s="1"/>
  <c r="K90" s="1"/>
  <c r="L90" s="1"/>
  <c r="M90" s="1"/>
  <c r="N90" s="1"/>
  <c r="O90" s="1"/>
  <c r="P90" s="1"/>
  <c r="Q90" s="1"/>
  <c r="H197"/>
  <c r="I197" s="1"/>
  <c r="J197" s="1"/>
  <c r="K197" s="1"/>
  <c r="L197" s="1"/>
  <c r="M197" s="1"/>
  <c r="N197" s="1"/>
  <c r="O197" s="1"/>
  <c r="P197" s="1"/>
  <c r="Q197" s="1"/>
  <c r="L91"/>
  <c r="M91" s="1"/>
  <c r="N91" s="1"/>
  <c r="O91" s="1"/>
  <c r="P91" s="1"/>
  <c r="Q91" s="1"/>
  <c r="H198"/>
  <c r="I198" s="1"/>
  <c r="J198" s="1"/>
  <c r="K198" s="1"/>
  <c r="L198" s="1"/>
  <c r="M198" s="1"/>
  <c r="N198" s="1"/>
  <c r="O198" s="1"/>
  <c r="P198" s="1"/>
  <c r="Q198" s="1"/>
  <c r="H92"/>
  <c r="I92" s="1"/>
  <c r="J199"/>
  <c r="K199" s="1"/>
  <c r="L199" s="1"/>
  <c r="M199" s="1"/>
  <c r="N199" s="1"/>
  <c r="O199" s="1"/>
  <c r="P199" s="1"/>
  <c r="Q199" s="1"/>
  <c r="H200"/>
  <c r="I200" s="1"/>
  <c r="J200" s="1"/>
  <c r="K200" s="1"/>
  <c r="L200" s="1"/>
  <c r="M200" s="1"/>
  <c r="N200" s="1"/>
  <c r="O200" s="1"/>
  <c r="P200" s="1"/>
  <c r="Q200" s="1"/>
  <c r="Q307" s="1"/>
  <c r="H94"/>
  <c r="I94" s="1"/>
  <c r="J94" s="1"/>
  <c r="K94" s="1"/>
  <c r="L94" s="1"/>
  <c r="M94" s="1"/>
  <c r="N94" s="1"/>
  <c r="O94" s="1"/>
  <c r="P94" s="1"/>
  <c r="Q94" s="1"/>
  <c r="I201"/>
  <c r="J201" s="1"/>
  <c r="K201" s="1"/>
  <c r="L201" s="1"/>
  <c r="M201" s="1"/>
  <c r="N201" s="1"/>
  <c r="O201" s="1"/>
  <c r="P201" s="1"/>
  <c r="Q201" s="1"/>
  <c r="L95"/>
  <c r="M95" s="1"/>
  <c r="N95" s="1"/>
  <c r="O95" s="1"/>
  <c r="P95" s="1"/>
  <c r="Q95" s="1"/>
  <c r="H202"/>
  <c r="I202" s="1"/>
  <c r="J202" s="1"/>
  <c r="K202" s="1"/>
  <c r="L202" s="1"/>
  <c r="M202" s="1"/>
  <c r="N202" s="1"/>
  <c r="O202" s="1"/>
  <c r="P202" s="1"/>
  <c r="Q202" s="1"/>
  <c r="H96"/>
  <c r="I96" s="1"/>
  <c r="I203"/>
  <c r="J203" s="1"/>
  <c r="K203" s="1"/>
  <c r="L203" s="1"/>
  <c r="M203" s="1"/>
  <c r="N203" s="1"/>
  <c r="O203" s="1"/>
  <c r="P203" s="1"/>
  <c r="Q203" s="1"/>
  <c r="K97"/>
  <c r="L97" s="1"/>
  <c r="I204"/>
  <c r="J204" s="1"/>
  <c r="K204" s="1"/>
  <c r="L204" s="1"/>
  <c r="M204" s="1"/>
  <c r="N204" s="1"/>
  <c r="O204" s="1"/>
  <c r="P204" s="1"/>
  <c r="Q204" s="1"/>
  <c r="H98"/>
  <c r="I98" s="1"/>
  <c r="J98" s="1"/>
  <c r="K98" s="1"/>
  <c r="L98" s="1"/>
  <c r="M98" s="1"/>
  <c r="N98" s="1"/>
  <c r="O98" s="1"/>
  <c r="P98" s="1"/>
  <c r="Q98" s="1"/>
  <c r="H205"/>
  <c r="I205" s="1"/>
  <c r="J205" s="1"/>
  <c r="K205" s="1"/>
  <c r="L205" s="1"/>
  <c r="M205" s="1"/>
  <c r="N205" s="1"/>
  <c r="O205" s="1"/>
  <c r="P205" s="1"/>
  <c r="Q205" s="1"/>
  <c r="J99"/>
  <c r="K99"/>
  <c r="L99" s="1"/>
  <c r="M99" s="1"/>
  <c r="N99" s="1"/>
  <c r="O99" s="1"/>
  <c r="P99" s="1"/>
  <c r="Q99" s="1"/>
  <c r="H206"/>
  <c r="I206"/>
  <c r="J206" s="1"/>
  <c r="K206" s="1"/>
  <c r="L206" s="1"/>
  <c r="M206" s="1"/>
  <c r="N206" s="1"/>
  <c r="O206" s="1"/>
  <c r="P206" s="1"/>
  <c r="Q206" s="1"/>
  <c r="H100"/>
  <c r="I100" s="1"/>
  <c r="J100" s="1"/>
  <c r="K100" s="1"/>
  <c r="L100" s="1"/>
  <c r="M100" s="1"/>
  <c r="N100" s="1"/>
  <c r="O100" s="1"/>
  <c r="P100" s="1"/>
  <c r="Q100" s="1"/>
  <c r="H207"/>
  <c r="I207" s="1"/>
  <c r="J207" s="1"/>
  <c r="K207" s="1"/>
  <c r="L207" s="1"/>
  <c r="M207" s="1"/>
  <c r="N207" s="1"/>
  <c r="O207" s="1"/>
  <c r="P207" s="1"/>
  <c r="Q207" s="1"/>
  <c r="K101"/>
  <c r="L101"/>
  <c r="M101" s="1"/>
  <c r="N101" s="1"/>
  <c r="O101" s="1"/>
  <c r="P101" s="1"/>
  <c r="Q101" s="1"/>
  <c r="H208"/>
  <c r="I208" s="1"/>
  <c r="J208" s="1"/>
  <c r="K208" s="1"/>
  <c r="L208" s="1"/>
  <c r="M208" s="1"/>
  <c r="N208" s="1"/>
  <c r="O208" s="1"/>
  <c r="P208" s="1"/>
  <c r="Q208" s="1"/>
  <c r="H102"/>
  <c r="I102" s="1"/>
  <c r="H209"/>
  <c r="I209" s="1"/>
  <c r="J209" s="1"/>
  <c r="K209" s="1"/>
  <c r="L209" s="1"/>
  <c r="M209" s="1"/>
  <c r="N209" s="1"/>
  <c r="O209" s="1"/>
  <c r="P209" s="1"/>
  <c r="Q209" s="1"/>
  <c r="M103"/>
  <c r="N103" s="1"/>
  <c r="O103" s="1"/>
  <c r="P103" s="1"/>
  <c r="Q103" s="1"/>
  <c r="H210"/>
  <c r="I210"/>
  <c r="J210" s="1"/>
  <c r="K210" s="1"/>
  <c r="L210" s="1"/>
  <c r="M210" s="1"/>
  <c r="N210" s="1"/>
  <c r="O210" s="1"/>
  <c r="P210" s="1"/>
  <c r="Q210" s="1"/>
  <c r="H104"/>
  <c r="I104" s="1"/>
  <c r="J104" s="1"/>
  <c r="K104" s="1"/>
  <c r="L104" s="1"/>
  <c r="M104" s="1"/>
  <c r="N104" s="1"/>
  <c r="O104" s="1"/>
  <c r="P104" s="1"/>
  <c r="Q104" s="1"/>
  <c r="I211"/>
  <c r="J211" s="1"/>
  <c r="K211" s="1"/>
  <c r="L211" s="1"/>
  <c r="M211" s="1"/>
  <c r="N211" s="1"/>
  <c r="O211" s="1"/>
  <c r="P211" s="1"/>
  <c r="Q211" s="1"/>
  <c r="K105"/>
  <c r="L105" s="1"/>
  <c r="M105" s="1"/>
  <c r="N105" s="1"/>
  <c r="O105" s="1"/>
  <c r="P105" s="1"/>
  <c r="Q105" s="1"/>
  <c r="J212"/>
  <c r="K212" s="1"/>
  <c r="H213"/>
  <c r="I213" s="1"/>
  <c r="J213" s="1"/>
  <c r="K213" s="1"/>
  <c r="L213" s="1"/>
  <c r="M213" s="1"/>
  <c r="N213" s="1"/>
  <c r="O213" s="1"/>
  <c r="P213" s="1"/>
  <c r="Q213" s="1"/>
  <c r="Q320" s="1"/>
  <c r="L107"/>
  <c r="M107" s="1"/>
  <c r="H214"/>
  <c r="I214" s="1"/>
  <c r="H108"/>
  <c r="I108" s="1"/>
  <c r="J108" s="1"/>
  <c r="K108" s="1"/>
  <c r="L108" s="1"/>
  <c r="M108" s="1"/>
  <c r="N108" s="1"/>
  <c r="O108" s="1"/>
  <c r="P108" s="1"/>
  <c r="Q108" s="1"/>
  <c r="H215"/>
  <c r="I215" s="1"/>
  <c r="J215" s="1"/>
  <c r="K215" s="1"/>
  <c r="L215" s="1"/>
  <c r="M215" s="1"/>
  <c r="N215" s="1"/>
  <c r="O215" s="1"/>
  <c r="P215" s="1"/>
  <c r="Q215" s="1"/>
  <c r="J109"/>
  <c r="K109" s="1"/>
  <c r="H216"/>
  <c r="I216" s="1"/>
  <c r="L110"/>
  <c r="M110" s="1"/>
  <c r="N110" s="1"/>
  <c r="O110" s="1"/>
  <c r="P110" s="1"/>
  <c r="Q110" s="1"/>
  <c r="I217"/>
  <c r="J217" s="1"/>
  <c r="K217" s="1"/>
  <c r="L217" s="1"/>
  <c r="M217" s="1"/>
  <c r="N217" s="1"/>
  <c r="O217" s="1"/>
  <c r="P217" s="1"/>
  <c r="Q217" s="1"/>
  <c r="L111"/>
  <c r="M111" s="1"/>
  <c r="N111" s="1"/>
  <c r="O111" s="1"/>
  <c r="P111" s="1"/>
  <c r="Q111" s="1"/>
  <c r="H218"/>
  <c r="I218" s="1"/>
  <c r="J218" s="1"/>
  <c r="K218" s="1"/>
  <c r="L218" s="1"/>
  <c r="M218" s="1"/>
  <c r="N218" s="1"/>
  <c r="O218" s="1"/>
  <c r="P218" s="1"/>
  <c r="Q218" s="1"/>
  <c r="H112"/>
  <c r="I112" s="1"/>
  <c r="H219"/>
  <c r="I219" s="1"/>
  <c r="J113"/>
  <c r="K113" s="1"/>
  <c r="L113" s="1"/>
  <c r="M113" s="1"/>
  <c r="N113" s="1"/>
  <c r="O113" s="1"/>
  <c r="P113" s="1"/>
  <c r="Q113" s="1"/>
  <c r="H220"/>
  <c r="I220" s="1"/>
  <c r="J220" s="1"/>
  <c r="K220" s="1"/>
  <c r="L220" s="1"/>
  <c r="M220" s="1"/>
  <c r="N220" s="1"/>
  <c r="O220" s="1"/>
  <c r="P220" s="1"/>
  <c r="Q220" s="1"/>
  <c r="M114"/>
  <c r="N114" s="1"/>
  <c r="H221"/>
  <c r="I221" s="1"/>
  <c r="J221" s="1"/>
  <c r="K221" s="1"/>
  <c r="L221" s="1"/>
  <c r="M221" s="1"/>
  <c r="N221" s="1"/>
  <c r="O221" s="1"/>
  <c r="P221" s="1"/>
  <c r="Q221" s="1"/>
  <c r="L115"/>
  <c r="M115" s="1"/>
  <c r="H222"/>
  <c r="I222" s="1"/>
  <c r="H116"/>
  <c r="I116" s="1"/>
  <c r="J116" s="1"/>
  <c r="K116" s="1"/>
  <c r="L116" s="1"/>
  <c r="M116" s="1"/>
  <c r="N116" s="1"/>
  <c r="O116" s="1"/>
  <c r="P116" s="1"/>
  <c r="Q116" s="1"/>
  <c r="H223"/>
  <c r="I223" s="1"/>
  <c r="J223" s="1"/>
  <c r="K223" s="1"/>
  <c r="L223" s="1"/>
  <c r="M223" s="1"/>
  <c r="N223" s="1"/>
  <c r="O223" s="1"/>
  <c r="P223" s="1"/>
  <c r="Q223" s="1"/>
  <c r="L117"/>
  <c r="M117" s="1"/>
  <c r="H224"/>
  <c r="I224" s="1"/>
  <c r="H118"/>
  <c r="I118" s="1"/>
  <c r="J118" s="1"/>
  <c r="K118" s="1"/>
  <c r="L118" s="1"/>
  <c r="M118" s="1"/>
  <c r="N118" s="1"/>
  <c r="O118" s="1"/>
  <c r="P118" s="1"/>
  <c r="Q118" s="1"/>
  <c r="H225"/>
  <c r="I225" s="1"/>
  <c r="J225" s="1"/>
  <c r="K225" s="1"/>
  <c r="L225" s="1"/>
  <c r="M225" s="1"/>
  <c r="N225" s="1"/>
  <c r="O225" s="1"/>
  <c r="P225" s="1"/>
  <c r="Q225" s="1"/>
  <c r="H226"/>
  <c r="I226" s="1"/>
  <c r="H120"/>
  <c r="I120" s="1"/>
  <c r="J120" s="1"/>
  <c r="K120" s="1"/>
  <c r="L120" s="1"/>
  <c r="M120" s="1"/>
  <c r="N120" s="1"/>
  <c r="O120" s="1"/>
  <c r="P120" s="1"/>
  <c r="Q120" s="1"/>
  <c r="H227"/>
  <c r="I227" s="1"/>
  <c r="J227" s="1"/>
  <c r="K227" s="1"/>
  <c r="L227" s="1"/>
  <c r="M227" s="1"/>
  <c r="N227" s="1"/>
  <c r="O227" s="1"/>
  <c r="P227" s="1"/>
  <c r="Q227" s="1"/>
  <c r="H228"/>
  <c r="I228" s="1"/>
  <c r="H122"/>
  <c r="I122" s="1"/>
  <c r="J122" s="1"/>
  <c r="K122" s="1"/>
  <c r="L122" s="1"/>
  <c r="M122" s="1"/>
  <c r="N122" s="1"/>
  <c r="O122" s="1"/>
  <c r="P122" s="1"/>
  <c r="Q122" s="1"/>
  <c r="H229"/>
  <c r="I229" s="1"/>
  <c r="J229" s="1"/>
  <c r="K229" s="1"/>
  <c r="L229" s="1"/>
  <c r="M229" s="1"/>
  <c r="N229" s="1"/>
  <c r="O229" s="1"/>
  <c r="P229" s="1"/>
  <c r="Q229" s="1"/>
  <c r="K123"/>
  <c r="L123" s="1"/>
  <c r="H230"/>
  <c r="I230" s="1"/>
  <c r="J230" s="1"/>
  <c r="K230" s="1"/>
  <c r="L230" s="1"/>
  <c r="M230" s="1"/>
  <c r="N230" s="1"/>
  <c r="O230" s="1"/>
  <c r="P230" s="1"/>
  <c r="Q230" s="1"/>
  <c r="H124"/>
  <c r="I124"/>
  <c r="J124" s="1"/>
  <c r="K124" s="1"/>
  <c r="L124" s="1"/>
  <c r="M124" s="1"/>
  <c r="N124" s="1"/>
  <c r="O124" s="1"/>
  <c r="P124" s="1"/>
  <c r="Q124" s="1"/>
  <c r="H231"/>
  <c r="I231"/>
  <c r="J231" s="1"/>
  <c r="K231" s="1"/>
  <c r="L231" s="1"/>
  <c r="M231" s="1"/>
  <c r="N231" s="1"/>
  <c r="O231" s="1"/>
  <c r="P231" s="1"/>
  <c r="Q231" s="1"/>
  <c r="K125"/>
  <c r="L125" s="1"/>
  <c r="M125" s="1"/>
  <c r="N125" s="1"/>
  <c r="O125" s="1"/>
  <c r="P125" s="1"/>
  <c r="Q125" s="1"/>
  <c r="H232"/>
  <c r="I232" s="1"/>
  <c r="H126"/>
  <c r="I126" s="1"/>
  <c r="J126" s="1"/>
  <c r="K126" s="1"/>
  <c r="L126" s="1"/>
  <c r="M126" s="1"/>
  <c r="N126" s="1"/>
  <c r="O126" s="1"/>
  <c r="P126" s="1"/>
  <c r="Q126" s="1"/>
  <c r="H233"/>
  <c r="I233" s="1"/>
  <c r="J233" s="1"/>
  <c r="K233" s="1"/>
  <c r="L233" s="1"/>
  <c r="M233" s="1"/>
  <c r="N233" s="1"/>
  <c r="O233" s="1"/>
  <c r="P233" s="1"/>
  <c r="Q233" s="1"/>
  <c r="O127"/>
  <c r="P127" s="1"/>
  <c r="H234"/>
  <c r="I234" s="1"/>
  <c r="J234" s="1"/>
  <c r="K234" s="1"/>
  <c r="L234" s="1"/>
  <c r="M234" s="1"/>
  <c r="N234" s="1"/>
  <c r="O234" s="1"/>
  <c r="P234" s="1"/>
  <c r="Q234" s="1"/>
  <c r="H128"/>
  <c r="I128"/>
  <c r="J128" s="1"/>
  <c r="K128" s="1"/>
  <c r="L128" s="1"/>
  <c r="M128" s="1"/>
  <c r="N128" s="1"/>
  <c r="O128" s="1"/>
  <c r="P128" s="1"/>
  <c r="Q128" s="1"/>
  <c r="I235"/>
  <c r="J235"/>
  <c r="K235" s="1"/>
  <c r="L235" s="1"/>
  <c r="M235" s="1"/>
  <c r="N235" s="1"/>
  <c r="O235" s="1"/>
  <c r="P235" s="1"/>
  <c r="Q235" s="1"/>
  <c r="K129"/>
  <c r="L129"/>
  <c r="M129" s="1"/>
  <c r="N129" s="1"/>
  <c r="O129" s="1"/>
  <c r="P129" s="1"/>
  <c r="Q129" s="1"/>
  <c r="H236"/>
  <c r="I236" s="1"/>
  <c r="J236" s="1"/>
  <c r="K236" s="1"/>
  <c r="L236" s="1"/>
  <c r="M236" s="1"/>
  <c r="N236" s="1"/>
  <c r="O236" s="1"/>
  <c r="P236" s="1"/>
  <c r="Q236" s="1"/>
  <c r="H130"/>
  <c r="I130" s="1"/>
  <c r="I237"/>
  <c r="J237" s="1"/>
  <c r="K237" s="1"/>
  <c r="L237" s="1"/>
  <c r="M237" s="1"/>
  <c r="N237" s="1"/>
  <c r="O237" s="1"/>
  <c r="P237" s="1"/>
  <c r="Q237" s="1"/>
  <c r="L131"/>
  <c r="M131" s="1"/>
  <c r="H238"/>
  <c r="I238" s="1"/>
  <c r="H282"/>
  <c r="H283"/>
  <c r="H284"/>
  <c r="H285"/>
  <c r="H286"/>
  <c r="H287"/>
  <c r="H288"/>
  <c r="H290"/>
  <c r="H292"/>
  <c r="H294"/>
  <c r="H364"/>
  <c r="H366"/>
  <c r="H368"/>
  <c r="H370"/>
  <c r="H372"/>
  <c r="H374"/>
  <c r="H376"/>
  <c r="H378"/>
  <c r="H380"/>
  <c r="H381"/>
  <c r="H50" i="4"/>
  <c r="H51"/>
  <c r="H52"/>
  <c r="H53"/>
  <c r="H54"/>
  <c r="H56"/>
  <c r="H57"/>
  <c r="H58"/>
  <c r="H297" i="2"/>
  <c r="H298"/>
  <c r="H299"/>
  <c r="H300"/>
  <c r="H301"/>
  <c r="H302"/>
  <c r="H303"/>
  <c r="H304"/>
  <c r="H305"/>
  <c r="H306"/>
  <c r="H307"/>
  <c r="H308"/>
  <c r="H309"/>
  <c r="H310"/>
  <c r="H312"/>
  <c r="H313"/>
  <c r="H314"/>
  <c r="H315"/>
  <c r="H316"/>
  <c r="H317"/>
  <c r="H318"/>
  <c r="H320"/>
  <c r="H321"/>
  <c r="H322"/>
  <c r="H323"/>
  <c r="H325"/>
  <c r="H326"/>
  <c r="H327"/>
  <c r="H328"/>
  <c r="H329"/>
  <c r="H330"/>
  <c r="H331"/>
  <c r="H332"/>
  <c r="H333"/>
  <c r="H334"/>
  <c r="H335"/>
  <c r="H336"/>
  <c r="H337"/>
  <c r="H338"/>
  <c r="H339"/>
  <c r="H340"/>
  <c r="H341"/>
  <c r="H342"/>
  <c r="H343"/>
  <c r="H344"/>
  <c r="I282"/>
  <c r="I284"/>
  <c r="I285"/>
  <c r="I286"/>
  <c r="D58" i="6"/>
  <c r="I287" i="2"/>
  <c r="I289"/>
  <c r="I292"/>
  <c r="I293"/>
  <c r="I295"/>
  <c r="D15" i="6"/>
  <c r="D72"/>
  <c r="I50" i="4"/>
  <c r="I54"/>
  <c r="I56"/>
  <c r="I298" i="2"/>
  <c r="I300"/>
  <c r="I301"/>
  <c r="I303"/>
  <c r="I304"/>
  <c r="I305"/>
  <c r="I307"/>
  <c r="I308"/>
  <c r="I309"/>
  <c r="I311"/>
  <c r="I312"/>
  <c r="I313"/>
  <c r="I314"/>
  <c r="I315"/>
  <c r="I317"/>
  <c r="I318"/>
  <c r="I320"/>
  <c r="I322"/>
  <c r="I324"/>
  <c r="I325"/>
  <c r="I327"/>
  <c r="I328"/>
  <c r="I330"/>
  <c r="I332"/>
  <c r="I334"/>
  <c r="I336"/>
  <c r="I337"/>
  <c r="I338"/>
  <c r="I340"/>
  <c r="I341"/>
  <c r="I342"/>
  <c r="I343"/>
  <c r="J282"/>
  <c r="J284"/>
  <c r="J285"/>
  <c r="J286"/>
  <c r="E12" i="6"/>
  <c r="E58"/>
  <c r="J287" i="2"/>
  <c r="J289"/>
  <c r="J292"/>
  <c r="J293"/>
  <c r="E15" i="6"/>
  <c r="E72" s="1"/>
  <c r="J50" i="4"/>
  <c r="J54"/>
  <c r="J56"/>
  <c r="J298" i="2"/>
  <c r="J300"/>
  <c r="J301"/>
  <c r="J303"/>
  <c r="J304"/>
  <c r="J305"/>
  <c r="J307"/>
  <c r="J308"/>
  <c r="J309"/>
  <c r="J311"/>
  <c r="J312"/>
  <c r="J313"/>
  <c r="J314"/>
  <c r="J315"/>
  <c r="J317"/>
  <c r="J318"/>
  <c r="J319"/>
  <c r="J320"/>
  <c r="J322"/>
  <c r="J324"/>
  <c r="J325"/>
  <c r="J327"/>
  <c r="J328"/>
  <c r="J330"/>
  <c r="J332"/>
  <c r="J334"/>
  <c r="J336"/>
  <c r="J337"/>
  <c r="J338"/>
  <c r="J340"/>
  <c r="J341"/>
  <c r="J342"/>
  <c r="J343"/>
  <c r="K281"/>
  <c r="K282"/>
  <c r="K284"/>
  <c r="K285"/>
  <c r="K286"/>
  <c r="F12" i="6"/>
  <c r="F58"/>
  <c r="G58" s="1"/>
  <c r="H58" s="1"/>
  <c r="I58" s="1"/>
  <c r="J58" s="1"/>
  <c r="K58" s="1"/>
  <c r="K287" i="2"/>
  <c r="K289"/>
  <c r="K292"/>
  <c r="K293"/>
  <c r="F15" i="6"/>
  <c r="F72" s="1"/>
  <c r="K50" i="4"/>
  <c r="K54"/>
  <c r="K56"/>
  <c r="K298" i="2"/>
  <c r="K300"/>
  <c r="K301"/>
  <c r="K303"/>
  <c r="K304"/>
  <c r="K305"/>
  <c r="K307"/>
  <c r="K308"/>
  <c r="K309"/>
  <c r="K311"/>
  <c r="K312"/>
  <c r="K313"/>
  <c r="K314"/>
  <c r="K315"/>
  <c r="K317"/>
  <c r="K318"/>
  <c r="K320"/>
  <c r="K322"/>
  <c r="K324"/>
  <c r="K325"/>
  <c r="K327"/>
  <c r="K328"/>
  <c r="K330"/>
  <c r="K332"/>
  <c r="K334"/>
  <c r="K336"/>
  <c r="K337"/>
  <c r="K338"/>
  <c r="K340"/>
  <c r="K341"/>
  <c r="K342"/>
  <c r="K343"/>
  <c r="L281"/>
  <c r="L282"/>
  <c r="L284"/>
  <c r="L285"/>
  <c r="L286"/>
  <c r="G12" i="6"/>
  <c r="H12" s="1"/>
  <c r="I12" s="1"/>
  <c r="J12" s="1"/>
  <c r="K12" s="1"/>
  <c r="L287" i="2"/>
  <c r="L289"/>
  <c r="L291"/>
  <c r="L292"/>
  <c r="L293"/>
  <c r="G15" i="6"/>
  <c r="G72" s="1"/>
  <c r="L50" i="4"/>
  <c r="L54"/>
  <c r="L55"/>
  <c r="L56"/>
  <c r="L298" i="2"/>
  <c r="L300"/>
  <c r="L301"/>
  <c r="L303"/>
  <c r="L304"/>
  <c r="L305"/>
  <c r="L307"/>
  <c r="L308"/>
  <c r="L309"/>
  <c r="L312"/>
  <c r="L313"/>
  <c r="L314"/>
  <c r="L315"/>
  <c r="L317"/>
  <c r="L318"/>
  <c r="L320"/>
  <c r="L322"/>
  <c r="L324"/>
  <c r="L325"/>
  <c r="L327"/>
  <c r="L328"/>
  <c r="L330"/>
  <c r="L332"/>
  <c r="L334"/>
  <c r="L336"/>
  <c r="L338"/>
  <c r="L340"/>
  <c r="L341"/>
  <c r="L342"/>
  <c r="L343"/>
  <c r="M281"/>
  <c r="M282"/>
  <c r="M284"/>
  <c r="M285"/>
  <c r="M286"/>
  <c r="M287"/>
  <c r="M289"/>
  <c r="M291"/>
  <c r="M292"/>
  <c r="M293"/>
  <c r="M50" i="4"/>
  <c r="M54"/>
  <c r="M55"/>
  <c r="M56"/>
  <c r="M298" i="2"/>
  <c r="M300"/>
  <c r="M301"/>
  <c r="M303"/>
  <c r="M304"/>
  <c r="M305"/>
  <c r="M307"/>
  <c r="M308"/>
  <c r="M309"/>
  <c r="M312"/>
  <c r="M313"/>
  <c r="M314"/>
  <c r="M315"/>
  <c r="M317"/>
  <c r="M318"/>
  <c r="M320"/>
  <c r="M322"/>
  <c r="M324"/>
  <c r="M325"/>
  <c r="M327"/>
  <c r="M328"/>
  <c r="M330"/>
  <c r="M332"/>
  <c r="M334"/>
  <c r="M336"/>
  <c r="M338"/>
  <c r="M340"/>
  <c r="M341"/>
  <c r="M342"/>
  <c r="M343"/>
  <c r="N281"/>
  <c r="N282"/>
  <c r="N284"/>
  <c r="N285"/>
  <c r="N286"/>
  <c r="N287"/>
  <c r="N289"/>
  <c r="N291"/>
  <c r="N292"/>
  <c r="N293"/>
  <c r="N296"/>
  <c r="N50" i="4"/>
  <c r="N54"/>
  <c r="N55"/>
  <c r="N56"/>
  <c r="N298" i="2"/>
  <c r="N300"/>
  <c r="N304"/>
  <c r="N305"/>
  <c r="N307"/>
  <c r="N308"/>
  <c r="N309"/>
  <c r="N312"/>
  <c r="N313"/>
  <c r="N314"/>
  <c r="N315"/>
  <c r="N317"/>
  <c r="N318"/>
  <c r="N320"/>
  <c r="N322"/>
  <c r="N324"/>
  <c r="N325"/>
  <c r="N327"/>
  <c r="N330"/>
  <c r="N332"/>
  <c r="N334"/>
  <c r="N336"/>
  <c r="N338"/>
  <c r="N340"/>
  <c r="N341"/>
  <c r="N342"/>
  <c r="N343"/>
  <c r="O281"/>
  <c r="O282"/>
  <c r="O284"/>
  <c r="O285"/>
  <c r="O286"/>
  <c r="O287"/>
  <c r="O289"/>
  <c r="O291"/>
  <c r="O292"/>
  <c r="O293"/>
  <c r="O50" i="4"/>
  <c r="O54"/>
  <c r="O55"/>
  <c r="O56"/>
  <c r="O298" i="2"/>
  <c r="O300"/>
  <c r="O304"/>
  <c r="O305"/>
  <c r="O307"/>
  <c r="O308"/>
  <c r="O309"/>
  <c r="O312"/>
  <c r="O313"/>
  <c r="O314"/>
  <c r="O315"/>
  <c r="O317"/>
  <c r="O318"/>
  <c r="O320"/>
  <c r="O322"/>
  <c r="O324"/>
  <c r="O325"/>
  <c r="O327"/>
  <c r="O330"/>
  <c r="O332"/>
  <c r="O334"/>
  <c r="O336"/>
  <c r="O338"/>
  <c r="O340"/>
  <c r="O341"/>
  <c r="O342"/>
  <c r="O343"/>
  <c r="P281"/>
  <c r="P282"/>
  <c r="P284"/>
  <c r="P286"/>
  <c r="P287"/>
  <c r="P289"/>
  <c r="P291"/>
  <c r="P292"/>
  <c r="P293"/>
  <c r="P50" i="4"/>
  <c r="P54"/>
  <c r="P55"/>
  <c r="P56"/>
  <c r="P298" i="2"/>
  <c r="P300"/>
  <c r="P304"/>
  <c r="P305"/>
  <c r="P307"/>
  <c r="P308"/>
  <c r="P309"/>
  <c r="P312"/>
  <c r="P313"/>
  <c r="P314"/>
  <c r="P315"/>
  <c r="P317"/>
  <c r="P318"/>
  <c r="P320"/>
  <c r="P322"/>
  <c r="P324"/>
  <c r="P325"/>
  <c r="P327"/>
  <c r="P330"/>
  <c r="P332"/>
  <c r="P334"/>
  <c r="P336"/>
  <c r="P338"/>
  <c r="P340"/>
  <c r="P342"/>
  <c r="P343"/>
  <c r="D14" i="6"/>
  <c r="E14"/>
  <c r="F14" s="1"/>
  <c r="G282" i="2"/>
  <c r="G286"/>
  <c r="B20" i="6" s="1"/>
  <c r="B37" s="1"/>
  <c r="G287" i="2"/>
  <c r="G290"/>
  <c r="G294"/>
  <c r="B22" i="6" s="1"/>
  <c r="B228" i="16"/>
  <c r="B238" s="1"/>
  <c r="B246" s="1"/>
  <c r="B230"/>
  <c r="G53" i="4"/>
  <c r="G59"/>
  <c r="G297" i="2"/>
  <c r="G299"/>
  <c r="G301"/>
  <c r="G303"/>
  <c r="G305"/>
  <c r="G307"/>
  <c r="G309"/>
  <c r="G313"/>
  <c r="G315"/>
  <c r="G317"/>
  <c r="G329"/>
  <c r="G331"/>
  <c r="G333"/>
  <c r="G335"/>
  <c r="P346"/>
  <c r="O346"/>
  <c r="C73" i="16"/>
  <c r="C91" s="1"/>
  <c r="N346" i="2"/>
  <c r="M346"/>
  <c r="M348"/>
  <c r="L346"/>
  <c r="K346"/>
  <c r="J346"/>
  <c r="J347"/>
  <c r="J350"/>
  <c r="J351"/>
  <c r="J352"/>
  <c r="J354"/>
  <c r="J356"/>
  <c r="C342" i="16"/>
  <c r="C356" s="1"/>
  <c r="C369" s="1"/>
  <c r="C23"/>
  <c r="C27" s="1"/>
  <c r="H346" i="2"/>
  <c r="H350"/>
  <c r="H352"/>
  <c r="H354"/>
  <c r="H356"/>
  <c r="H358"/>
  <c r="H360"/>
  <c r="I346"/>
  <c r="I347"/>
  <c r="I349"/>
  <c r="I350"/>
  <c r="I351"/>
  <c r="I352"/>
  <c r="I353"/>
  <c r="I354"/>
  <c r="I355"/>
  <c r="I356"/>
  <c r="I357"/>
  <c r="B266" i="16"/>
  <c r="B280" s="1"/>
  <c r="C266"/>
  <c r="C280" s="1"/>
  <c r="D61" i="2"/>
  <c r="D82" i="1"/>
  <c r="D74" s="1"/>
  <c r="F61" i="2"/>
  <c r="F82" i="1"/>
  <c r="F74" s="1"/>
  <c r="E61" i="2"/>
  <c r="E82" i="1"/>
  <c r="E74" s="1"/>
  <c r="G29" i="2"/>
  <c r="G41"/>
  <c r="G61" s="1"/>
  <c r="G82" i="1" s="1"/>
  <c r="G72" s="1"/>
  <c r="H7" i="2"/>
  <c r="H8"/>
  <c r="H9"/>
  <c r="H10"/>
  <c r="H11"/>
  <c r="H12"/>
  <c r="H13"/>
  <c r="H14"/>
  <c r="H15"/>
  <c r="H16"/>
  <c r="H17"/>
  <c r="H18"/>
  <c r="H19"/>
  <c r="H20"/>
  <c r="H60" s="1"/>
  <c r="H61" i="3" s="1"/>
  <c r="H27" i="2"/>
  <c r="H28"/>
  <c r="H29"/>
  <c r="H30"/>
  <c r="H31"/>
  <c r="H32"/>
  <c r="H33"/>
  <c r="H34"/>
  <c r="H35"/>
  <c r="H36"/>
  <c r="H37"/>
  <c r="H38"/>
  <c r="H39"/>
  <c r="H40"/>
  <c r="I7"/>
  <c r="I8"/>
  <c r="I9"/>
  <c r="I10"/>
  <c r="I11"/>
  <c r="I12"/>
  <c r="I13"/>
  <c r="I14"/>
  <c r="I15"/>
  <c r="I17"/>
  <c r="I18"/>
  <c r="I19"/>
  <c r="I27"/>
  <c r="I28"/>
  <c r="I29"/>
  <c r="I31"/>
  <c r="I32"/>
  <c r="I33"/>
  <c r="I34"/>
  <c r="I37"/>
  <c r="I38"/>
  <c r="I39"/>
  <c r="J7"/>
  <c r="J9"/>
  <c r="J10"/>
  <c r="J13"/>
  <c r="J15"/>
  <c r="J17"/>
  <c r="J18"/>
  <c r="J31"/>
  <c r="J32"/>
  <c r="J33"/>
  <c r="J34"/>
  <c r="K7"/>
  <c r="K9"/>
  <c r="K10"/>
  <c r="K13"/>
  <c r="K17"/>
  <c r="K18"/>
  <c r="K31"/>
  <c r="K32" i="3" s="1"/>
  <c r="K32" i="2"/>
  <c r="K33"/>
  <c r="K34"/>
  <c r="L7"/>
  <c r="L9"/>
  <c r="L10"/>
  <c r="L13"/>
  <c r="L17"/>
  <c r="L18"/>
  <c r="L31"/>
  <c r="L32"/>
  <c r="L33" i="3" s="1"/>
  <c r="L33" i="2"/>
  <c r="M7"/>
  <c r="M9"/>
  <c r="M10"/>
  <c r="M17"/>
  <c r="M31"/>
  <c r="M32"/>
  <c r="M33"/>
  <c r="K20" i="4"/>
  <c r="L20" s="1"/>
  <c r="M40"/>
  <c r="N40" s="1"/>
  <c r="O40" s="1"/>
  <c r="N7" i="2"/>
  <c r="N9"/>
  <c r="N10"/>
  <c r="N31"/>
  <c r="N32"/>
  <c r="N33"/>
  <c r="H55"/>
  <c r="H56" i="3" s="1"/>
  <c r="D233" i="16"/>
  <c r="E233" s="1"/>
  <c r="F233" s="1"/>
  <c r="G233" s="1"/>
  <c r="H233" s="1"/>
  <c r="I233" s="1"/>
  <c r="J233" s="1"/>
  <c r="K233" s="1"/>
  <c r="L233" s="1"/>
  <c r="I59" i="2"/>
  <c r="O7"/>
  <c r="O9"/>
  <c r="O10"/>
  <c r="O31"/>
  <c r="O32"/>
  <c r="O33"/>
  <c r="C72" i="16"/>
  <c r="P7" i="2"/>
  <c r="P9"/>
  <c r="P10"/>
  <c r="P31"/>
  <c r="P32"/>
  <c r="P33"/>
  <c r="E49" i="4"/>
  <c r="F49" s="1"/>
  <c r="Q9" i="2"/>
  <c r="I49"/>
  <c r="H49"/>
  <c r="G49"/>
  <c r="F49"/>
  <c r="E50" i="3"/>
  <c r="D50"/>
  <c r="C50"/>
  <c r="B50"/>
  <c r="D48" i="4"/>
  <c r="E48" s="1"/>
  <c r="I48" i="2"/>
  <c r="H48"/>
  <c r="Q31"/>
  <c r="Q32" i="3" s="1"/>
  <c r="H56" i="2"/>
  <c r="C346" i="16"/>
  <c r="Q32" i="2"/>
  <c r="Q33" i="3" s="1"/>
  <c r="Q33" i="2"/>
  <c r="B270" i="16"/>
  <c r="B273" s="1"/>
  <c r="B287" s="1"/>
  <c r="P32" i="3"/>
  <c r="O32"/>
  <c r="N32"/>
  <c r="M32"/>
  <c r="L32"/>
  <c r="J32"/>
  <c r="I32"/>
  <c r="H32"/>
  <c r="C19" i="6"/>
  <c r="C30" s="1"/>
  <c r="H31" i="3"/>
  <c r="P33"/>
  <c r="O33"/>
  <c r="N33"/>
  <c r="M33"/>
  <c r="K33"/>
  <c r="J33"/>
  <c r="I33"/>
  <c r="H33"/>
  <c r="G33"/>
  <c r="C270" i="16"/>
  <c r="C273" s="1"/>
  <c r="C287" s="1"/>
  <c r="F77" i="17"/>
  <c r="G77" s="1"/>
  <c r="C269" i="16"/>
  <c r="C272" s="1"/>
  <c r="C285" s="1"/>
  <c r="F79" i="17"/>
  <c r="G79" s="1"/>
  <c r="E73"/>
  <c r="F73" s="1"/>
  <c r="D47" i="4"/>
  <c r="E47" s="1"/>
  <c r="E75" i="17"/>
  <c r="F75" s="1"/>
  <c r="D28" i="4"/>
  <c r="E28" s="1"/>
  <c r="H36" i="3"/>
  <c r="E29" i="4"/>
  <c r="F29" s="1"/>
  <c r="E91" i="17"/>
  <c r="F91" s="1"/>
  <c r="L79"/>
  <c r="M79" s="1"/>
  <c r="J75"/>
  <c r="K75" s="1"/>
  <c r="E89"/>
  <c r="F89" s="1"/>
  <c r="L137"/>
  <c r="I24" i="1"/>
  <c r="J24" s="1"/>
  <c r="K24" s="1"/>
  <c r="L24" s="1"/>
  <c r="M24" s="1"/>
  <c r="N24" s="1"/>
  <c r="O24" s="1"/>
  <c r="P24" s="1"/>
  <c r="J73" i="17"/>
  <c r="K73" s="1"/>
  <c r="G62" i="4"/>
  <c r="G63"/>
  <c r="F63"/>
  <c r="H41" i="3"/>
  <c r="G382" i="2"/>
  <c r="B19" i="6"/>
  <c r="B36" s="1"/>
  <c r="I47" i="2"/>
  <c r="H50"/>
  <c r="H51"/>
  <c r="G51"/>
  <c r="H52"/>
  <c r="I14" i="3"/>
  <c r="I53" i="2"/>
  <c r="K53"/>
  <c r="I15" i="3"/>
  <c r="I54" i="2"/>
  <c r="I16" i="3"/>
  <c r="I18"/>
  <c r="I57" i="2"/>
  <c r="K18" i="3"/>
  <c r="H19"/>
  <c r="H58" i="2"/>
  <c r="G58"/>
  <c r="H21" i="3"/>
  <c r="G60" i="2"/>
  <c r="H47"/>
  <c r="I51"/>
  <c r="I52"/>
  <c r="J53"/>
  <c r="L53"/>
  <c r="H15" i="3"/>
  <c r="H54" i="2"/>
  <c r="G54"/>
  <c r="H16" i="3"/>
  <c r="G55" i="2"/>
  <c r="J16" i="3"/>
  <c r="H18"/>
  <c r="H57" i="2"/>
  <c r="J18" i="3"/>
  <c r="L18"/>
  <c r="I58" i="2"/>
  <c r="H275"/>
  <c r="H168"/>
  <c r="D7" i="4"/>
  <c r="D8" i="3" s="1"/>
  <c r="D8" i="4"/>
  <c r="E8" s="1"/>
  <c r="H53" i="2"/>
  <c r="G53"/>
  <c r="G54" i="3" s="1"/>
  <c r="H14"/>
  <c r="I20"/>
  <c r="E7" i="4"/>
  <c r="F7" s="1"/>
  <c r="D9"/>
  <c r="E9" s="1"/>
  <c r="D29" i="3"/>
  <c r="D9"/>
  <c r="H59" i="2"/>
  <c r="H20" i="3"/>
  <c r="D21" i="4"/>
  <c r="D22" i="3" s="1"/>
  <c r="C22"/>
  <c r="B22"/>
  <c r="D27" i="4"/>
  <c r="E27" s="1"/>
  <c r="E30" i="3"/>
  <c r="H40"/>
  <c r="G40"/>
  <c r="F40"/>
  <c r="E40"/>
  <c r="D41" i="4"/>
  <c r="D42" i="3" s="1"/>
  <c r="H52"/>
  <c r="G52"/>
  <c r="F52"/>
  <c r="H53"/>
  <c r="H54"/>
  <c r="I55"/>
  <c r="H55"/>
  <c r="G56"/>
  <c r="F56"/>
  <c r="E58" i="2"/>
  <c r="E59" i="3" s="1"/>
  <c r="D59"/>
  <c r="H59"/>
  <c r="G60"/>
  <c r="F60"/>
  <c r="E60"/>
  <c r="D10"/>
  <c r="C10"/>
  <c r="B10"/>
  <c r="D28"/>
  <c r="J14"/>
  <c r="I35"/>
  <c r="K35"/>
  <c r="H37"/>
  <c r="G37"/>
  <c r="F37"/>
  <c r="E37"/>
  <c r="H38"/>
  <c r="G38"/>
  <c r="F38"/>
  <c r="G55"/>
  <c r="F54" i="2"/>
  <c r="F55" i="3" s="1"/>
  <c r="H57"/>
  <c r="G57"/>
  <c r="H58"/>
  <c r="G58"/>
  <c r="F58"/>
  <c r="E58"/>
  <c r="D58"/>
  <c r="C58"/>
  <c r="B58"/>
  <c r="G59"/>
  <c r="F58" i="2"/>
  <c r="F59" i="3" s="1"/>
  <c r="G61"/>
  <c r="F60" i="2"/>
  <c r="F61" i="3" s="1"/>
  <c r="E61"/>
  <c r="D61"/>
  <c r="D61" i="4"/>
  <c r="D62" i="3" s="1"/>
  <c r="C62"/>
  <c r="I11"/>
  <c r="M11"/>
  <c r="I12"/>
  <c r="E8"/>
  <c r="I34"/>
  <c r="H34"/>
  <c r="H35"/>
  <c r="J35"/>
  <c r="I38"/>
  <c r="H39"/>
  <c r="D49"/>
  <c r="C49"/>
  <c r="B49"/>
  <c r="D48"/>
  <c r="C48"/>
  <c r="B48"/>
  <c r="H11"/>
  <c r="K11"/>
  <c r="O11"/>
  <c r="I13"/>
  <c r="H13"/>
  <c r="J11"/>
  <c r="L11"/>
  <c r="N11"/>
  <c r="P11"/>
  <c r="H12"/>
  <c r="K14"/>
  <c r="M18"/>
  <c r="I19"/>
  <c r="K19"/>
  <c r="J72" i="17"/>
  <c r="K72" s="1"/>
  <c r="E104"/>
  <c r="E133"/>
  <c r="D133"/>
  <c r="L76"/>
  <c r="L134" s="1"/>
  <c r="M76"/>
  <c r="T76" s="1"/>
  <c r="S76"/>
  <c r="F106"/>
  <c r="F108"/>
  <c r="K91"/>
  <c r="L91" s="1"/>
  <c r="E70"/>
  <c r="F70" s="1"/>
  <c r="J70"/>
  <c r="K70" s="1"/>
  <c r="J71"/>
  <c r="K71" s="1"/>
  <c r="E72"/>
  <c r="F72" s="1"/>
  <c r="E74"/>
  <c r="E103" s="1"/>
  <c r="E132"/>
  <c r="J74"/>
  <c r="K74"/>
  <c r="K103" s="1"/>
  <c r="E90"/>
  <c r="E119" s="1"/>
  <c r="K120"/>
  <c r="E92"/>
  <c r="E121" s="1"/>
  <c r="H17" i="3"/>
  <c r="J19"/>
  <c r="L19"/>
  <c r="J128" i="17"/>
  <c r="E99"/>
  <c r="E128"/>
  <c r="E71"/>
  <c r="F71" s="1"/>
  <c r="J101"/>
  <c r="E102"/>
  <c r="J104"/>
  <c r="J133"/>
  <c r="E118"/>
  <c r="F90"/>
  <c r="G90" s="1"/>
  <c r="G119" s="1"/>
  <c r="M134"/>
  <c r="J100"/>
  <c r="J129"/>
  <c r="E101"/>
  <c r="E131"/>
  <c r="J102"/>
  <c r="J131"/>
  <c r="J103"/>
  <c r="J132"/>
  <c r="E134"/>
  <c r="F119"/>
  <c r="E120"/>
  <c r="E136"/>
  <c r="C345" i="16"/>
  <c r="C268"/>
  <c r="C271" s="1"/>
  <c r="C283" s="1"/>
  <c r="C344"/>
  <c r="B360"/>
  <c r="D94"/>
  <c r="E94" s="1"/>
  <c r="F94" s="1"/>
  <c r="G94" s="1"/>
  <c r="H94" s="1"/>
  <c r="I94" s="1"/>
  <c r="J94" s="1"/>
  <c r="K94" s="1"/>
  <c r="L94" s="1"/>
  <c r="C341"/>
  <c r="C265"/>
  <c r="D93"/>
  <c r="E93"/>
  <c r="F93" s="1"/>
  <c r="G93" s="1"/>
  <c r="H93" s="1"/>
  <c r="I93" s="1"/>
  <c r="J93" s="1"/>
  <c r="K93" s="1"/>
  <c r="L93" s="1"/>
  <c r="D13" i="6"/>
  <c r="E13" s="1"/>
  <c r="F13" s="1"/>
  <c r="G13" s="1"/>
  <c r="H13" s="1"/>
  <c r="I13" s="1"/>
  <c r="J13" s="1"/>
  <c r="K13" s="1"/>
  <c r="D57"/>
  <c r="E57" s="1"/>
  <c r="F57" s="1"/>
  <c r="G57" s="1"/>
  <c r="H57" s="1"/>
  <c r="I57" s="1"/>
  <c r="J57" s="1"/>
  <c r="K57" s="1"/>
  <c r="B343" i="16"/>
  <c r="B357" s="1"/>
  <c r="B358" s="1"/>
  <c r="B30" i="6"/>
  <c r="K22" i="1"/>
  <c r="L22" s="1"/>
  <c r="M22" s="1"/>
  <c r="N22" s="1"/>
  <c r="D54" i="10"/>
  <c r="E54" s="1"/>
  <c r="F54" s="1"/>
  <c r="G54" s="1"/>
  <c r="H54" s="1"/>
  <c r="I54" s="1"/>
  <c r="J54" s="1"/>
  <c r="K54" s="1"/>
  <c r="H51" i="3"/>
  <c r="G51"/>
  <c r="F51"/>
  <c r="B25" i="6" l="1"/>
  <c r="C347" i="16"/>
  <c r="C359" s="1"/>
  <c r="C360" s="1"/>
  <c r="C348"/>
  <c r="C361" s="1"/>
  <c r="C349"/>
  <c r="C363" s="1"/>
  <c r="C364" s="1"/>
  <c r="M137" i="17"/>
  <c r="T79"/>
  <c r="J219" i="2"/>
  <c r="K219" s="1"/>
  <c r="L219" s="1"/>
  <c r="M219" s="1"/>
  <c r="N219" s="1"/>
  <c r="O219" s="1"/>
  <c r="P219" s="1"/>
  <c r="Q219" s="1"/>
  <c r="I36"/>
  <c r="I37" i="3" s="1"/>
  <c r="J216" i="2"/>
  <c r="I323"/>
  <c r="J214"/>
  <c r="I321"/>
  <c r="I35"/>
  <c r="O87"/>
  <c r="N301"/>
  <c r="J38" i="4"/>
  <c r="I58"/>
  <c r="I59" i="3" s="1"/>
  <c r="I39"/>
  <c r="K252" i="2"/>
  <c r="J359"/>
  <c r="K143"/>
  <c r="L143" s="1"/>
  <c r="M143" s="1"/>
  <c r="N143" s="1"/>
  <c r="K246"/>
  <c r="J353"/>
  <c r="J154"/>
  <c r="K154" s="1"/>
  <c r="I368"/>
  <c r="L153"/>
  <c r="K367"/>
  <c r="J150"/>
  <c r="K150" s="1"/>
  <c r="I364"/>
  <c r="I20"/>
  <c r="F48" i="4"/>
  <c r="E49" i="3"/>
  <c r="O114" i="2"/>
  <c r="N328"/>
  <c r="J112"/>
  <c r="I326"/>
  <c r="I16"/>
  <c r="I168"/>
  <c r="L109"/>
  <c r="K15"/>
  <c r="N107"/>
  <c r="J192"/>
  <c r="I275"/>
  <c r="I299"/>
  <c r="I30"/>
  <c r="P189"/>
  <c r="O296"/>
  <c r="K188"/>
  <c r="J295"/>
  <c r="J251"/>
  <c r="K251" s="1"/>
  <c r="L251" s="1"/>
  <c r="M251" s="1"/>
  <c r="N251" s="1"/>
  <c r="O251" s="1"/>
  <c r="P251" s="1"/>
  <c r="Q251" s="1"/>
  <c r="I358"/>
  <c r="I40"/>
  <c r="I41" i="3" s="1"/>
  <c r="K248" i="2"/>
  <c r="J355"/>
  <c r="K272"/>
  <c r="J379"/>
  <c r="K262"/>
  <c r="J369"/>
  <c r="J259"/>
  <c r="K259" s="1"/>
  <c r="L259" s="1"/>
  <c r="M259" s="1"/>
  <c r="N259" s="1"/>
  <c r="O259" s="1"/>
  <c r="P259" s="1"/>
  <c r="Q259" s="1"/>
  <c r="I366"/>
  <c r="I41"/>
  <c r="H41"/>
  <c r="C20" i="6"/>
  <c r="G53" i="10"/>
  <c r="F53"/>
  <c r="F135" i="17"/>
  <c r="E130"/>
  <c r="M105"/>
  <c r="J130"/>
  <c r="J99"/>
  <c r="E137"/>
  <c r="K136"/>
  <c r="L105"/>
  <c r="L108"/>
  <c r="B22" i="10"/>
  <c r="B24" s="1"/>
  <c r="B47" s="1"/>
  <c r="B49" s="1"/>
  <c r="B77" s="1"/>
  <c r="B88" s="1"/>
  <c r="B98" s="1"/>
  <c r="B23"/>
  <c r="B46" s="1"/>
  <c r="B57" s="1"/>
  <c r="B75" s="1"/>
  <c r="B23" i="6"/>
  <c r="B29" s="1"/>
  <c r="H15"/>
  <c r="C21"/>
  <c r="C38" s="1"/>
  <c r="C97" s="1"/>
  <c r="F101" i="17"/>
  <c r="F130"/>
  <c r="L70"/>
  <c r="K99"/>
  <c r="K128"/>
  <c r="L75"/>
  <c r="K133"/>
  <c r="K104"/>
  <c r="G29" i="4"/>
  <c r="F30" i="3"/>
  <c r="F47" i="4"/>
  <c r="E61"/>
  <c r="E62" i="3" s="1"/>
  <c r="E48"/>
  <c r="H79" i="17"/>
  <c r="G108"/>
  <c r="L71"/>
  <c r="K129"/>
  <c r="K100"/>
  <c r="G70"/>
  <c r="F99"/>
  <c r="F128"/>
  <c r="G89"/>
  <c r="F118"/>
  <c r="F134"/>
  <c r="G73"/>
  <c r="F131"/>
  <c r="F102"/>
  <c r="C37" i="6"/>
  <c r="C31"/>
  <c r="C86" s="1"/>
  <c r="N131" i="2"/>
  <c r="J130"/>
  <c r="I344"/>
  <c r="J232"/>
  <c r="I339"/>
  <c r="J228"/>
  <c r="I335"/>
  <c r="J224"/>
  <c r="I331"/>
  <c r="J222"/>
  <c r="I329"/>
  <c r="L212"/>
  <c r="K319"/>
  <c r="J102"/>
  <c r="I316"/>
  <c r="J92"/>
  <c r="I306"/>
  <c r="J190"/>
  <c r="I297"/>
  <c r="J37" i="4"/>
  <c r="I57"/>
  <c r="I58" i="3" s="1"/>
  <c r="L13" i="4"/>
  <c r="J12"/>
  <c r="I52"/>
  <c r="I53" i="3" s="1"/>
  <c r="J11" i="4"/>
  <c r="I51"/>
  <c r="J187" i="2"/>
  <c r="I294"/>
  <c r="J183"/>
  <c r="I290"/>
  <c r="J74"/>
  <c r="I288"/>
  <c r="D21" i="6" s="1"/>
  <c r="J176" i="2"/>
  <c r="I283"/>
  <c r="K242"/>
  <c r="J349"/>
  <c r="L240"/>
  <c r="K347"/>
  <c r="K250"/>
  <c r="J357"/>
  <c r="L142"/>
  <c r="K356"/>
  <c r="L140"/>
  <c r="K354"/>
  <c r="L244"/>
  <c r="K351"/>
  <c r="K271"/>
  <c r="L271" s="1"/>
  <c r="J378"/>
  <c r="L162"/>
  <c r="M162" s="1"/>
  <c r="K156"/>
  <c r="K261"/>
  <c r="L261" s="1"/>
  <c r="J368"/>
  <c r="K258"/>
  <c r="J365"/>
  <c r="K254"/>
  <c r="J361"/>
  <c r="E100" i="17"/>
  <c r="F92"/>
  <c r="E135"/>
  <c r="L74"/>
  <c r="F74"/>
  <c r="M108"/>
  <c r="K60" i="4"/>
  <c r="I21" i="2"/>
  <c r="I61" s="1"/>
  <c r="I82" i="1" s="1"/>
  <c r="I72" s="1"/>
  <c r="C170" i="16"/>
  <c r="C76"/>
  <c r="C84" s="1"/>
  <c r="C171"/>
  <c r="C77"/>
  <c r="C79"/>
  <c r="C173"/>
  <c r="C181" s="1"/>
  <c r="C200" s="1"/>
  <c r="C176"/>
  <c r="C81"/>
  <c r="C82"/>
  <c r="C175"/>
  <c r="J238" i="2"/>
  <c r="I345"/>
  <c r="Q127"/>
  <c r="P341"/>
  <c r="M123"/>
  <c r="L337"/>
  <c r="J226"/>
  <c r="I333"/>
  <c r="N117"/>
  <c r="N115"/>
  <c r="M97"/>
  <c r="L311"/>
  <c r="J96"/>
  <c r="I310"/>
  <c r="O89"/>
  <c r="N303"/>
  <c r="J88"/>
  <c r="I302"/>
  <c r="I39" i="4"/>
  <c r="H59"/>
  <c r="H60" i="3" s="1"/>
  <c r="J33" i="4"/>
  <c r="I53"/>
  <c r="I54" i="3" s="1"/>
  <c r="L76" i="2"/>
  <c r="Q71"/>
  <c r="P285"/>
  <c r="L381" i="16"/>
  <c r="L224"/>
  <c r="L136" i="2"/>
  <c r="K350"/>
  <c r="O134"/>
  <c r="N348"/>
  <c r="J253"/>
  <c r="I360"/>
  <c r="L245"/>
  <c r="K352"/>
  <c r="K274"/>
  <c r="J381"/>
  <c r="J273"/>
  <c r="I380"/>
  <c r="L164"/>
  <c r="M164" s="1"/>
  <c r="K378"/>
  <c r="K269"/>
  <c r="L269" s="1"/>
  <c r="J376"/>
  <c r="K266"/>
  <c r="J373"/>
  <c r="J263"/>
  <c r="K263" s="1"/>
  <c r="L263" s="1"/>
  <c r="M263" s="1"/>
  <c r="N263" s="1"/>
  <c r="O263" s="1"/>
  <c r="P263" s="1"/>
  <c r="Q263" s="1"/>
  <c r="I370"/>
  <c r="L154"/>
  <c r="M154" s="1"/>
  <c r="K368"/>
  <c r="H21"/>
  <c r="H61" s="1"/>
  <c r="H82" i="1" s="1"/>
  <c r="H74" s="1"/>
  <c r="D76" i="16"/>
  <c r="D170"/>
  <c r="D22" i="6"/>
  <c r="D23"/>
  <c r="D34" s="1"/>
  <c r="D106" s="1"/>
  <c r="D159" s="1"/>
  <c r="D169" s="1"/>
  <c r="C75" i="16"/>
  <c r="C169"/>
  <c r="C177" s="1"/>
  <c r="C172"/>
  <c r="C78"/>
  <c r="C86" s="1"/>
  <c r="C104" s="1"/>
  <c r="C80"/>
  <c r="C174"/>
  <c r="C182" s="1"/>
  <c r="C202" s="1"/>
  <c r="D266"/>
  <c r="D280" s="1"/>
  <c r="D293" s="1"/>
  <c r="D298" s="1"/>
  <c r="D167"/>
  <c r="D268"/>
  <c r="D274" s="1"/>
  <c r="D169"/>
  <c r="D185" s="1"/>
  <c r="D75"/>
  <c r="D91" s="1"/>
  <c r="D166"/>
  <c r="D168" s="1"/>
  <c r="D192" s="1"/>
  <c r="C166"/>
  <c r="B21" i="6"/>
  <c r="B38" s="1"/>
  <c r="B97" s="1"/>
  <c r="H345" i="2"/>
  <c r="C167" i="16"/>
  <c r="C22" i="6"/>
  <c r="C39" s="1"/>
  <c r="C98" s="1"/>
  <c r="C23"/>
  <c r="C40" s="1"/>
  <c r="Q327" i="2"/>
  <c r="Q325"/>
  <c r="Q324"/>
  <c r="Q322"/>
  <c r="Q318"/>
  <c r="Q314"/>
  <c r="Q312"/>
  <c r="Q300"/>
  <c r="Q56" i="4"/>
  <c r="Q293" i="2"/>
  <c r="Q292"/>
  <c r="Q291"/>
  <c r="Q287"/>
  <c r="D344" i="16"/>
  <c r="D350" s="1"/>
  <c r="B26" i="6"/>
  <c r="B81" s="1"/>
  <c r="C97" i="16"/>
  <c r="C115" s="1"/>
  <c r="C183"/>
  <c r="C204" s="1"/>
  <c r="C179"/>
  <c r="C196" s="1"/>
  <c r="C178"/>
  <c r="C180"/>
  <c r="C198" s="1"/>
  <c r="C184"/>
  <c r="C206" s="1"/>
  <c r="C83"/>
  <c r="C85"/>
  <c r="C102" s="1"/>
  <c r="C87"/>
  <c r="C106" s="1"/>
  <c r="C88"/>
  <c r="C108" s="1"/>
  <c r="C89"/>
  <c r="C110" s="1"/>
  <c r="C90"/>
  <c r="C112" s="1"/>
  <c r="C74"/>
  <c r="C98" s="1"/>
  <c r="B274"/>
  <c r="B267"/>
  <c r="B281" s="1"/>
  <c r="B282" s="1"/>
  <c r="B288"/>
  <c r="C36" i="6"/>
  <c r="C286" i="16"/>
  <c r="F72" i="1"/>
  <c r="C28" i="6"/>
  <c r="C83" s="1"/>
  <c r="B253" i="16"/>
  <c r="C33" i="6"/>
  <c r="C88" s="1"/>
  <c r="D32"/>
  <c r="D87" s="1"/>
  <c r="D48"/>
  <c r="D104" s="1"/>
  <c r="D222" i="16"/>
  <c r="D223" s="1"/>
  <c r="I53" i="10"/>
  <c r="O22" i="1"/>
  <c r="G71" i="17"/>
  <c r="F100"/>
  <c r="F129"/>
  <c r="M71"/>
  <c r="L100"/>
  <c r="T71"/>
  <c r="L129"/>
  <c r="L99"/>
  <c r="L128"/>
  <c r="M70"/>
  <c r="H70"/>
  <c r="G128"/>
  <c r="S70"/>
  <c r="G99"/>
  <c r="M91"/>
  <c r="L120"/>
  <c r="L136"/>
  <c r="K101"/>
  <c r="L72"/>
  <c r="K130"/>
  <c r="F27" i="4"/>
  <c r="E41"/>
  <c r="E42" i="3" s="1"/>
  <c r="E28"/>
  <c r="F9" i="4"/>
  <c r="E10" i="3"/>
  <c r="E9"/>
  <c r="F8" i="4"/>
  <c r="F21" s="1"/>
  <c r="F22" i="3" s="1"/>
  <c r="E21" i="4"/>
  <c r="E22" i="3" s="1"/>
  <c r="L73" i="17"/>
  <c r="K102"/>
  <c r="K131"/>
  <c r="G91"/>
  <c r="F136"/>
  <c r="F120"/>
  <c r="F28" i="4"/>
  <c r="E29" i="3"/>
  <c r="G49" i="4"/>
  <c r="F50" i="3"/>
  <c r="P40" i="4"/>
  <c r="L60"/>
  <c r="M20"/>
  <c r="G7"/>
  <c r="F8" i="3"/>
  <c r="H89" i="17"/>
  <c r="G134"/>
  <c r="G118"/>
  <c r="M75"/>
  <c r="L133"/>
  <c r="T75"/>
  <c r="L104"/>
  <c r="H29" i="4"/>
  <c r="G30" i="3"/>
  <c r="G75" i="17"/>
  <c r="F133"/>
  <c r="F104"/>
  <c r="G47" i="4"/>
  <c r="F61"/>
  <c r="F62" i="3" s="1"/>
  <c r="F48"/>
  <c r="H73" i="17"/>
  <c r="S73" s="1"/>
  <c r="G102"/>
  <c r="G131"/>
  <c r="H108"/>
  <c r="S79"/>
  <c r="H77"/>
  <c r="H106" s="1"/>
  <c r="G106"/>
  <c r="G135"/>
  <c r="F49" i="3"/>
  <c r="G48" i="4"/>
  <c r="B39" i="6"/>
  <c r="B33"/>
  <c r="B88" s="1"/>
  <c r="G14"/>
  <c r="D39"/>
  <c r="D98" s="1"/>
  <c r="D28"/>
  <c r="D83" s="1"/>
  <c r="D33"/>
  <c r="D88" s="1"/>
  <c r="D29"/>
  <c r="D74" s="1"/>
  <c r="D75" s="1"/>
  <c r="D193" s="1"/>
  <c r="D203" s="1"/>
  <c r="H53" i="10"/>
  <c r="H90" i="17"/>
  <c r="E129"/>
  <c r="K132"/>
  <c r="G72"/>
  <c r="D20" i="6"/>
  <c r="D37" s="1"/>
  <c r="Q289" i="2"/>
  <c r="E72" i="1"/>
  <c r="C22" i="10"/>
  <c r="C24" s="1"/>
  <c r="C47" s="1"/>
  <c r="C49" s="1"/>
  <c r="C77" s="1"/>
  <c r="C88" s="1"/>
  <c r="Q343" i="2"/>
  <c r="Q342"/>
  <c r="Q340"/>
  <c r="Q338"/>
  <c r="Q336"/>
  <c r="Q334"/>
  <c r="Q332"/>
  <c r="Q330"/>
  <c r="Q317"/>
  <c r="Q315"/>
  <c r="Q313"/>
  <c r="Q309"/>
  <c r="Q308"/>
  <c r="Q305"/>
  <c r="Q304"/>
  <c r="Q298"/>
  <c r="Q55" i="4"/>
  <c r="K144" i="2"/>
  <c r="J358"/>
  <c r="M165"/>
  <c r="M163"/>
  <c r="L377"/>
  <c r="N161"/>
  <c r="M375"/>
  <c r="K160"/>
  <c r="J374"/>
  <c r="L158"/>
  <c r="L264"/>
  <c r="K371"/>
  <c r="M155"/>
  <c r="K152"/>
  <c r="J366"/>
  <c r="L150"/>
  <c r="L256"/>
  <c r="K363"/>
  <c r="N148"/>
  <c r="M362"/>
  <c r="Q286"/>
  <c r="Q284"/>
  <c r="Q282"/>
  <c r="Q281"/>
  <c r="K146"/>
  <c r="J360"/>
  <c r="O143"/>
  <c r="M142"/>
  <c r="L356"/>
  <c r="O167"/>
  <c r="O166"/>
  <c r="M271"/>
  <c r="N271" s="1"/>
  <c r="O271" s="1"/>
  <c r="P271" s="1"/>
  <c r="Q271" s="1"/>
  <c r="L378"/>
  <c r="N164"/>
  <c r="M269"/>
  <c r="N269" s="1"/>
  <c r="O269" s="1"/>
  <c r="P269" s="1"/>
  <c r="Q269" s="1"/>
  <c r="L376"/>
  <c r="N162"/>
  <c r="O159"/>
  <c r="K265"/>
  <c r="L265" s="1"/>
  <c r="M265" s="1"/>
  <c r="N265" s="1"/>
  <c r="O265" s="1"/>
  <c r="P265" s="1"/>
  <c r="Q265" s="1"/>
  <c r="J372"/>
  <c r="P157"/>
  <c r="M261"/>
  <c r="N261" s="1"/>
  <c r="O261" s="1"/>
  <c r="P261" s="1"/>
  <c r="Q261" s="1"/>
  <c r="L368"/>
  <c r="N154"/>
  <c r="M368"/>
  <c r="O151"/>
  <c r="K257"/>
  <c r="K364" s="1"/>
  <c r="J364"/>
  <c r="P149"/>
  <c r="M147"/>
  <c r="D342" i="16"/>
  <c r="D356" s="1"/>
  <c r="D369" s="1"/>
  <c r="D374" s="1"/>
  <c r="J21" i="1"/>
  <c r="C350" i="16"/>
  <c r="C25" i="6"/>
  <c r="C343" i="16"/>
  <c r="C357" s="1"/>
  <c r="C358" s="1"/>
  <c r="C284"/>
  <c r="C288"/>
  <c r="D221"/>
  <c r="C267"/>
  <c r="C281" s="1"/>
  <c r="B28" i="6"/>
  <c r="B83" s="1"/>
  <c r="C26"/>
  <c r="C81" s="1"/>
  <c r="C32"/>
  <c r="C87" s="1"/>
  <c r="D126" i="16"/>
  <c r="C92" i="6"/>
  <c r="C274" i="16"/>
  <c r="D38"/>
  <c r="C27" i="6"/>
  <c r="C82" s="1"/>
  <c r="D39" i="16"/>
  <c r="D40" s="1"/>
  <c r="C93" i="6"/>
  <c r="D378" i="16"/>
  <c r="B240"/>
  <c r="B255" s="1"/>
  <c r="B231"/>
  <c r="B91" i="6"/>
  <c r="B96"/>
  <c r="I74" i="1"/>
  <c r="D26" i="6"/>
  <c r="D81" s="1"/>
  <c r="B40"/>
  <c r="B107" s="1"/>
  <c r="B268" s="1"/>
  <c r="B278" s="1"/>
  <c r="C362" i="16"/>
  <c r="G74" i="1"/>
  <c r="B31" i="6"/>
  <c r="B86" s="1"/>
  <c r="D93"/>
  <c r="D65" i="10"/>
  <c r="D224" i="16"/>
  <c r="D379"/>
  <c r="D380" s="1"/>
  <c r="B34" i="6"/>
  <c r="B106" s="1"/>
  <c r="B159" s="1"/>
  <c r="B169" s="1"/>
  <c r="B186" s="1"/>
  <c r="B32"/>
  <c r="B87" s="1"/>
  <c r="D31"/>
  <c r="D86" s="1"/>
  <c r="D127" i="16"/>
  <c r="D128" s="1"/>
  <c r="D66" i="10"/>
  <c r="D381" i="16"/>
  <c r="D301"/>
  <c r="B74" i="6"/>
  <c r="B75" s="1"/>
  <c r="B229" s="1"/>
  <c r="B239" s="1"/>
  <c r="B105"/>
  <c r="B124" s="1"/>
  <c r="B134" s="1"/>
  <c r="B151" s="1"/>
  <c r="D194"/>
  <c r="D204" s="1"/>
  <c r="D213" s="1"/>
  <c r="D158"/>
  <c r="D168" s="1"/>
  <c r="D185" s="1"/>
  <c r="D123"/>
  <c r="D133" s="1"/>
  <c r="F480" i="18"/>
  <c r="F481"/>
  <c r="E481"/>
  <c r="E480"/>
  <c r="D72" i="1"/>
  <c r="C366" i="16"/>
  <c r="C375" s="1"/>
  <c r="C387" s="1"/>
  <c r="C397" s="1"/>
  <c r="C412" s="1"/>
  <c r="B106" i="10"/>
  <c r="C85" i="6"/>
  <c r="C156" s="1"/>
  <c r="B293" i="16"/>
  <c r="B298" s="1"/>
  <c r="B309" s="1"/>
  <c r="B318" s="1"/>
  <c r="B284"/>
  <c r="B286"/>
  <c r="B290"/>
  <c r="B85" i="6"/>
  <c r="G481" i="18"/>
  <c r="G480"/>
  <c r="C293" i="16"/>
  <c r="C298" s="1"/>
  <c r="C309" s="1"/>
  <c r="C318" s="1"/>
  <c r="C282"/>
  <c r="C290"/>
  <c r="C30"/>
  <c r="C35" s="1"/>
  <c r="C45" s="1"/>
  <c r="C54" s="1"/>
  <c r="C373"/>
  <c r="C385" s="1"/>
  <c r="C374"/>
  <c r="C386" s="1"/>
  <c r="C396" s="1"/>
  <c r="B230" i="6"/>
  <c r="B240" s="1"/>
  <c r="B93"/>
  <c r="B98"/>
  <c r="B92"/>
  <c r="C297" i="16"/>
  <c r="C308" s="1"/>
  <c r="D303"/>
  <c r="D297"/>
  <c r="D308" s="1"/>
  <c r="D178" i="6" l="1"/>
  <c r="D186"/>
  <c r="B76" i="10"/>
  <c r="B86"/>
  <c r="D230" i="6"/>
  <c r="D240" s="1"/>
  <c r="D267"/>
  <c r="D277" s="1"/>
  <c r="D286" s="1"/>
  <c r="D229"/>
  <c r="D239" s="1"/>
  <c r="B27"/>
  <c r="B82" s="1"/>
  <c r="H72" i="1"/>
  <c r="D40" i="6"/>
  <c r="C199" i="16"/>
  <c r="C197"/>
  <c r="C203"/>
  <c r="I209" s="1"/>
  <c r="I218" s="1"/>
  <c r="H72" i="6"/>
  <c r="I15"/>
  <c r="L188" i="2"/>
  <c r="K295"/>
  <c r="Q189"/>
  <c r="Q296" s="1"/>
  <c r="P296"/>
  <c r="K192"/>
  <c r="J299"/>
  <c r="K16" i="3"/>
  <c r="M109" i="2"/>
  <c r="L15"/>
  <c r="I56"/>
  <c r="I57" i="3" s="1"/>
  <c r="I17"/>
  <c r="K112" i="2"/>
  <c r="J326"/>
  <c r="J16"/>
  <c r="J17" i="3" s="1"/>
  <c r="P114" i="2"/>
  <c r="O328"/>
  <c r="I60"/>
  <c r="I61" i="3" s="1"/>
  <c r="I21"/>
  <c r="M153" i="2"/>
  <c r="L367"/>
  <c r="L246"/>
  <c r="K353"/>
  <c r="L252"/>
  <c r="K359"/>
  <c r="I55"/>
  <c r="I56" i="3" s="1"/>
  <c r="I36"/>
  <c r="K214" i="2"/>
  <c r="J35"/>
  <c r="J321"/>
  <c r="K216"/>
  <c r="J323"/>
  <c r="M378"/>
  <c r="C207" i="16"/>
  <c r="K209" s="1"/>
  <c r="K218" s="1"/>
  <c r="C201"/>
  <c r="L262" i="2"/>
  <c r="K369"/>
  <c r="L272"/>
  <c r="K379"/>
  <c r="L248"/>
  <c r="K355"/>
  <c r="I50"/>
  <c r="I51" i="3" s="1"/>
  <c r="I31"/>
  <c r="O107" i="2"/>
  <c r="K38" i="4"/>
  <c r="J58"/>
  <c r="P87" i="2"/>
  <c r="O301"/>
  <c r="J20"/>
  <c r="J21" i="3" s="1"/>
  <c r="C22" i="16"/>
  <c r="C24" s="1"/>
  <c r="C28" s="1"/>
  <c r="C33" s="1"/>
  <c r="C43" s="1"/>
  <c r="H382" i="2"/>
  <c r="D73" i="16"/>
  <c r="D23"/>
  <c r="D345"/>
  <c r="D348" s="1"/>
  <c r="D361" s="1"/>
  <c r="D341"/>
  <c r="D72"/>
  <c r="D74" s="1"/>
  <c r="D98" s="1"/>
  <c r="D346"/>
  <c r="D270"/>
  <c r="D273" s="1"/>
  <c r="D287" s="1"/>
  <c r="D288" s="1"/>
  <c r="D269"/>
  <c r="D272" s="1"/>
  <c r="D285" s="1"/>
  <c r="D286" s="1"/>
  <c r="D265"/>
  <c r="D267" s="1"/>
  <c r="D281" s="1"/>
  <c r="D282" s="1"/>
  <c r="M74" i="17"/>
  <c r="L103"/>
  <c r="T74"/>
  <c r="L132"/>
  <c r="G92"/>
  <c r="F137"/>
  <c r="F121"/>
  <c r="I382" i="2"/>
  <c r="D19" i="6"/>
  <c r="D38"/>
  <c r="D27"/>
  <c r="D82" s="1"/>
  <c r="I52" i="3"/>
  <c r="M376" i="2"/>
  <c r="S77" i="17"/>
  <c r="C205" i="16"/>
  <c r="J209" s="1"/>
  <c r="J218" s="1"/>
  <c r="C168"/>
  <c r="C192" s="1"/>
  <c r="D176"/>
  <c r="D184" s="1"/>
  <c r="D206" s="1"/>
  <c r="C23" i="10"/>
  <c r="C46" s="1"/>
  <c r="C57" s="1"/>
  <c r="C75" s="1"/>
  <c r="J370" i="2"/>
  <c r="K376"/>
  <c r="D22" i="10"/>
  <c r="D24" s="1"/>
  <c r="D47" s="1"/>
  <c r="D49" s="1"/>
  <c r="D22" i="16"/>
  <c r="D24" s="1"/>
  <c r="D81"/>
  <c r="D89" s="1"/>
  <c r="D110" s="1"/>
  <c r="D174"/>
  <c r="D182" s="1"/>
  <c r="D202" s="1"/>
  <c r="D79"/>
  <c r="D87" s="1"/>
  <c r="D106" s="1"/>
  <c r="D172"/>
  <c r="D180" s="1"/>
  <c r="D198" s="1"/>
  <c r="D77"/>
  <c r="D85" s="1"/>
  <c r="C29" i="6"/>
  <c r="C34"/>
  <c r="C106" s="1"/>
  <c r="C159" s="1"/>
  <c r="C169" s="1"/>
  <c r="C185" i="16"/>
  <c r="C191"/>
  <c r="C212" s="1"/>
  <c r="C217" s="1"/>
  <c r="C229" s="1"/>
  <c r="C239" s="1"/>
  <c r="D191"/>
  <c r="D193" s="1"/>
  <c r="L266" i="2"/>
  <c r="K373"/>
  <c r="K273"/>
  <c r="J380"/>
  <c r="E167" i="16" s="1"/>
  <c r="L274" i="2"/>
  <c r="K381"/>
  <c r="M245"/>
  <c r="L352"/>
  <c r="K253"/>
  <c r="L253" s="1"/>
  <c r="M253" s="1"/>
  <c r="N253" s="1"/>
  <c r="O253" s="1"/>
  <c r="P253" s="1"/>
  <c r="Q253" s="1"/>
  <c r="J40"/>
  <c r="P134"/>
  <c r="O348"/>
  <c r="M136"/>
  <c r="L350"/>
  <c r="Q285"/>
  <c r="Q7"/>
  <c r="M76"/>
  <c r="K33" i="4"/>
  <c r="J53"/>
  <c r="J54" i="3" s="1"/>
  <c r="J34"/>
  <c r="J39" i="4"/>
  <c r="I59"/>
  <c r="I60" i="3" s="1"/>
  <c r="I40"/>
  <c r="K88" i="2"/>
  <c r="J302"/>
  <c r="J11"/>
  <c r="J51" s="1"/>
  <c r="P89"/>
  <c r="O303"/>
  <c r="K96"/>
  <c r="J310"/>
  <c r="N97"/>
  <c r="M311"/>
  <c r="M13"/>
  <c r="M53" s="1"/>
  <c r="O115"/>
  <c r="O117"/>
  <c r="N17"/>
  <c r="K226"/>
  <c r="J333"/>
  <c r="N123"/>
  <c r="M337"/>
  <c r="M18"/>
  <c r="Q341"/>
  <c r="K238"/>
  <c r="J345"/>
  <c r="J39"/>
  <c r="G74" i="17"/>
  <c r="F103"/>
  <c r="F132"/>
  <c r="K361" i="2"/>
  <c r="L254"/>
  <c r="L258"/>
  <c r="K365"/>
  <c r="L156"/>
  <c r="K370"/>
  <c r="M244"/>
  <c r="L351"/>
  <c r="M140"/>
  <c r="L354"/>
  <c r="L250"/>
  <c r="K357"/>
  <c r="M240"/>
  <c r="L347"/>
  <c r="L242"/>
  <c r="K349"/>
  <c r="K176"/>
  <c r="J283"/>
  <c r="J275"/>
  <c r="J27"/>
  <c r="J288"/>
  <c r="K74"/>
  <c r="J8"/>
  <c r="J168"/>
  <c r="J290"/>
  <c r="K183"/>
  <c r="J28"/>
  <c r="K187"/>
  <c r="J294"/>
  <c r="E22" i="6" s="1"/>
  <c r="J29" i="2"/>
  <c r="J49" s="1"/>
  <c r="K11" i="4"/>
  <c r="J51"/>
  <c r="J12" i="3"/>
  <c r="K12" i="4"/>
  <c r="J52"/>
  <c r="M13"/>
  <c r="L14" i="3"/>
  <c r="K37" i="4"/>
  <c r="J57"/>
  <c r="K190" i="2"/>
  <c r="J297"/>
  <c r="J30"/>
  <c r="K92"/>
  <c r="J306"/>
  <c r="J12"/>
  <c r="J52" s="1"/>
  <c r="K102"/>
  <c r="J316"/>
  <c r="J14"/>
  <c r="M212"/>
  <c r="L319"/>
  <c r="L34"/>
  <c r="L35" i="3" s="1"/>
  <c r="K222" i="2"/>
  <c r="J329"/>
  <c r="J36"/>
  <c r="K224"/>
  <c r="J331"/>
  <c r="J37"/>
  <c r="J57" s="1"/>
  <c r="K228"/>
  <c r="J335"/>
  <c r="K232"/>
  <c r="J339"/>
  <c r="J38"/>
  <c r="K130"/>
  <c r="J344"/>
  <c r="J19"/>
  <c r="O131"/>
  <c r="C96" i="6"/>
  <c r="C95" s="1"/>
  <c r="C91"/>
  <c r="D80"/>
  <c r="K372" i="2"/>
  <c r="E166" i="16"/>
  <c r="E80"/>
  <c r="E79"/>
  <c r="E78"/>
  <c r="E176"/>
  <c r="D82"/>
  <c r="D90" s="1"/>
  <c r="D112" s="1"/>
  <c r="D175"/>
  <c r="D183" s="1"/>
  <c r="D204" s="1"/>
  <c r="D80"/>
  <c r="D88" s="1"/>
  <c r="D108" s="1"/>
  <c r="D173"/>
  <c r="D181" s="1"/>
  <c r="D200" s="1"/>
  <c r="D78"/>
  <c r="D86" s="1"/>
  <c r="D104" s="1"/>
  <c r="D171"/>
  <c r="D179" s="1"/>
  <c r="D77" i="10"/>
  <c r="D88" s="1"/>
  <c r="D294" i="6"/>
  <c r="B80"/>
  <c r="B121" s="1"/>
  <c r="B143"/>
  <c r="C194" i="16"/>
  <c r="C195" s="1"/>
  <c r="D196"/>
  <c r="D102"/>
  <c r="C100"/>
  <c r="C101" s="1"/>
  <c r="C99"/>
  <c r="C103"/>
  <c r="C105"/>
  <c r="C107"/>
  <c r="C109"/>
  <c r="I115" s="1"/>
  <c r="C111"/>
  <c r="J115" s="1"/>
  <c r="C113"/>
  <c r="K115" s="1"/>
  <c r="C118"/>
  <c r="C34"/>
  <c r="C44" s="1"/>
  <c r="C53" s="1"/>
  <c r="C65" s="1"/>
  <c r="D386"/>
  <c r="D396" s="1"/>
  <c r="D404" s="1"/>
  <c r="D373"/>
  <c r="D385" s="1"/>
  <c r="D395" s="1"/>
  <c r="D403" s="1"/>
  <c r="C405"/>
  <c r="D362"/>
  <c r="B256"/>
  <c r="H440" i="18" s="1"/>
  <c r="C80" i="6"/>
  <c r="C90"/>
  <c r="C192" s="1"/>
  <c r="C202" s="1"/>
  <c r="C219" s="1"/>
  <c r="D85"/>
  <c r="J25" i="1"/>
  <c r="K21"/>
  <c r="E266" i="16"/>
  <c r="E73"/>
  <c r="E342"/>
  <c r="E23"/>
  <c r="E268"/>
  <c r="E344"/>
  <c r="E72"/>
  <c r="E265"/>
  <c r="E267" s="1"/>
  <c r="E281" s="1"/>
  <c r="E22"/>
  <c r="J382" i="2"/>
  <c r="E346" i="16"/>
  <c r="E349" s="1"/>
  <c r="E363" s="1"/>
  <c r="E270"/>
  <c r="E273" s="1"/>
  <c r="E287" s="1"/>
  <c r="E269"/>
  <c r="E345"/>
  <c r="E348" s="1"/>
  <c r="E361" s="1"/>
  <c r="E341"/>
  <c r="E343" s="1"/>
  <c r="E357" s="1"/>
  <c r="H14" i="6"/>
  <c r="H48" i="4"/>
  <c r="G49" i="3"/>
  <c r="G61" i="4"/>
  <c r="G62" i="3" s="1"/>
  <c r="H47" i="4"/>
  <c r="G48" i="3"/>
  <c r="G133" i="17"/>
  <c r="H75"/>
  <c r="G104"/>
  <c r="I29" i="4"/>
  <c r="H30" i="3"/>
  <c r="M104" i="17"/>
  <c r="M133"/>
  <c r="Q40" i="4"/>
  <c r="H49"/>
  <c r="G50" i="3"/>
  <c r="G28" i="4"/>
  <c r="F29" i="3"/>
  <c r="G9" i="4"/>
  <c r="F10" i="3"/>
  <c r="M120" i="17"/>
  <c r="M136"/>
  <c r="H128"/>
  <c r="H99"/>
  <c r="M99"/>
  <c r="M128"/>
  <c r="M129"/>
  <c r="M100"/>
  <c r="G129"/>
  <c r="G100"/>
  <c r="H71"/>
  <c r="N147" i="2"/>
  <c r="Q149"/>
  <c r="L257"/>
  <c r="M257" s="1"/>
  <c r="N257" s="1"/>
  <c r="O257" s="1"/>
  <c r="P257" s="1"/>
  <c r="Q257" s="1"/>
  <c r="K40"/>
  <c r="K275"/>
  <c r="P151"/>
  <c r="N368"/>
  <c r="O154"/>
  <c r="Q157"/>
  <c r="P159"/>
  <c r="N376"/>
  <c r="O162"/>
  <c r="N378"/>
  <c r="O164"/>
  <c r="P166"/>
  <c r="P167"/>
  <c r="M356"/>
  <c r="N142"/>
  <c r="P143"/>
  <c r="L146"/>
  <c r="K360"/>
  <c r="N362"/>
  <c r="O148"/>
  <c r="M256"/>
  <c r="L363"/>
  <c r="L364"/>
  <c r="M150"/>
  <c r="K366"/>
  <c r="L152"/>
  <c r="N155"/>
  <c r="M264"/>
  <c r="L371"/>
  <c r="L372"/>
  <c r="M158"/>
  <c r="K374"/>
  <c r="L160"/>
  <c r="O161"/>
  <c r="N375"/>
  <c r="M377"/>
  <c r="N163"/>
  <c r="N165"/>
  <c r="L144"/>
  <c r="K358"/>
  <c r="K20"/>
  <c r="K168"/>
  <c r="D96" i="6"/>
  <c r="D91"/>
  <c r="H72" i="17"/>
  <c r="G130"/>
  <c r="S72"/>
  <c r="G101"/>
  <c r="H119"/>
  <c r="H135"/>
  <c r="H131"/>
  <c r="H102"/>
  <c r="H134"/>
  <c r="H118"/>
  <c r="H7" i="4"/>
  <c r="G8" i="3"/>
  <c r="N20" i="4"/>
  <c r="M60"/>
  <c r="H91" i="17"/>
  <c r="G136"/>
  <c r="G120"/>
  <c r="L131"/>
  <c r="M73"/>
  <c r="L102"/>
  <c r="G8" i="4"/>
  <c r="G21" s="1"/>
  <c r="G22" i="3" s="1"/>
  <c r="F9"/>
  <c r="F28"/>
  <c r="G27" i="4"/>
  <c r="F41"/>
  <c r="F42" i="3" s="1"/>
  <c r="L130" i="17"/>
  <c r="M72"/>
  <c r="L101"/>
  <c r="P22" i="1"/>
  <c r="K53" i="10" s="1"/>
  <c r="J53"/>
  <c r="B95" i="6"/>
  <c r="B228" s="1"/>
  <c r="D221"/>
  <c r="B90"/>
  <c r="B194"/>
  <c r="B204" s="1"/>
  <c r="B79" i="10"/>
  <c r="D177" i="6"/>
  <c r="B195"/>
  <c r="B205" s="1"/>
  <c r="B222" s="1"/>
  <c r="D122"/>
  <c r="D132" s="1"/>
  <c r="D101"/>
  <c r="D114" s="1"/>
  <c r="D157"/>
  <c r="D167" s="1"/>
  <c r="D184" s="1"/>
  <c r="D266"/>
  <c r="D276" s="1"/>
  <c r="D105"/>
  <c r="D124" s="1"/>
  <c r="D134" s="1"/>
  <c r="D151" s="1"/>
  <c r="C211"/>
  <c r="D343" i="16"/>
  <c r="D357" s="1"/>
  <c r="D358" s="1"/>
  <c r="S75" i="17"/>
  <c r="T70"/>
  <c r="S71"/>
  <c r="B297" i="16"/>
  <c r="B308" s="1"/>
  <c r="B310" s="1"/>
  <c r="D156" i="6"/>
  <c r="B178"/>
  <c r="B108"/>
  <c r="B231" s="1"/>
  <c r="B241" s="1"/>
  <c r="B258" s="1"/>
  <c r="B193"/>
  <c r="B203" s="1"/>
  <c r="B220" s="1"/>
  <c r="B248" i="16"/>
  <c r="B249" s="1"/>
  <c r="H417" i="18" s="1"/>
  <c r="H457" s="1"/>
  <c r="B241" i="16"/>
  <c r="C108" i="6"/>
  <c r="C231" s="1"/>
  <c r="C241" s="1"/>
  <c r="C107"/>
  <c r="B287"/>
  <c r="B295"/>
  <c r="D142"/>
  <c r="D150"/>
  <c r="D249"/>
  <c r="D257"/>
  <c r="D256"/>
  <c r="D248"/>
  <c r="B157"/>
  <c r="B167" s="1"/>
  <c r="B267"/>
  <c r="B277" s="1"/>
  <c r="B101"/>
  <c r="B113" s="1"/>
  <c r="B122"/>
  <c r="B132" s="1"/>
  <c r="B123"/>
  <c r="B133" s="1"/>
  <c r="B158"/>
  <c r="B168" s="1"/>
  <c r="B266"/>
  <c r="B276" s="1"/>
  <c r="D176"/>
  <c r="D293"/>
  <c r="D285"/>
  <c r="D212"/>
  <c r="D220"/>
  <c r="C29" i="16"/>
  <c r="D317"/>
  <c r="D98" i="10"/>
  <c r="D106"/>
  <c r="D309" i="16"/>
  <c r="D318" s="1"/>
  <c r="C76" i="10"/>
  <c r="C79"/>
  <c r="C86"/>
  <c r="B192" i="6"/>
  <c r="D113"/>
  <c r="D121"/>
  <c r="B212"/>
  <c r="B213"/>
  <c r="B221"/>
  <c r="B104" i="10"/>
  <c r="B108" s="1"/>
  <c r="B96"/>
  <c r="B100" s="1"/>
  <c r="B90"/>
  <c r="B87"/>
  <c r="B80"/>
  <c r="C395" i="16"/>
  <c r="C388"/>
  <c r="C66"/>
  <c r="C60"/>
  <c r="B331"/>
  <c r="B325"/>
  <c r="D410"/>
  <c r="C228" i="6"/>
  <c r="C265"/>
  <c r="C98" i="10"/>
  <c r="C106"/>
  <c r="C310" i="16"/>
  <c r="C317"/>
  <c r="B248" i="6"/>
  <c r="B256"/>
  <c r="B249"/>
  <c r="B257"/>
  <c r="C121"/>
  <c r="C166"/>
  <c r="B131"/>
  <c r="C411" i="16"/>
  <c r="C404"/>
  <c r="C52"/>
  <c r="C325"/>
  <c r="C331"/>
  <c r="B156" i="6"/>
  <c r="D166"/>
  <c r="D160"/>
  <c r="D349" i="16" l="1"/>
  <c r="D363" s="1"/>
  <c r="D364" s="1"/>
  <c r="D107" i="6"/>
  <c r="D108"/>
  <c r="D231" s="1"/>
  <c r="D241" s="1"/>
  <c r="P107" i="2"/>
  <c r="M248"/>
  <c r="L355"/>
  <c r="M272"/>
  <c r="L379"/>
  <c r="M262"/>
  <c r="L369"/>
  <c r="L214"/>
  <c r="K321"/>
  <c r="K35"/>
  <c r="L359"/>
  <c r="M252"/>
  <c r="M246"/>
  <c r="L353"/>
  <c r="N153"/>
  <c r="M367"/>
  <c r="Q114"/>
  <c r="Q328" s="1"/>
  <c r="P328"/>
  <c r="L16" i="3"/>
  <c r="N109" i="2"/>
  <c r="M15"/>
  <c r="L192"/>
  <c r="K299"/>
  <c r="M188"/>
  <c r="L295"/>
  <c r="E82" i="16"/>
  <c r="Q87" i="2"/>
  <c r="Q301" s="1"/>
  <c r="P301"/>
  <c r="L38" i="4"/>
  <c r="K58"/>
  <c r="L216" i="2"/>
  <c r="K323"/>
  <c r="J36" i="3"/>
  <c r="J55" i="2"/>
  <c r="J56" i="3" s="1"/>
  <c r="L112" i="2"/>
  <c r="K16"/>
  <c r="K17" i="3" s="1"/>
  <c r="K326" i="2"/>
  <c r="J15" i="6"/>
  <c r="I72"/>
  <c r="C254" i="16"/>
  <c r="C247"/>
  <c r="D212"/>
  <c r="D217" s="1"/>
  <c r="D229" s="1"/>
  <c r="D239" s="1"/>
  <c r="D247" s="1"/>
  <c r="C216"/>
  <c r="C228" s="1"/>
  <c r="E191"/>
  <c r="C238"/>
  <c r="P131" i="2"/>
  <c r="J58"/>
  <c r="J59" i="3" s="1"/>
  <c r="J39"/>
  <c r="L232" i="2"/>
  <c r="K339"/>
  <c r="K38"/>
  <c r="L228"/>
  <c r="K335"/>
  <c r="J37" i="3"/>
  <c r="J56" i="2"/>
  <c r="J57" i="3" s="1"/>
  <c r="L222" i="2"/>
  <c r="K329"/>
  <c r="K36"/>
  <c r="J15" i="3"/>
  <c r="J54" i="2"/>
  <c r="J55" i="3" s="1"/>
  <c r="L102" i="2"/>
  <c r="K316"/>
  <c r="K14"/>
  <c r="J31" i="3"/>
  <c r="J50" i="2"/>
  <c r="J51" i="3" s="1"/>
  <c r="L190" i="2"/>
  <c r="K297"/>
  <c r="K30"/>
  <c r="N13" i="4"/>
  <c r="M14" i="3"/>
  <c r="L11" i="4"/>
  <c r="K51"/>
  <c r="E39" i="6"/>
  <c r="E28"/>
  <c r="E83" s="1"/>
  <c r="E33"/>
  <c r="E88" s="1"/>
  <c r="J21" i="2"/>
  <c r="J48"/>
  <c r="E21" i="6"/>
  <c r="E23"/>
  <c r="L176" i="2"/>
  <c r="K283"/>
  <c r="K27"/>
  <c r="K47" s="1"/>
  <c r="M242"/>
  <c r="L349"/>
  <c r="N240"/>
  <c r="M347"/>
  <c r="L357"/>
  <c r="M250"/>
  <c r="N140"/>
  <c r="M354"/>
  <c r="N244"/>
  <c r="M351"/>
  <c r="M156"/>
  <c r="L370"/>
  <c r="M258"/>
  <c r="L365"/>
  <c r="L238"/>
  <c r="K345"/>
  <c r="K39"/>
  <c r="N18" i="3"/>
  <c r="P117" i="2"/>
  <c r="O17"/>
  <c r="O97"/>
  <c r="N311"/>
  <c r="N13"/>
  <c r="N53" s="1"/>
  <c r="L96"/>
  <c r="K310"/>
  <c r="Q89"/>
  <c r="Q303" s="1"/>
  <c r="P303"/>
  <c r="K39" i="4"/>
  <c r="J59"/>
  <c r="J40" i="3"/>
  <c r="J60" i="2"/>
  <c r="J61" i="3" s="1"/>
  <c r="J41"/>
  <c r="C74" i="6"/>
  <c r="C75" s="1"/>
  <c r="C105"/>
  <c r="C124" s="1"/>
  <c r="C134" s="1"/>
  <c r="D30"/>
  <c r="D36"/>
  <c r="D25"/>
  <c r="G121" i="17"/>
  <c r="H92"/>
  <c r="G137"/>
  <c r="M132"/>
  <c r="M103"/>
  <c r="D27" i="16"/>
  <c r="J58" i="3"/>
  <c r="J53"/>
  <c r="D216" i="16"/>
  <c r="D228" s="1"/>
  <c r="E170"/>
  <c r="E172"/>
  <c r="E174"/>
  <c r="E81"/>
  <c r="E77"/>
  <c r="E91" s="1"/>
  <c r="E169"/>
  <c r="J59" i="2"/>
  <c r="J60" i="3" s="1"/>
  <c r="J20"/>
  <c r="L130" i="2"/>
  <c r="K344"/>
  <c r="K19"/>
  <c r="L224"/>
  <c r="K331"/>
  <c r="K37"/>
  <c r="K57" s="1"/>
  <c r="N212"/>
  <c r="M319"/>
  <c r="M34"/>
  <c r="M35" i="3" s="1"/>
  <c r="L92" i="2"/>
  <c r="K306"/>
  <c r="K12"/>
  <c r="K52" s="1"/>
  <c r="L37" i="4"/>
  <c r="K57"/>
  <c r="K58" i="3" s="1"/>
  <c r="L12" i="4"/>
  <c r="K52"/>
  <c r="K13" i="3"/>
  <c r="J52"/>
  <c r="E23" i="10"/>
  <c r="L187" i="2"/>
  <c r="K294"/>
  <c r="F22" i="6" s="1"/>
  <c r="K29" i="2"/>
  <c r="K49" s="1"/>
  <c r="L183"/>
  <c r="K28"/>
  <c r="K290"/>
  <c r="L74"/>
  <c r="K288"/>
  <c r="K8"/>
  <c r="K48" s="1"/>
  <c r="J41"/>
  <c r="J47"/>
  <c r="E19" i="6"/>
  <c r="E20"/>
  <c r="M254" i="2"/>
  <c r="L361"/>
  <c r="G132" i="17"/>
  <c r="H74"/>
  <c r="S74" s="1"/>
  <c r="G103"/>
  <c r="M19" i="3"/>
  <c r="O123" i="2"/>
  <c r="N337"/>
  <c r="N18"/>
  <c r="L226"/>
  <c r="K333"/>
  <c r="P115"/>
  <c r="L88"/>
  <c r="K302"/>
  <c r="K11"/>
  <c r="K51" s="1"/>
  <c r="L33" i="4"/>
  <c r="K34" i="3"/>
  <c r="K53" i="4"/>
  <c r="K54" i="3" s="1"/>
  <c r="N76" i="2"/>
  <c r="N136"/>
  <c r="M350"/>
  <c r="Q134"/>
  <c r="Q348" s="1"/>
  <c r="P348"/>
  <c r="N245"/>
  <c r="M352"/>
  <c r="M274"/>
  <c r="L381"/>
  <c r="K380"/>
  <c r="F266" i="16" s="1"/>
  <c r="L273" i="2"/>
  <c r="M266"/>
  <c r="L373"/>
  <c r="C193" i="16"/>
  <c r="C209"/>
  <c r="C218" s="1"/>
  <c r="C230" s="1"/>
  <c r="C240" s="1"/>
  <c r="C178" i="6"/>
  <c r="C186"/>
  <c r="D28" i="16"/>
  <c r="D33" s="1"/>
  <c r="D43" s="1"/>
  <c r="D52" s="1"/>
  <c r="D97" i="6"/>
  <c r="D95" s="1"/>
  <c r="D92"/>
  <c r="D90" s="1"/>
  <c r="D178" i="16"/>
  <c r="D177"/>
  <c r="D84"/>
  <c r="D271"/>
  <c r="D97"/>
  <c r="D205" s="1"/>
  <c r="D83"/>
  <c r="D347"/>
  <c r="F342"/>
  <c r="E168"/>
  <c r="E192" s="1"/>
  <c r="E22" i="10"/>
  <c r="E24" s="1"/>
  <c r="E47" s="1"/>
  <c r="E49" s="1"/>
  <c r="J38" i="3"/>
  <c r="J13"/>
  <c r="E76" i="16"/>
  <c r="E173"/>
  <c r="E75"/>
  <c r="D23" i="10"/>
  <c r="D46" s="1"/>
  <c r="D57" s="1"/>
  <c r="D75" s="1"/>
  <c r="E175" i="16"/>
  <c r="F82"/>
  <c r="E171"/>
  <c r="E185" s="1"/>
  <c r="F80"/>
  <c r="C46"/>
  <c r="C59"/>
  <c r="B265" i="6"/>
  <c r="D143"/>
  <c r="E24" i="16"/>
  <c r="E28" s="1"/>
  <c r="E33" s="1"/>
  <c r="B214" i="6"/>
  <c r="B317" i="16"/>
  <c r="B330" s="1"/>
  <c r="B332" s="1"/>
  <c r="B250" i="6"/>
  <c r="D254" i="16"/>
  <c r="D411"/>
  <c r="C123"/>
  <c r="C122"/>
  <c r="C133" s="1"/>
  <c r="C121"/>
  <c r="C132" s="1"/>
  <c r="C141" s="1"/>
  <c r="E97"/>
  <c r="E179"/>
  <c r="E178"/>
  <c r="E184"/>
  <c r="E206" s="1"/>
  <c r="E180"/>
  <c r="E177"/>
  <c r="E194" s="1"/>
  <c r="E181"/>
  <c r="E200" s="1"/>
  <c r="E201" s="1"/>
  <c r="E183"/>
  <c r="E204" s="1"/>
  <c r="E182"/>
  <c r="E202" s="1"/>
  <c r="E203" s="1"/>
  <c r="H535" i="18"/>
  <c r="H623" s="1"/>
  <c r="H657" s="1"/>
  <c r="E272" i="16"/>
  <c r="E285" s="1"/>
  <c r="E83"/>
  <c r="E100" s="1"/>
  <c r="E84"/>
  <c r="E85"/>
  <c r="E86"/>
  <c r="E87"/>
  <c r="E106" s="1"/>
  <c r="E88"/>
  <c r="E108" s="1"/>
  <c r="E89"/>
  <c r="E110" s="1"/>
  <c r="E90"/>
  <c r="E112" s="1"/>
  <c r="C134"/>
  <c r="C143" s="1"/>
  <c r="E74"/>
  <c r="E98" s="1"/>
  <c r="F356"/>
  <c r="F369" s="1"/>
  <c r="F280"/>
  <c r="F293" s="1"/>
  <c r="F298" s="1"/>
  <c r="H27" i="4"/>
  <c r="G41"/>
  <c r="G42" i="3" s="1"/>
  <c r="G28"/>
  <c r="N60" i="4"/>
  <c r="O20"/>
  <c r="H130" i="17"/>
  <c r="H101"/>
  <c r="F345" i="16"/>
  <c r="F344"/>
  <c r="F268"/>
  <c r="F72"/>
  <c r="F341"/>
  <c r="F343" s="1"/>
  <c r="F357" s="1"/>
  <c r="F22"/>
  <c r="F346"/>
  <c r="F270"/>
  <c r="F265"/>
  <c r="F267" s="1"/>
  <c r="F281" s="1"/>
  <c r="F282" s="1"/>
  <c r="K382" i="2"/>
  <c r="F269" i="16"/>
  <c r="O165" i="2"/>
  <c r="O163"/>
  <c r="N377"/>
  <c r="M160"/>
  <c r="L374"/>
  <c r="N158"/>
  <c r="M372"/>
  <c r="O155"/>
  <c r="M152"/>
  <c r="L366"/>
  <c r="N150"/>
  <c r="M364"/>
  <c r="P148"/>
  <c r="O362"/>
  <c r="O142"/>
  <c r="N356"/>
  <c r="Q166"/>
  <c r="P164"/>
  <c r="O378"/>
  <c r="P162"/>
  <c r="O376"/>
  <c r="P154"/>
  <c r="O368"/>
  <c r="I47" i="4"/>
  <c r="H61"/>
  <c r="H62" i="3" s="1"/>
  <c r="H48"/>
  <c r="I14" i="6"/>
  <c r="E347" i="16"/>
  <c r="E350"/>
  <c r="E118"/>
  <c r="E123" s="1"/>
  <c r="E302"/>
  <c r="E303" s="1"/>
  <c r="E379"/>
  <c r="E380" s="1"/>
  <c r="E301"/>
  <c r="E381"/>
  <c r="E378"/>
  <c r="E222"/>
  <c r="E223" s="1"/>
  <c r="E48" i="6"/>
  <c r="E104" s="1"/>
  <c r="E221" i="16"/>
  <c r="E224"/>
  <c r="E66" i="10"/>
  <c r="E127" i="16"/>
  <c r="E128" s="1"/>
  <c r="E38"/>
  <c r="E43" s="1"/>
  <c r="E52" s="1"/>
  <c r="E64" s="1"/>
  <c r="E65" i="10"/>
  <c r="E126" i="16"/>
  <c r="E39"/>
  <c r="E40" s="1"/>
  <c r="F23"/>
  <c r="F73"/>
  <c r="D149" i="6"/>
  <c r="D141"/>
  <c r="M101" i="17"/>
  <c r="M130"/>
  <c r="T72"/>
  <c r="H8" i="4"/>
  <c r="G9" i="3"/>
  <c r="M102" i="17"/>
  <c r="M131"/>
  <c r="T73"/>
  <c r="H136"/>
  <c r="H120"/>
  <c r="H8" i="3"/>
  <c r="I7" i="4"/>
  <c r="K60" i="2"/>
  <c r="K61" i="3" s="1"/>
  <c r="K21"/>
  <c r="K21" i="2"/>
  <c r="M144"/>
  <c r="L358"/>
  <c r="L20"/>
  <c r="L168"/>
  <c r="P161"/>
  <c r="O375"/>
  <c r="N264"/>
  <c r="M371"/>
  <c r="N256"/>
  <c r="M363"/>
  <c r="M146"/>
  <c r="L360"/>
  <c r="Q143"/>
  <c r="Q167"/>
  <c r="Q159"/>
  <c r="Q151"/>
  <c r="K41" i="3"/>
  <c r="K41" i="2"/>
  <c r="O147"/>
  <c r="H100" i="17"/>
  <c r="H129"/>
  <c r="H9" i="4"/>
  <c r="G10" i="3"/>
  <c r="H28" i="4"/>
  <c r="G29" i="3"/>
  <c r="I49" i="4"/>
  <c r="H50" i="3"/>
  <c r="J29" i="4"/>
  <c r="I30" i="3"/>
  <c r="H104" i="17"/>
  <c r="H133"/>
  <c r="I48" i="4"/>
  <c r="H49" i="3"/>
  <c r="E274" i="16"/>
  <c r="E271"/>
  <c r="E27"/>
  <c r="E30" s="1"/>
  <c r="E35" s="1"/>
  <c r="E356"/>
  <c r="E358" s="1"/>
  <c r="E280"/>
  <c r="E293" s="1"/>
  <c r="E298" s="1"/>
  <c r="K25" i="1"/>
  <c r="L21"/>
  <c r="E362" i="16"/>
  <c r="B125" i="6"/>
  <c r="B114"/>
  <c r="B115"/>
  <c r="C195"/>
  <c r="C268"/>
  <c r="C278" s="1"/>
  <c r="C250"/>
  <c r="C258"/>
  <c r="B116"/>
  <c r="B117"/>
  <c r="B177"/>
  <c r="B185"/>
  <c r="B141"/>
  <c r="B149"/>
  <c r="B286"/>
  <c r="B294"/>
  <c r="B293"/>
  <c r="B285"/>
  <c r="B142"/>
  <c r="B150"/>
  <c r="B176"/>
  <c r="B184"/>
  <c r="B166"/>
  <c r="B160"/>
  <c r="C131"/>
  <c r="C324" i="16"/>
  <c r="C326" s="1"/>
  <c r="C319"/>
  <c r="C330"/>
  <c r="C332" s="1"/>
  <c r="B238" i="6"/>
  <c r="B232"/>
  <c r="C275"/>
  <c r="H487" i="18"/>
  <c r="H471"/>
  <c r="D131" i="6"/>
  <c r="D125"/>
  <c r="C104" i="10"/>
  <c r="C108" s="1"/>
  <c r="C96"/>
  <c r="C100" s="1"/>
  <c r="C90"/>
  <c r="C87"/>
  <c r="C80"/>
  <c r="D331" i="16"/>
  <c r="D325"/>
  <c r="D330"/>
  <c r="D324"/>
  <c r="D238"/>
  <c r="D183" i="6"/>
  <c r="D187" s="1"/>
  <c r="D175"/>
  <c r="D179" s="1"/>
  <c r="D170"/>
  <c r="C64" i="16"/>
  <c r="C67" s="1"/>
  <c r="C58"/>
  <c r="C61" s="1"/>
  <c r="C55"/>
  <c r="B140" i="6"/>
  <c r="B135"/>
  <c r="B148"/>
  <c r="C175"/>
  <c r="C183"/>
  <c r="B275"/>
  <c r="B269"/>
  <c r="C238"/>
  <c r="C246" i="16"/>
  <c r="C253"/>
  <c r="C241"/>
  <c r="C403"/>
  <c r="C406" s="1"/>
  <c r="C410"/>
  <c r="C413" s="1"/>
  <c r="C398"/>
  <c r="B97" i="10"/>
  <c r="B101" s="1"/>
  <c r="B91"/>
  <c r="B105"/>
  <c r="B109" s="1"/>
  <c r="B202" i="6"/>
  <c r="B196"/>
  <c r="D258" l="1"/>
  <c r="D250"/>
  <c r="D195"/>
  <c r="D205" s="1"/>
  <c r="D268"/>
  <c r="D278" s="1"/>
  <c r="M112" i="2"/>
  <c r="L326"/>
  <c r="L16"/>
  <c r="L17" i="3" s="1"/>
  <c r="M216" i="2"/>
  <c r="L323"/>
  <c r="M38" i="4"/>
  <c r="L58"/>
  <c r="M16" i="3"/>
  <c r="O109" i="2"/>
  <c r="N15"/>
  <c r="N367"/>
  <c r="O153"/>
  <c r="M353"/>
  <c r="N246"/>
  <c r="Q107"/>
  <c r="K53" i="3"/>
  <c r="K38"/>
  <c r="J72" i="6"/>
  <c r="K15"/>
  <c r="K72" s="1"/>
  <c r="N188" i="2"/>
  <c r="M295"/>
  <c r="M192"/>
  <c r="L299"/>
  <c r="M359"/>
  <c r="N252"/>
  <c r="K36" i="3"/>
  <c r="K55" i="2"/>
  <c r="K56" i="3" s="1"/>
  <c r="M214" i="2"/>
  <c r="L321"/>
  <c r="L35"/>
  <c r="N262"/>
  <c r="M369"/>
  <c r="N272"/>
  <c r="M379"/>
  <c r="M355"/>
  <c r="N248"/>
  <c r="D58" i="16"/>
  <c r="D64"/>
  <c r="E205"/>
  <c r="E195"/>
  <c r="E207"/>
  <c r="D207"/>
  <c r="D192" i="6"/>
  <c r="D115"/>
  <c r="D351" i="16"/>
  <c r="D359"/>
  <c r="D99"/>
  <c r="D103"/>
  <c r="D107"/>
  <c r="D111"/>
  <c r="D105"/>
  <c r="D109"/>
  <c r="D113"/>
  <c r="D186"/>
  <c r="D194"/>
  <c r="C255"/>
  <c r="C248"/>
  <c r="M273" i="2"/>
  <c r="L40"/>
  <c r="L41" i="3" s="1"/>
  <c r="L380" i="2"/>
  <c r="G75" i="16" s="1"/>
  <c r="M33" i="4"/>
  <c r="L34" i="3"/>
  <c r="L53" i="4"/>
  <c r="L54" i="3" s="1"/>
  <c r="Q115" i="2"/>
  <c r="M226"/>
  <c r="L333"/>
  <c r="E37" i="6"/>
  <c r="E26"/>
  <c r="E81" s="1"/>
  <c r="E31"/>
  <c r="E86" s="1"/>
  <c r="M74" i="2"/>
  <c r="L288"/>
  <c r="L8"/>
  <c r="M187"/>
  <c r="L294"/>
  <c r="G22" i="6" s="1"/>
  <c r="L29" i="2"/>
  <c r="L49" s="1"/>
  <c r="M37" i="4"/>
  <c r="L57"/>
  <c r="O212" i="2"/>
  <c r="N319"/>
  <c r="N34"/>
  <c r="N35" i="3" s="1"/>
  <c r="K59" i="2"/>
  <c r="K20" i="3"/>
  <c r="M130" i="2"/>
  <c r="L344"/>
  <c r="L19"/>
  <c r="D30" i="16"/>
  <c r="D35" s="1"/>
  <c r="D45" s="1"/>
  <c r="D54" s="1"/>
  <c r="D29"/>
  <c r="H137" i="17"/>
  <c r="H121"/>
  <c r="C122" i="6"/>
  <c r="C266"/>
  <c r="C276" s="1"/>
  <c r="C123"/>
  <c r="C133" s="1"/>
  <c r="C194"/>
  <c r="C204" s="1"/>
  <c r="C101"/>
  <c r="C193"/>
  <c r="C203" s="1"/>
  <c r="C229"/>
  <c r="C157"/>
  <c r="C267"/>
  <c r="C277" s="1"/>
  <c r="C230"/>
  <c r="C240" s="1"/>
  <c r="C158"/>
  <c r="C168" s="1"/>
  <c r="P97" i="2"/>
  <c r="O311"/>
  <c r="O13"/>
  <c r="O53" s="1"/>
  <c r="M238"/>
  <c r="L345"/>
  <c r="L39"/>
  <c r="M365"/>
  <c r="N258"/>
  <c r="N156"/>
  <c r="M370"/>
  <c r="N351"/>
  <c r="O244"/>
  <c r="O140"/>
  <c r="N354"/>
  <c r="G171" i="16"/>
  <c r="G77"/>
  <c r="G172"/>
  <c r="G185" s="1"/>
  <c r="G78"/>
  <c r="G91" s="1"/>
  <c r="O240" i="2"/>
  <c r="N347"/>
  <c r="N242"/>
  <c r="M349"/>
  <c r="M40"/>
  <c r="M41" i="3" s="1"/>
  <c r="F19" i="6"/>
  <c r="F20"/>
  <c r="E29"/>
  <c r="E74" s="1"/>
  <c r="E75" s="1"/>
  <c r="E34"/>
  <c r="E40"/>
  <c r="E93"/>
  <c r="E98"/>
  <c r="K52" i="3"/>
  <c r="O13" i="4"/>
  <c r="N14" i="3"/>
  <c r="K54" i="2"/>
  <c r="K55" i="3" s="1"/>
  <c r="K15"/>
  <c r="M102" i="2"/>
  <c r="L316"/>
  <c r="L14"/>
  <c r="K58"/>
  <c r="K59" i="3" s="1"/>
  <c r="K39"/>
  <c r="M232" i="2"/>
  <c r="L339"/>
  <c r="L38"/>
  <c r="Q131"/>
  <c r="C256" i="16"/>
  <c r="G342"/>
  <c r="G167"/>
  <c r="G80"/>
  <c r="F172"/>
  <c r="F77"/>
  <c r="F91" s="1"/>
  <c r="G166"/>
  <c r="G168" s="1"/>
  <c r="G192" s="1"/>
  <c r="G176"/>
  <c r="F81"/>
  <c r="G79"/>
  <c r="F79"/>
  <c r="D199"/>
  <c r="F167"/>
  <c r="F22" i="10"/>
  <c r="F24" s="1"/>
  <c r="F47" s="1"/>
  <c r="F49" s="1"/>
  <c r="F169" i="16"/>
  <c r="F76"/>
  <c r="F173"/>
  <c r="C231"/>
  <c r="E193"/>
  <c r="D76" i="10"/>
  <c r="D79"/>
  <c r="D86"/>
  <c r="D228" i="6"/>
  <c r="D116"/>
  <c r="D265"/>
  <c r="D117"/>
  <c r="D92" i="16"/>
  <c r="D100"/>
  <c r="D116" s="1"/>
  <c r="D275"/>
  <c r="D283"/>
  <c r="M373" i="2"/>
  <c r="N266"/>
  <c r="M381"/>
  <c r="N274"/>
  <c r="N352"/>
  <c r="O245"/>
  <c r="O136"/>
  <c r="N350"/>
  <c r="O76"/>
  <c r="M88"/>
  <c r="L302"/>
  <c r="L11"/>
  <c r="L51" s="1"/>
  <c r="N19" i="3"/>
  <c r="P123" i="2"/>
  <c r="O337"/>
  <c r="O18"/>
  <c r="H103" i="17"/>
  <c r="H132"/>
  <c r="N254" i="2"/>
  <c r="M361"/>
  <c r="E36" i="6"/>
  <c r="E25"/>
  <c r="E30"/>
  <c r="F21"/>
  <c r="F23"/>
  <c r="M183" i="2"/>
  <c r="L28"/>
  <c r="L290"/>
  <c r="F39" i="6"/>
  <c r="F33"/>
  <c r="F88" s="1"/>
  <c r="F28"/>
  <c r="F83" s="1"/>
  <c r="M12" i="4"/>
  <c r="L52"/>
  <c r="M92" i="2"/>
  <c r="L306"/>
  <c r="L12"/>
  <c r="L52" s="1"/>
  <c r="M224"/>
  <c r="L331"/>
  <c r="L37"/>
  <c r="L57" s="1"/>
  <c r="C151" i="6"/>
  <c r="C143"/>
  <c r="L39" i="4"/>
  <c r="K59"/>
  <c r="F23" i="10" s="1"/>
  <c r="F46" s="1"/>
  <c r="F57" s="1"/>
  <c r="F75" s="1"/>
  <c r="K40" i="3"/>
  <c r="M96" i="2"/>
  <c r="L310"/>
  <c r="O18" i="3"/>
  <c r="Q117" i="2"/>
  <c r="P17"/>
  <c r="M357"/>
  <c r="N250"/>
  <c r="G175" i="16"/>
  <c r="G81"/>
  <c r="M176" i="2"/>
  <c r="L283"/>
  <c r="L27"/>
  <c r="L275"/>
  <c r="E38" i="6"/>
  <c r="E32"/>
  <c r="E87" s="1"/>
  <c r="E27"/>
  <c r="E82" s="1"/>
  <c r="M11" i="4"/>
  <c r="L51"/>
  <c r="L12" i="3"/>
  <c r="K31"/>
  <c r="K50" i="2"/>
  <c r="K51" i="3" s="1"/>
  <c r="M190" i="2"/>
  <c r="L297"/>
  <c r="L30"/>
  <c r="K56"/>
  <c r="K57" i="3" s="1"/>
  <c r="K37"/>
  <c r="M222" i="2"/>
  <c r="L329"/>
  <c r="L36"/>
  <c r="M228"/>
  <c r="L335"/>
  <c r="C249" i="16"/>
  <c r="D201"/>
  <c r="D118"/>
  <c r="D123" s="1"/>
  <c r="D134" s="1"/>
  <c r="D143" s="1"/>
  <c r="G174"/>
  <c r="F78"/>
  <c r="F171"/>
  <c r="F185" s="1"/>
  <c r="G82"/>
  <c r="F166"/>
  <c r="F168" s="1"/>
  <c r="F192" s="1"/>
  <c r="F175"/>
  <c r="E46" i="10"/>
  <c r="E57" s="1"/>
  <c r="E75" s="1"/>
  <c r="F174" i="16"/>
  <c r="D203"/>
  <c r="D197"/>
  <c r="D34"/>
  <c r="D44" s="1"/>
  <c r="J61" i="2"/>
  <c r="J82" i="1" s="1"/>
  <c r="K12" i="3"/>
  <c r="F75" i="16"/>
  <c r="F170"/>
  <c r="G173"/>
  <c r="F176"/>
  <c r="E212"/>
  <c r="E196"/>
  <c r="E210" s="1"/>
  <c r="E186"/>
  <c r="E102"/>
  <c r="E116" s="1"/>
  <c r="E92"/>
  <c r="B324"/>
  <c r="B326" s="1"/>
  <c r="B319"/>
  <c r="E309"/>
  <c r="E318" s="1"/>
  <c r="E45"/>
  <c r="E54" s="1"/>
  <c r="E60" s="1"/>
  <c r="E198"/>
  <c r="E199" s="1"/>
  <c r="C154"/>
  <c r="C148"/>
  <c r="E104"/>
  <c r="E99"/>
  <c r="E101"/>
  <c r="E105"/>
  <c r="E107"/>
  <c r="E109"/>
  <c r="E111"/>
  <c r="E113"/>
  <c r="F97"/>
  <c r="E122"/>
  <c r="E133" s="1"/>
  <c r="E142" s="1"/>
  <c r="F180"/>
  <c r="F182"/>
  <c r="F202" s="1"/>
  <c r="F183"/>
  <c r="F204" s="1"/>
  <c r="F205" s="1"/>
  <c r="F178"/>
  <c r="F184"/>
  <c r="F206" s="1"/>
  <c r="F207" s="1"/>
  <c r="F177"/>
  <c r="F194" s="1"/>
  <c r="F179"/>
  <c r="F181"/>
  <c r="F200" s="1"/>
  <c r="C156"/>
  <c r="C150"/>
  <c r="F83"/>
  <c r="F100" s="1"/>
  <c r="F84"/>
  <c r="F85"/>
  <c r="F86"/>
  <c r="F87"/>
  <c r="F106" s="1"/>
  <c r="F88"/>
  <c r="F108" s="1"/>
  <c r="F89"/>
  <c r="F110" s="1"/>
  <c r="F90"/>
  <c r="F112" s="1"/>
  <c r="C142"/>
  <c r="C135"/>
  <c r="F74"/>
  <c r="F98" s="1"/>
  <c r="E58"/>
  <c r="E288"/>
  <c r="E369"/>
  <c r="E374" s="1"/>
  <c r="E386" s="1"/>
  <c r="E396" s="1"/>
  <c r="E404" s="1"/>
  <c r="F349"/>
  <c r="F363" s="1"/>
  <c r="F364" s="1"/>
  <c r="F271"/>
  <c r="F283" s="1"/>
  <c r="F284" s="1"/>
  <c r="F347"/>
  <c r="F359" s="1"/>
  <c r="F360" s="1"/>
  <c r="F374"/>
  <c r="F373"/>
  <c r="G356"/>
  <c r="G369" s="1"/>
  <c r="L25" i="1"/>
  <c r="M21"/>
  <c r="J48" i="4"/>
  <c r="I49" i="3"/>
  <c r="K29" i="4"/>
  <c r="J30" i="3"/>
  <c r="J49" i="4"/>
  <c r="I50" i="3"/>
  <c r="I28" i="4"/>
  <c r="H29" i="3"/>
  <c r="H10"/>
  <c r="I9" i="4"/>
  <c r="P147" i="2"/>
  <c r="N146"/>
  <c r="M360"/>
  <c r="O256"/>
  <c r="N363"/>
  <c r="O264"/>
  <c r="N371"/>
  <c r="P375"/>
  <c r="Q161"/>
  <c r="Q375" s="1"/>
  <c r="L21"/>
  <c r="L60"/>
  <c r="L61" i="3" s="1"/>
  <c r="L21"/>
  <c r="N144" i="2"/>
  <c r="M358"/>
  <c r="M20"/>
  <c r="M168"/>
  <c r="H9" i="3"/>
  <c r="I8" i="4"/>
  <c r="F27" i="16"/>
  <c r="F30" s="1"/>
  <c r="F35" s="1"/>
  <c r="E359"/>
  <c r="E351"/>
  <c r="J14" i="6"/>
  <c r="J47" i="4"/>
  <c r="I61"/>
  <c r="I62" i="3" s="1"/>
  <c r="I48"/>
  <c r="F274" i="16"/>
  <c r="F272"/>
  <c r="P20" i="4"/>
  <c r="O60"/>
  <c r="F302" i="16"/>
  <c r="F303" s="1"/>
  <c r="F309" s="1"/>
  <c r="F48" i="6"/>
  <c r="F104" s="1"/>
  <c r="F38" i="16"/>
  <c r="F224"/>
  <c r="F66" i="10"/>
  <c r="F39" i="16"/>
  <c r="F40" s="1"/>
  <c r="F126"/>
  <c r="F65" i="10"/>
  <c r="F222" i="16"/>
  <c r="F223" s="1"/>
  <c r="F378"/>
  <c r="F379"/>
  <c r="F380" s="1"/>
  <c r="F381"/>
  <c r="F127"/>
  <c r="F128" s="1"/>
  <c r="F221"/>
  <c r="F301"/>
  <c r="E29"/>
  <c r="E34"/>
  <c r="E44" s="1"/>
  <c r="E283"/>
  <c r="E275"/>
  <c r="G344"/>
  <c r="G268"/>
  <c r="G269"/>
  <c r="G72"/>
  <c r="G346"/>
  <c r="G341"/>
  <c r="G343" s="1"/>
  <c r="G357" s="1"/>
  <c r="L382" i="2"/>
  <c r="G345" i="16"/>
  <c r="G22"/>
  <c r="G270"/>
  <c r="G265"/>
  <c r="J7" i="4"/>
  <c r="I8" i="3"/>
  <c r="F118" i="16"/>
  <c r="F123" s="1"/>
  <c r="E105" i="6"/>
  <c r="E124" s="1"/>
  <c r="E108"/>
  <c r="E106"/>
  <c r="E107"/>
  <c r="P368" i="2"/>
  <c r="Q154"/>
  <c r="Q368" s="1"/>
  <c r="P376"/>
  <c r="Q162"/>
  <c r="Q376" s="1"/>
  <c r="P378"/>
  <c r="Q164"/>
  <c r="Q378" s="1"/>
  <c r="P142"/>
  <c r="O356"/>
  <c r="P362"/>
  <c r="Q148"/>
  <c r="Q362" s="1"/>
  <c r="O150"/>
  <c r="N364"/>
  <c r="N152"/>
  <c r="M366"/>
  <c r="P155"/>
  <c r="O158"/>
  <c r="N372"/>
  <c r="N160"/>
  <c r="M374"/>
  <c r="P163"/>
  <c r="O377"/>
  <c r="P165"/>
  <c r="F348" i="16"/>
  <c r="F350"/>
  <c r="I27" i="4"/>
  <c r="H41"/>
  <c r="H42" i="3" s="1"/>
  <c r="H28"/>
  <c r="H21" i="4"/>
  <c r="H22" i="3" s="1"/>
  <c r="F24" i="16"/>
  <c r="F28" s="1"/>
  <c r="F33" s="1"/>
  <c r="G73"/>
  <c r="B144" i="6"/>
  <c r="H418" i="18" s="1"/>
  <c r="E297" i="16"/>
  <c r="E308" s="1"/>
  <c r="E317" s="1"/>
  <c r="K61" i="2"/>
  <c r="K82" i="1" s="1"/>
  <c r="E282" i="16"/>
  <c r="E364"/>
  <c r="E286"/>
  <c r="E77" i="10"/>
  <c r="E134" i="16"/>
  <c r="E143" s="1"/>
  <c r="F273"/>
  <c r="F287" s="1"/>
  <c r="F288" s="1"/>
  <c r="F358"/>
  <c r="F297"/>
  <c r="B152" i="6"/>
  <c r="H441" i="18" s="1"/>
  <c r="C269" i="6"/>
  <c r="C287"/>
  <c r="C295"/>
  <c r="C205"/>
  <c r="C196"/>
  <c r="B211"/>
  <c r="B215" s="1"/>
  <c r="B219"/>
  <c r="B223" s="1"/>
  <c r="B206"/>
  <c r="H444" i="18"/>
  <c r="H421"/>
  <c r="I440"/>
  <c r="D253" i="16"/>
  <c r="D246"/>
  <c r="C91" i="10"/>
  <c r="C97"/>
  <c r="C101" s="1"/>
  <c r="C105"/>
  <c r="C109" s="1"/>
  <c r="C284" i="6"/>
  <c r="C279"/>
  <c r="C292"/>
  <c r="C140"/>
  <c r="C148"/>
  <c r="B170"/>
  <c r="B175"/>
  <c r="B179" s="1"/>
  <c r="B183"/>
  <c r="B187" s="1"/>
  <c r="E325" i="16"/>
  <c r="E331"/>
  <c r="I417" i="18"/>
  <c r="C247" i="6"/>
  <c r="C255"/>
  <c r="B292"/>
  <c r="B296" s="1"/>
  <c r="B279"/>
  <c r="B284"/>
  <c r="B288" s="1"/>
  <c r="D140"/>
  <c r="D144" s="1"/>
  <c r="D148"/>
  <c r="D152" s="1"/>
  <c r="D135"/>
  <c r="B247"/>
  <c r="B251" s="1"/>
  <c r="B255"/>
  <c r="B259" s="1"/>
  <c r="B242"/>
  <c r="D214" l="1"/>
  <c r="D222"/>
  <c r="D295"/>
  <c r="D287"/>
  <c r="O272" i="2"/>
  <c r="N379"/>
  <c r="O262"/>
  <c r="N369"/>
  <c r="O252"/>
  <c r="N359"/>
  <c r="N112"/>
  <c r="M326"/>
  <c r="M16"/>
  <c r="M17" i="3" s="1"/>
  <c r="I97" i="26"/>
  <c r="I102" s="1"/>
  <c r="I97" i="29"/>
  <c r="I102" s="1"/>
  <c r="I97" i="30"/>
  <c r="I102" s="1"/>
  <c r="I96" i="29"/>
  <c r="I101" s="1"/>
  <c r="O248" i="2"/>
  <c r="N355"/>
  <c r="L36" i="3"/>
  <c r="L55" i="2"/>
  <c r="L56" i="3" s="1"/>
  <c r="N214" i="2"/>
  <c r="M35"/>
  <c r="M321"/>
  <c r="N192"/>
  <c r="M299"/>
  <c r="O188"/>
  <c r="N295"/>
  <c r="O246"/>
  <c r="N353"/>
  <c r="O367"/>
  <c r="P153"/>
  <c r="N16" i="3"/>
  <c r="P109" i="2"/>
  <c r="O15"/>
  <c r="N38" i="4"/>
  <c r="M58"/>
  <c r="N216" i="2"/>
  <c r="M323"/>
  <c r="L13" i="3"/>
  <c r="E149" i="16"/>
  <c r="E155"/>
  <c r="E103"/>
  <c r="E115" s="1"/>
  <c r="E197"/>
  <c r="E209" s="1"/>
  <c r="E218" s="1"/>
  <c r="F86" i="10"/>
  <c r="F76"/>
  <c r="F87" s="1"/>
  <c r="E217" i="16"/>
  <c r="E229" s="1"/>
  <c r="E239" s="1"/>
  <c r="E216"/>
  <c r="E228" s="1"/>
  <c r="E238" s="1"/>
  <c r="J74" i="1"/>
  <c r="J72"/>
  <c r="D53" i="16"/>
  <c r="D46"/>
  <c r="E86" i="10"/>
  <c r="E76"/>
  <c r="E87" s="1"/>
  <c r="N228" i="2"/>
  <c r="M335"/>
  <c r="L31" i="3"/>
  <c r="L50" i="2"/>
  <c r="L51" i="3" s="1"/>
  <c r="N190" i="2"/>
  <c r="M297"/>
  <c r="M30"/>
  <c r="L52" i="3"/>
  <c r="E97" i="6"/>
  <c r="E92"/>
  <c r="L47" i="2"/>
  <c r="L41"/>
  <c r="N176"/>
  <c r="M283"/>
  <c r="M27"/>
  <c r="M275"/>
  <c r="O250"/>
  <c r="N357"/>
  <c r="P18" i="3"/>
  <c r="Q17" i="2"/>
  <c r="N96"/>
  <c r="M310"/>
  <c r="N224"/>
  <c r="M37"/>
  <c r="M57" s="1"/>
  <c r="M331"/>
  <c r="N12" i="4"/>
  <c r="M52"/>
  <c r="N183" i="2"/>
  <c r="M28"/>
  <c r="M290"/>
  <c r="F38" i="6"/>
  <c r="F32"/>
  <c r="F87" s="1"/>
  <c r="F27"/>
  <c r="F82" s="1"/>
  <c r="O19" i="3"/>
  <c r="Q123" i="2"/>
  <c r="P337"/>
  <c r="P18"/>
  <c r="P245"/>
  <c r="O352"/>
  <c r="O274"/>
  <c r="N381"/>
  <c r="N373"/>
  <c r="O266"/>
  <c r="D291" i="16"/>
  <c r="D296" s="1"/>
  <c r="D307" s="1"/>
  <c r="D284"/>
  <c r="D290" s="1"/>
  <c r="D90" i="10"/>
  <c r="D96"/>
  <c r="D100" s="1"/>
  <c r="D104"/>
  <c r="D108" s="1"/>
  <c r="D87"/>
  <c r="D80"/>
  <c r="L15" i="3"/>
  <c r="L54" i="2"/>
  <c r="L55" i="3" s="1"/>
  <c r="N102" i="2"/>
  <c r="M316"/>
  <c r="M14"/>
  <c r="E194" i="6"/>
  <c r="E204" s="1"/>
  <c r="E122"/>
  <c r="E132" s="1"/>
  <c r="E229"/>
  <c r="E239" s="1"/>
  <c r="E157"/>
  <c r="E167" s="1"/>
  <c r="E266"/>
  <c r="E276" s="1"/>
  <c r="E267"/>
  <c r="E277" s="1"/>
  <c r="E193"/>
  <c r="E203" s="1"/>
  <c r="E123"/>
  <c r="E133" s="1"/>
  <c r="E230"/>
  <c r="E240" s="1"/>
  <c r="E158"/>
  <c r="E168" s="1"/>
  <c r="E101"/>
  <c r="F30"/>
  <c r="F25"/>
  <c r="F36"/>
  <c r="P244" i="2"/>
  <c r="O351"/>
  <c r="N365"/>
  <c r="O258"/>
  <c r="N238"/>
  <c r="M39"/>
  <c r="M345"/>
  <c r="C185" i="6"/>
  <c r="C177"/>
  <c r="C294"/>
  <c r="C286"/>
  <c r="C239"/>
  <c r="C232"/>
  <c r="C114"/>
  <c r="C113"/>
  <c r="C116"/>
  <c r="C117"/>
  <c r="C115"/>
  <c r="C142"/>
  <c r="C150"/>
  <c r="C132"/>
  <c r="C125"/>
  <c r="D60" i="16"/>
  <c r="D66"/>
  <c r="P212" i="2"/>
  <c r="O319"/>
  <c r="O34"/>
  <c r="O35" i="3" s="1"/>
  <c r="N187" i="2"/>
  <c r="M294"/>
  <c r="H22" i="6" s="1"/>
  <c r="M29" i="2"/>
  <c r="M49" s="1"/>
  <c r="G23" i="6"/>
  <c r="G21"/>
  <c r="E96"/>
  <c r="E95" s="1"/>
  <c r="E91"/>
  <c r="E90" s="1"/>
  <c r="E192" s="1"/>
  <c r="E202" s="1"/>
  <c r="N226" i="2"/>
  <c r="M333"/>
  <c r="N33" i="4"/>
  <c r="M34" i="3"/>
  <c r="M53" i="4"/>
  <c r="M54" i="3" s="1"/>
  <c r="D210" i="16"/>
  <c r="D215" s="1"/>
  <c r="D227" s="1"/>
  <c r="D195"/>
  <c r="D209" s="1"/>
  <c r="D218" s="1"/>
  <c r="D230" s="1"/>
  <c r="D240" s="1"/>
  <c r="D196" i="6"/>
  <c r="D202"/>
  <c r="L61" i="2"/>
  <c r="L82" i="1" s="1"/>
  <c r="E215" i="16"/>
  <c r="L58" i="3"/>
  <c r="E85" i="6"/>
  <c r="E156" s="1"/>
  <c r="E166" s="1"/>
  <c r="D122" i="16"/>
  <c r="D133" s="1"/>
  <c r="D142" s="1"/>
  <c r="G170"/>
  <c r="D150"/>
  <c r="D156"/>
  <c r="L56" i="2"/>
  <c r="L57" i="3" s="1"/>
  <c r="L37"/>
  <c r="N222" i="2"/>
  <c r="M36"/>
  <c r="M329"/>
  <c r="N11" i="4"/>
  <c r="M51"/>
  <c r="G19" i="6"/>
  <c r="G20"/>
  <c r="M39" i="4"/>
  <c r="L59"/>
  <c r="G23" i="10" s="1"/>
  <c r="L40" i="3"/>
  <c r="N92" i="2"/>
  <c r="M306"/>
  <c r="M12"/>
  <c r="M52" s="1"/>
  <c r="F98" i="6"/>
  <c r="F93"/>
  <c r="F29"/>
  <c r="F74" s="1"/>
  <c r="F75" s="1"/>
  <c r="F34"/>
  <c r="F40"/>
  <c r="O254" i="2"/>
  <c r="N361"/>
  <c r="N88"/>
  <c r="M302"/>
  <c r="M11"/>
  <c r="M51" s="1"/>
  <c r="P76"/>
  <c r="P136"/>
  <c r="O350"/>
  <c r="D269" i="6"/>
  <c r="D275"/>
  <c r="D232"/>
  <c r="D238"/>
  <c r="F191" i="16"/>
  <c r="F193" s="1"/>
  <c r="G191"/>
  <c r="G193" s="1"/>
  <c r="L58" i="2"/>
  <c r="L59" i="3" s="1"/>
  <c r="L39"/>
  <c r="N232" i="2"/>
  <c r="M339"/>
  <c r="M38"/>
  <c r="P13" i="4"/>
  <c r="O14" i="3"/>
  <c r="F26" i="6"/>
  <c r="F81" s="1"/>
  <c r="F37"/>
  <c r="F31"/>
  <c r="F86" s="1"/>
  <c r="F85" s="1"/>
  <c r="F156" s="1"/>
  <c r="F166" s="1"/>
  <c r="O242" i="2"/>
  <c r="N349"/>
  <c r="P240"/>
  <c r="O347"/>
  <c r="P140"/>
  <c r="O354"/>
  <c r="O156"/>
  <c r="N370"/>
  <c r="Q97"/>
  <c r="P311"/>
  <c r="P13"/>
  <c r="P53" s="1"/>
  <c r="C257" i="6"/>
  <c r="C249"/>
  <c r="C167"/>
  <c r="C160"/>
  <c r="C212"/>
  <c r="C220"/>
  <c r="C213"/>
  <c r="C221"/>
  <c r="C293"/>
  <c r="C285"/>
  <c r="L20" i="3"/>
  <c r="L59" i="2"/>
  <c r="L60" i="3" s="1"/>
  <c r="N130" i="2"/>
  <c r="M344"/>
  <c r="M19"/>
  <c r="N37" i="4"/>
  <c r="M57"/>
  <c r="M58" i="3" s="1"/>
  <c r="M38"/>
  <c r="G39" i="6"/>
  <c r="G28"/>
  <c r="G83" s="1"/>
  <c r="G33"/>
  <c r="G88" s="1"/>
  <c r="N74" i="2"/>
  <c r="M288"/>
  <c r="M8"/>
  <c r="M48" s="1"/>
  <c r="G23" i="16"/>
  <c r="G27" s="1"/>
  <c r="G30" s="1"/>
  <c r="G35" s="1"/>
  <c r="G266"/>
  <c r="G280" s="1"/>
  <c r="G293" s="1"/>
  <c r="N273" i="2"/>
  <c r="M380"/>
  <c r="D367" i="16"/>
  <c r="D372" s="1"/>
  <c r="D384" s="1"/>
  <c r="D360"/>
  <c r="D366" s="1"/>
  <c r="D375" s="1"/>
  <c r="D387" s="1"/>
  <c r="D397" s="1"/>
  <c r="G22" i="10"/>
  <c r="G24" s="1"/>
  <c r="G47" s="1"/>
  <c r="G49" s="1"/>
  <c r="H166" i="16"/>
  <c r="H82"/>
  <c r="H80"/>
  <c r="L53" i="3"/>
  <c r="F80" i="6"/>
  <c r="F121" s="1"/>
  <c r="F131" s="1"/>
  <c r="D121" i="16"/>
  <c r="D132" s="1"/>
  <c r="K60" i="3"/>
  <c r="L38"/>
  <c r="L48" i="2"/>
  <c r="E80" i="6"/>
  <c r="D101" i="16"/>
  <c r="D115" s="1"/>
  <c r="G76"/>
  <c r="G84" s="1"/>
  <c r="G169"/>
  <c r="F102"/>
  <c r="F116" s="1"/>
  <c r="F92"/>
  <c r="F201"/>
  <c r="F195"/>
  <c r="F203"/>
  <c r="F196"/>
  <c r="F186"/>
  <c r="E66"/>
  <c r="F198"/>
  <c r="F199" s="1"/>
  <c r="E121"/>
  <c r="F104"/>
  <c r="F105" s="1"/>
  <c r="F122"/>
  <c r="G97"/>
  <c r="F99"/>
  <c r="F101"/>
  <c r="F107"/>
  <c r="F109"/>
  <c r="F111"/>
  <c r="F113"/>
  <c r="G177"/>
  <c r="G194" s="1"/>
  <c r="G183"/>
  <c r="G204" s="1"/>
  <c r="G180"/>
  <c r="G182"/>
  <c r="G202" s="1"/>
  <c r="G181"/>
  <c r="G179"/>
  <c r="G196" s="1"/>
  <c r="G178"/>
  <c r="G184"/>
  <c r="G206" s="1"/>
  <c r="G83"/>
  <c r="G100" s="1"/>
  <c r="G85"/>
  <c r="G102" s="1"/>
  <c r="G86"/>
  <c r="G87"/>
  <c r="G106" s="1"/>
  <c r="G88"/>
  <c r="G108" s="1"/>
  <c r="I116" s="1"/>
  <c r="G89"/>
  <c r="G110" s="1"/>
  <c r="G90"/>
  <c r="G112" s="1"/>
  <c r="G74"/>
  <c r="G98" s="1"/>
  <c r="C155"/>
  <c r="C157" s="1"/>
  <c r="I439" i="18" s="1"/>
  <c r="C144" i="16"/>
  <c r="C149"/>
  <c r="C151" s="1"/>
  <c r="I416" i="18" s="1"/>
  <c r="I534" s="1"/>
  <c r="I622" s="1"/>
  <c r="I656" s="1"/>
  <c r="E411" i="16"/>
  <c r="E373"/>
  <c r="E385" s="1"/>
  <c r="E395" s="1"/>
  <c r="E403" s="1"/>
  <c r="F43"/>
  <c r="F52" s="1"/>
  <c r="G298"/>
  <c r="G297"/>
  <c r="G374"/>
  <c r="G373"/>
  <c r="E247"/>
  <c r="E254"/>
  <c r="K72" i="1"/>
  <c r="K74"/>
  <c r="E253" i="16"/>
  <c r="E246"/>
  <c r="J27" i="4"/>
  <c r="I41"/>
  <c r="I42" i="3" s="1"/>
  <c r="I28"/>
  <c r="F351" i="16"/>
  <c r="F361"/>
  <c r="Q165" i="2"/>
  <c r="P377"/>
  <c r="Q163"/>
  <c r="Q377" s="1"/>
  <c r="O160"/>
  <c r="N374"/>
  <c r="P158"/>
  <c r="O372"/>
  <c r="Q155"/>
  <c r="O152"/>
  <c r="N366"/>
  <c r="P150"/>
  <c r="O364"/>
  <c r="P356"/>
  <c r="Q142"/>
  <c r="E116" i="6"/>
  <c r="E231"/>
  <c r="J8" i="3"/>
  <c r="K7" i="4"/>
  <c r="G274" i="16"/>
  <c r="G272"/>
  <c r="E53"/>
  <c r="E46"/>
  <c r="P60" i="4"/>
  <c r="Q20"/>
  <c r="E367" i="16"/>
  <c r="E372" s="1"/>
  <c r="E384" s="1"/>
  <c r="E360"/>
  <c r="E366" s="1"/>
  <c r="E375" s="1"/>
  <c r="E387" s="1"/>
  <c r="E397" s="1"/>
  <c r="M60" i="2"/>
  <c r="M61" i="3" s="1"/>
  <c r="M21" i="2"/>
  <c r="M21" i="3"/>
  <c r="O144" i="2"/>
  <c r="N358"/>
  <c r="N168"/>
  <c r="N20"/>
  <c r="J9" i="4"/>
  <c r="I10" i="3"/>
  <c r="M25" i="1"/>
  <c r="N21"/>
  <c r="E156" i="16"/>
  <c r="E150"/>
  <c r="E88" i="10"/>
  <c r="E79"/>
  <c r="E80"/>
  <c r="E324" i="16"/>
  <c r="E330"/>
  <c r="H266"/>
  <c r="E195" i="6"/>
  <c r="E268"/>
  <c r="E117"/>
  <c r="E115"/>
  <c r="E159"/>
  <c r="E114"/>
  <c r="E134"/>
  <c r="F133" i="16"/>
  <c r="F142" s="1"/>
  <c r="F134"/>
  <c r="F143" s="1"/>
  <c r="F156" s="1"/>
  <c r="G350"/>
  <c r="G348"/>
  <c r="E291"/>
  <c r="E296" s="1"/>
  <c r="E307" s="1"/>
  <c r="E284"/>
  <c r="E290" s="1"/>
  <c r="F105" i="6"/>
  <c r="F124" s="1"/>
  <c r="F106"/>
  <c r="F107"/>
  <c r="F108"/>
  <c r="F275" i="16"/>
  <c r="F285"/>
  <c r="K47" i="4"/>
  <c r="J61"/>
  <c r="J62" i="3" s="1"/>
  <c r="J48"/>
  <c r="K14" i="6"/>
  <c r="I9" i="3"/>
  <c r="J8" i="4"/>
  <c r="H268" i="16"/>
  <c r="H344"/>
  <c r="H269"/>
  <c r="H72"/>
  <c r="H341"/>
  <c r="H22"/>
  <c r="M382" i="2"/>
  <c r="H345" i="16"/>
  <c r="H270"/>
  <c r="H346"/>
  <c r="H265"/>
  <c r="H267" s="1"/>
  <c r="H281" s="1"/>
  <c r="L72" i="1"/>
  <c r="L74"/>
  <c r="P264" i="2"/>
  <c r="O371"/>
  <c r="P256"/>
  <c r="O363"/>
  <c r="O146"/>
  <c r="N360"/>
  <c r="Q147"/>
  <c r="J28" i="4"/>
  <c r="I29" i="3"/>
  <c r="K49" i="4"/>
  <c r="J50" i="3"/>
  <c r="L29" i="4"/>
  <c r="K30" i="3"/>
  <c r="K48" i="4"/>
  <c r="J49" i="3"/>
  <c r="E230" i="16"/>
  <c r="E240" s="1"/>
  <c r="E227"/>
  <c r="E132"/>
  <c r="G302"/>
  <c r="G303" s="1"/>
  <c r="G381"/>
  <c r="G379"/>
  <c r="G301"/>
  <c r="G378"/>
  <c r="G222"/>
  <c r="G223" s="1"/>
  <c r="G221"/>
  <c r="G224"/>
  <c r="G65" i="10"/>
  <c r="G126" i="16"/>
  <c r="G39"/>
  <c r="G40" s="1"/>
  <c r="G38"/>
  <c r="G48" i="6"/>
  <c r="G104" s="1"/>
  <c r="G66" i="10"/>
  <c r="G127" i="16"/>
  <c r="G128" s="1"/>
  <c r="G273"/>
  <c r="G287" s="1"/>
  <c r="G288" s="1"/>
  <c r="G349"/>
  <c r="G363" s="1"/>
  <c r="G364" s="1"/>
  <c r="G347"/>
  <c r="G359" s="1"/>
  <c r="G360" s="1"/>
  <c r="G380"/>
  <c r="F45"/>
  <c r="F54" s="1"/>
  <c r="F29"/>
  <c r="F386"/>
  <c r="F396" s="1"/>
  <c r="F308"/>
  <c r="F317" s="1"/>
  <c r="I21" i="4"/>
  <c r="I22" i="3" s="1"/>
  <c r="G358" i="16"/>
  <c r="G271"/>
  <c r="G283" s="1"/>
  <c r="G284" s="1"/>
  <c r="F77" i="10"/>
  <c r="F34" i="16"/>
  <c r="F44" s="1"/>
  <c r="F53" s="1"/>
  <c r="G34"/>
  <c r="G44" s="1"/>
  <c r="G53" s="1"/>
  <c r="H73"/>
  <c r="F385"/>
  <c r="F395" s="1"/>
  <c r="C296" i="6"/>
  <c r="C214"/>
  <c r="C215" s="1"/>
  <c r="I419" i="18" s="1"/>
  <c r="C222" i="6"/>
  <c r="C223" s="1"/>
  <c r="I442" i="18" s="1"/>
  <c r="C206" i="6"/>
  <c r="C288"/>
  <c r="H443" i="18"/>
  <c r="H450" s="1"/>
  <c r="J441"/>
  <c r="I535"/>
  <c r="I623" s="1"/>
  <c r="I457"/>
  <c r="I421"/>
  <c r="H442"/>
  <c r="H420"/>
  <c r="J418"/>
  <c r="I444"/>
  <c r="H458"/>
  <c r="H536"/>
  <c r="H624" s="1"/>
  <c r="H658" s="1"/>
  <c r="H82" i="27"/>
  <c r="H83"/>
  <c r="H419" i="18"/>
  <c r="F318" i="16"/>
  <c r="I95" i="30" l="1"/>
  <c r="I95" i="29"/>
  <c r="I96" i="26"/>
  <c r="I101" s="1"/>
  <c r="I96" i="30"/>
  <c r="I101" s="1"/>
  <c r="O216" i="2"/>
  <c r="N323"/>
  <c r="O38" i="4"/>
  <c r="N58"/>
  <c r="P367" i="2"/>
  <c r="Q153"/>
  <c r="Q367" s="1"/>
  <c r="O214"/>
  <c r="N35"/>
  <c r="N321"/>
  <c r="O355"/>
  <c r="P248"/>
  <c r="O112"/>
  <c r="N326"/>
  <c r="N16"/>
  <c r="N17" i="3" s="1"/>
  <c r="P252" i="2"/>
  <c r="O359"/>
  <c r="P262"/>
  <c r="O369"/>
  <c r="P272"/>
  <c r="O379"/>
  <c r="O16" i="3"/>
  <c r="Q109" i="2"/>
  <c r="P15"/>
  <c r="O353"/>
  <c r="P246"/>
  <c r="P188"/>
  <c r="O295"/>
  <c r="O192"/>
  <c r="N299"/>
  <c r="M36" i="3"/>
  <c r="M55" i="2"/>
  <c r="M56" i="3" s="1"/>
  <c r="G207" i="16"/>
  <c r="G197"/>
  <c r="G205"/>
  <c r="G212"/>
  <c r="G217" s="1"/>
  <c r="G46" i="10"/>
  <c r="G57" s="1"/>
  <c r="G75" s="1"/>
  <c r="G76" s="1"/>
  <c r="G87" s="1"/>
  <c r="F183" i="6"/>
  <c r="F175"/>
  <c r="G86" i="10"/>
  <c r="F148" i="6"/>
  <c r="F140"/>
  <c r="D405" i="16"/>
  <c r="D412"/>
  <c r="H342"/>
  <c r="H356" s="1"/>
  <c r="H369" s="1"/>
  <c r="H23"/>
  <c r="H27" s="1"/>
  <c r="H30" s="1"/>
  <c r="H35" s="1"/>
  <c r="O74" i="2"/>
  <c r="N288"/>
  <c r="N8"/>
  <c r="O37" i="4"/>
  <c r="N57"/>
  <c r="Q311" i="2"/>
  <c r="Q13"/>
  <c r="Q53" s="1"/>
  <c r="O370"/>
  <c r="P156"/>
  <c r="P354"/>
  <c r="Q140"/>
  <c r="Q354" s="1"/>
  <c r="Q240"/>
  <c r="Q347" s="1"/>
  <c r="P347"/>
  <c r="P242"/>
  <c r="O349"/>
  <c r="F96" i="6"/>
  <c r="F91"/>
  <c r="Q13" i="4"/>
  <c r="P14" i="3"/>
  <c r="D247" i="6"/>
  <c r="D251" s="1"/>
  <c r="J420" i="18" s="1"/>
  <c r="D242" i="6"/>
  <c r="J95" i="26" s="1"/>
  <c r="D255" i="6"/>
  <c r="D259" s="1"/>
  <c r="J443" i="18" s="1"/>
  <c r="D279" i="6"/>
  <c r="D292"/>
  <c r="D296" s="1"/>
  <c r="D284"/>
  <c r="D288" s="1"/>
  <c r="O88" i="2"/>
  <c r="N302"/>
  <c r="N11"/>
  <c r="N51" s="1"/>
  <c r="P254"/>
  <c r="O361"/>
  <c r="O92"/>
  <c r="N306"/>
  <c r="N12"/>
  <c r="N52" s="1"/>
  <c r="G37" i="6"/>
  <c r="G31"/>
  <c r="G86" s="1"/>
  <c r="G26"/>
  <c r="G81" s="1"/>
  <c r="O11" i="4"/>
  <c r="N51"/>
  <c r="M56" i="2"/>
  <c r="M57" i="3" s="1"/>
  <c r="M37"/>
  <c r="D206" i="6"/>
  <c r="D211"/>
  <c r="D215" s="1"/>
  <c r="J419" i="18" s="1"/>
  <c r="D219" i="6"/>
  <c r="D223" s="1"/>
  <c r="J442" i="18" s="1"/>
  <c r="D248" i="16"/>
  <c r="D255"/>
  <c r="O33" i="4"/>
  <c r="N34" i="3"/>
  <c r="N53" i="4"/>
  <c r="N54" i="3" s="1"/>
  <c r="O226" i="2"/>
  <c r="N333"/>
  <c r="E228" i="6"/>
  <c r="E238" s="1"/>
  <c r="E265"/>
  <c r="E275" s="1"/>
  <c r="G29"/>
  <c r="G74" s="1"/>
  <c r="G75" s="1"/>
  <c r="G40"/>
  <c r="G34"/>
  <c r="H39"/>
  <c r="H28"/>
  <c r="H83" s="1"/>
  <c r="H33"/>
  <c r="H88" s="1"/>
  <c r="Q212" i="2"/>
  <c r="P319"/>
  <c r="P34"/>
  <c r="P35" i="3" s="1"/>
  <c r="C149" i="6"/>
  <c r="C152" s="1"/>
  <c r="I441" i="18" s="1"/>
  <c r="C141" i="6"/>
  <c r="C144" s="1"/>
  <c r="I418" i="18" s="1"/>
  <c r="C135" i="6"/>
  <c r="O238" i="2"/>
  <c r="N39"/>
  <c r="N345"/>
  <c r="P351"/>
  <c r="Q244"/>
  <c r="Q351" s="1"/>
  <c r="E177" i="6"/>
  <c r="E185"/>
  <c r="E150"/>
  <c r="E142"/>
  <c r="E286"/>
  <c r="E294"/>
  <c r="E184"/>
  <c r="E176"/>
  <c r="E149"/>
  <c r="E141"/>
  <c r="M54" i="2"/>
  <c r="M55" i="3" s="1"/>
  <c r="M15"/>
  <c r="O102" i="2"/>
  <c r="N316"/>
  <c r="N14"/>
  <c r="D105" i="10"/>
  <c r="D109" s="1"/>
  <c r="J444" i="18" s="1"/>
  <c r="D91" i="10"/>
  <c r="D97"/>
  <c r="D101" s="1"/>
  <c r="J421" i="18" s="1"/>
  <c r="P266" i="2"/>
  <c r="O373"/>
  <c r="P19" i="3"/>
  <c r="Q337" i="2"/>
  <c r="Q18"/>
  <c r="O183"/>
  <c r="N28"/>
  <c r="N290"/>
  <c r="O224"/>
  <c r="N37"/>
  <c r="N57" s="1"/>
  <c r="N331"/>
  <c r="O96"/>
  <c r="N310"/>
  <c r="Q18" i="3"/>
  <c r="O357" i="2"/>
  <c r="P250"/>
  <c r="M47"/>
  <c r="M41"/>
  <c r="M61" s="1"/>
  <c r="M82" i="1" s="1"/>
  <c r="O176" i="2"/>
  <c r="N283"/>
  <c r="N27"/>
  <c r="N275"/>
  <c r="E105" i="10"/>
  <c r="E97"/>
  <c r="F104"/>
  <c r="F96"/>
  <c r="H24" i="16"/>
  <c r="G195"/>
  <c r="F103"/>
  <c r="F115" s="1"/>
  <c r="G216"/>
  <c r="F212"/>
  <c r="H173"/>
  <c r="H185" s="1"/>
  <c r="H79"/>
  <c r="H91" s="1"/>
  <c r="H77"/>
  <c r="M12" i="3"/>
  <c r="H169" i="16"/>
  <c r="H167"/>
  <c r="H168" s="1"/>
  <c r="H192" s="1"/>
  <c r="H174"/>
  <c r="G24"/>
  <c r="G28" s="1"/>
  <c r="H81"/>
  <c r="M53" i="3"/>
  <c r="H22" i="10"/>
  <c r="H24" s="1"/>
  <c r="H47" s="1"/>
  <c r="H49" s="1"/>
  <c r="H170" i="16"/>
  <c r="E121" i="6"/>
  <c r="E113"/>
  <c r="D135" i="16"/>
  <c r="D141"/>
  <c r="D394"/>
  <c r="D388"/>
  <c r="O273" i="2"/>
  <c r="N40"/>
  <c r="N41" i="3" s="1"/>
  <c r="N380" i="2"/>
  <c r="I82" i="16" s="1"/>
  <c r="H21" i="6"/>
  <c r="H23"/>
  <c r="G98"/>
  <c r="G93"/>
  <c r="M59" i="2"/>
  <c r="M20" i="3"/>
  <c r="O130" i="2"/>
  <c r="N344"/>
  <c r="N19"/>
  <c r="C184" i="6"/>
  <c r="C187" s="1"/>
  <c r="C176"/>
  <c r="C179" s="1"/>
  <c r="C170"/>
  <c r="I81" i="16"/>
  <c r="M39" i="3"/>
  <c r="M58" i="2"/>
  <c r="M59" i="3" s="1"/>
  <c r="O232" i="2"/>
  <c r="N339"/>
  <c r="N38"/>
  <c r="Q136"/>
  <c r="Q350" s="1"/>
  <c r="P350"/>
  <c r="Q76"/>
  <c r="F230" i="6"/>
  <c r="F240" s="1"/>
  <c r="F229"/>
  <c r="F239" s="1"/>
  <c r="F193"/>
  <c r="F203" s="1"/>
  <c r="F267"/>
  <c r="F277" s="1"/>
  <c r="F194"/>
  <c r="F204" s="1"/>
  <c r="F266"/>
  <c r="F276" s="1"/>
  <c r="F101"/>
  <c r="F113" s="1"/>
  <c r="F122"/>
  <c r="F132" s="1"/>
  <c r="F158"/>
  <c r="F168" s="1"/>
  <c r="F123"/>
  <c r="F133" s="1"/>
  <c r="F157"/>
  <c r="F167" s="1"/>
  <c r="N39" i="4"/>
  <c r="M59"/>
  <c r="H23" i="10" s="1"/>
  <c r="H46" s="1"/>
  <c r="H57" s="1"/>
  <c r="H75" s="1"/>
  <c r="M40" i="3"/>
  <c r="G25" i="6"/>
  <c r="G36"/>
  <c r="G30"/>
  <c r="M52" i="3"/>
  <c r="O222" i="2"/>
  <c r="N36"/>
  <c r="N329"/>
  <c r="D155" i="16"/>
  <c r="D149"/>
  <c r="E175" i="6"/>
  <c r="E183"/>
  <c r="D237" i="16"/>
  <c r="D231"/>
  <c r="E219" i="6"/>
  <c r="E211"/>
  <c r="G38"/>
  <c r="G27"/>
  <c r="G82" s="1"/>
  <c r="G32"/>
  <c r="G87" s="1"/>
  <c r="G85" s="1"/>
  <c r="G156" s="1"/>
  <c r="G166" s="1"/>
  <c r="O187" i="2"/>
  <c r="N294"/>
  <c r="I22" i="6" s="1"/>
  <c r="N29" i="2"/>
  <c r="N49" s="1"/>
  <c r="C256" i="6"/>
  <c r="C259" s="1"/>
  <c r="I443" i="18" s="1"/>
  <c r="C248" i="6"/>
  <c r="C251" s="1"/>
  <c r="I420" i="18" s="1"/>
  <c r="C242" i="6"/>
  <c r="I95" i="26" s="1"/>
  <c r="P258" i="2"/>
  <c r="O365"/>
  <c r="E257" i="6"/>
  <c r="E249"/>
  <c r="E212"/>
  <c r="E220"/>
  <c r="E293"/>
  <c r="E285"/>
  <c r="E248"/>
  <c r="E256"/>
  <c r="E221"/>
  <c r="E213"/>
  <c r="D316" i="16"/>
  <c r="D310"/>
  <c r="P274" i="2"/>
  <c r="O381"/>
  <c r="P352"/>
  <c r="Q245"/>
  <c r="Q352" s="1"/>
  <c r="F92" i="6"/>
  <c r="F97"/>
  <c r="O12" i="4"/>
  <c r="N52"/>
  <c r="N53" i="3" s="1"/>
  <c r="N13"/>
  <c r="I171" i="16"/>
  <c r="I77"/>
  <c r="I78"/>
  <c r="I172"/>
  <c r="H19" i="6"/>
  <c r="H20"/>
  <c r="M31" i="3"/>
  <c r="M50" i="2"/>
  <c r="M51" i="3" s="1"/>
  <c r="O190" i="2"/>
  <c r="N297"/>
  <c r="N30"/>
  <c r="O228"/>
  <c r="N335"/>
  <c r="E96" i="10"/>
  <c r="E104"/>
  <c r="D65" i="16"/>
  <c r="D67" s="1"/>
  <c r="D59"/>
  <c r="D61" s="1"/>
  <c r="D55"/>
  <c r="F105" i="10"/>
  <c r="F97"/>
  <c r="H343" i="16"/>
  <c r="H357" s="1"/>
  <c r="I80"/>
  <c r="I91" s="1"/>
  <c r="I167"/>
  <c r="H78"/>
  <c r="H172"/>
  <c r="H171"/>
  <c r="H179" s="1"/>
  <c r="H196" s="1"/>
  <c r="H75"/>
  <c r="H176"/>
  <c r="H184" s="1"/>
  <c r="H206" s="1"/>
  <c r="G267"/>
  <c r="G281" s="1"/>
  <c r="G282" s="1"/>
  <c r="I166"/>
  <c r="I176"/>
  <c r="H175"/>
  <c r="M13" i="3"/>
  <c r="H76" i="16"/>
  <c r="G104"/>
  <c r="G116" s="1"/>
  <c r="G92"/>
  <c r="G203"/>
  <c r="I210"/>
  <c r="F197"/>
  <c r="F209" s="1"/>
  <c r="F218" s="1"/>
  <c r="F230" s="1"/>
  <c r="F240" s="1"/>
  <c r="F210"/>
  <c r="F215" s="1"/>
  <c r="F227" s="1"/>
  <c r="G198"/>
  <c r="G186"/>
  <c r="I456" i="18"/>
  <c r="I470" s="1"/>
  <c r="G200" i="16"/>
  <c r="G201" s="1"/>
  <c r="H97"/>
  <c r="H118" s="1"/>
  <c r="H123" s="1"/>
  <c r="G99"/>
  <c r="G101"/>
  <c r="G103"/>
  <c r="G105"/>
  <c r="G115" s="1"/>
  <c r="G107"/>
  <c r="G109"/>
  <c r="G111"/>
  <c r="G113"/>
  <c r="F121"/>
  <c r="H178"/>
  <c r="H177"/>
  <c r="H194" s="1"/>
  <c r="H180"/>
  <c r="H198" s="1"/>
  <c r="H182"/>
  <c r="H202" s="1"/>
  <c r="H183"/>
  <c r="H204" s="1"/>
  <c r="H181"/>
  <c r="H186" s="1"/>
  <c r="I425" i="18"/>
  <c r="H35" i="28" s="1"/>
  <c r="G309" i="16"/>
  <c r="G318" s="1"/>
  <c r="H74"/>
  <c r="H98" s="1"/>
  <c r="H83"/>
  <c r="H100" s="1"/>
  <c r="H84"/>
  <c r="H85"/>
  <c r="H102" s="1"/>
  <c r="H86"/>
  <c r="H104" s="1"/>
  <c r="H87"/>
  <c r="H88"/>
  <c r="H108" s="1"/>
  <c r="H89"/>
  <c r="H110" s="1"/>
  <c r="H90"/>
  <c r="H112" s="1"/>
  <c r="E410"/>
  <c r="F150"/>
  <c r="H358"/>
  <c r="G385"/>
  <c r="G395" s="1"/>
  <c r="G410" s="1"/>
  <c r="G308"/>
  <c r="G317" s="1"/>
  <c r="G330" s="1"/>
  <c r="H34"/>
  <c r="F149"/>
  <c r="F155"/>
  <c r="E394"/>
  <c r="E388"/>
  <c r="H374"/>
  <c r="H373"/>
  <c r="F59"/>
  <c r="F65"/>
  <c r="F324"/>
  <c r="F330"/>
  <c r="F411"/>
  <c r="F404"/>
  <c r="G229"/>
  <c r="G239" s="1"/>
  <c r="G228"/>
  <c r="G238" s="1"/>
  <c r="E237"/>
  <c r="E231"/>
  <c r="H350"/>
  <c r="H348"/>
  <c r="K8" i="4"/>
  <c r="J9" i="3"/>
  <c r="L47" i="4"/>
  <c r="K61"/>
  <c r="K62" i="3" s="1"/>
  <c r="K48"/>
  <c r="F195" i="6"/>
  <c r="F268"/>
  <c r="F134"/>
  <c r="F125"/>
  <c r="E316" i="16"/>
  <c r="E310"/>
  <c r="E151" i="6"/>
  <c r="E143"/>
  <c r="E169"/>
  <c r="E160"/>
  <c r="E205"/>
  <c r="E196"/>
  <c r="H280" i="16"/>
  <c r="H302"/>
  <c r="H303" s="1"/>
  <c r="H126"/>
  <c r="H38"/>
  <c r="H378"/>
  <c r="H39"/>
  <c r="H40" s="1"/>
  <c r="H45" s="1"/>
  <c r="H54" s="1"/>
  <c r="H48" i="6"/>
  <c r="H104" s="1"/>
  <c r="H221" i="16"/>
  <c r="H127"/>
  <c r="H301"/>
  <c r="H222"/>
  <c r="H223" s="1"/>
  <c r="H224"/>
  <c r="H65" i="10"/>
  <c r="H381" i="16"/>
  <c r="H379"/>
  <c r="H380" s="1"/>
  <c r="H66" i="10"/>
  <c r="K9" i="4"/>
  <c r="K21" s="1"/>
  <c r="K22" i="3" s="1"/>
  <c r="J10"/>
  <c r="N60" i="2"/>
  <c r="N61" i="3" s="1"/>
  <c r="N21" i="2"/>
  <c r="N21" i="3"/>
  <c r="I268" i="16"/>
  <c r="I344"/>
  <c r="I269"/>
  <c r="I345"/>
  <c r="I346"/>
  <c r="I22"/>
  <c r="N382" i="2"/>
  <c r="I270" i="16"/>
  <c r="I265"/>
  <c r="I341"/>
  <c r="I72"/>
  <c r="Q60" i="4"/>
  <c r="G275" i="16"/>
  <c r="G285"/>
  <c r="L7" i="4"/>
  <c r="K8" i="3"/>
  <c r="P364" i="2"/>
  <c r="Q150"/>
  <c r="Q364" s="1"/>
  <c r="O366"/>
  <c r="P152"/>
  <c r="P372"/>
  <c r="Q158"/>
  <c r="Q372" s="1"/>
  <c r="O374"/>
  <c r="P160"/>
  <c r="G403" i="16"/>
  <c r="G324"/>
  <c r="F410"/>
  <c r="F403"/>
  <c r="G65"/>
  <c r="G59"/>
  <c r="F88" i="10"/>
  <c r="F80"/>
  <c r="F79"/>
  <c r="F60" i="16"/>
  <c r="F66"/>
  <c r="G108" i="6"/>
  <c r="G107"/>
  <c r="G105"/>
  <c r="G124" s="1"/>
  <c r="G106"/>
  <c r="E135" i="16"/>
  <c r="E141"/>
  <c r="E248"/>
  <c r="E255"/>
  <c r="L48" i="4"/>
  <c r="K49" i="3"/>
  <c r="M29" i="4"/>
  <c r="L30" i="3"/>
  <c r="L49" i="4"/>
  <c r="K50" i="3"/>
  <c r="K28" i="4"/>
  <c r="J29" i="3"/>
  <c r="O360" i="2"/>
  <c r="P146"/>
  <c r="Q256"/>
  <c r="Q363" s="1"/>
  <c r="P363"/>
  <c r="Q264"/>
  <c r="Q371" s="1"/>
  <c r="P371"/>
  <c r="H28" i="16"/>
  <c r="H29" s="1"/>
  <c r="H274"/>
  <c r="H272"/>
  <c r="F291"/>
  <c r="F296" s="1"/>
  <c r="F307" s="1"/>
  <c r="F286"/>
  <c r="F290" s="1"/>
  <c r="F231" i="6"/>
  <c r="F159"/>
  <c r="F114"/>
  <c r="G351" i="16"/>
  <c r="G361"/>
  <c r="E278" i="6"/>
  <c r="E269"/>
  <c r="F132" i="16"/>
  <c r="E106" i="10"/>
  <c r="E98"/>
  <c r="E90"/>
  <c r="E91"/>
  <c r="N25" i="1"/>
  <c r="O21"/>
  <c r="O358" i="2"/>
  <c r="P144"/>
  <c r="O168"/>
  <c r="O20"/>
  <c r="E412" i="16"/>
  <c r="E405"/>
  <c r="E65"/>
  <c r="E67" s="1"/>
  <c r="E59"/>
  <c r="E61" s="1"/>
  <c r="E55"/>
  <c r="E241" i="6"/>
  <c r="E232"/>
  <c r="Q356" i="2"/>
  <c r="I266" i="16"/>
  <c r="I342"/>
  <c r="I23"/>
  <c r="F362"/>
  <c r="F366" s="1"/>
  <c r="F375" s="1"/>
  <c r="F387" s="1"/>
  <c r="F397" s="1"/>
  <c r="F367"/>
  <c r="F372" s="1"/>
  <c r="F384" s="1"/>
  <c r="J28" i="3"/>
  <c r="K27" i="4"/>
  <c r="J41"/>
  <c r="J42" i="3" s="1"/>
  <c r="F55" i="16"/>
  <c r="F58"/>
  <c r="F64"/>
  <c r="H273"/>
  <c r="H287" s="1"/>
  <c r="H347"/>
  <c r="H359" s="1"/>
  <c r="H360" s="1"/>
  <c r="F46"/>
  <c r="G45"/>
  <c r="G54" s="1"/>
  <c r="G77" i="10"/>
  <c r="H349" i="16"/>
  <c r="H363" s="1"/>
  <c r="H364" s="1"/>
  <c r="H271"/>
  <c r="H283" s="1"/>
  <c r="H284" s="1"/>
  <c r="J21" i="4"/>
  <c r="J22" i="3" s="1"/>
  <c r="G118" i="16"/>
  <c r="G123" s="1"/>
  <c r="I73"/>
  <c r="G386"/>
  <c r="G396" s="1"/>
  <c r="I83" i="27"/>
  <c r="I157" s="1"/>
  <c r="I82"/>
  <c r="I156" s="1"/>
  <c r="I458" i="18"/>
  <c r="I536"/>
  <c r="I624" s="1"/>
  <c r="I658" s="1"/>
  <c r="I449"/>
  <c r="I450"/>
  <c r="F331" i="16"/>
  <c r="F325"/>
  <c r="H156" i="27"/>
  <c r="H88"/>
  <c r="H162" s="1"/>
  <c r="H472" i="18"/>
  <c r="H488"/>
  <c r="I486"/>
  <c r="J537"/>
  <c r="J625" s="1"/>
  <c r="J659" s="1"/>
  <c r="J459"/>
  <c r="I538"/>
  <c r="I626" s="1"/>
  <c r="I660" s="1"/>
  <c r="I460"/>
  <c r="J538"/>
  <c r="J626" s="1"/>
  <c r="J660" s="1"/>
  <c r="J460"/>
  <c r="I537"/>
  <c r="I625" s="1"/>
  <c r="I659" s="1"/>
  <c r="I459"/>
  <c r="I426"/>
  <c r="I427"/>
  <c r="H537"/>
  <c r="H625" s="1"/>
  <c r="H425"/>
  <c r="H459"/>
  <c r="H426"/>
  <c r="H157" i="27"/>
  <c r="G8" i="28" s="1"/>
  <c r="G16" s="1"/>
  <c r="H89" i="27"/>
  <c r="H163" s="1"/>
  <c r="H538" i="18"/>
  <c r="H626" s="1"/>
  <c r="H660" s="1"/>
  <c r="H460"/>
  <c r="H427"/>
  <c r="H448"/>
  <c r="H449"/>
  <c r="I487"/>
  <c r="I471"/>
  <c r="I657"/>
  <c r="I448"/>
  <c r="K97" i="26" l="1"/>
  <c r="K102" s="1"/>
  <c r="K97" i="30"/>
  <c r="K102" s="1"/>
  <c r="K97" i="29"/>
  <c r="K102" s="1"/>
  <c r="K96"/>
  <c r="K101" s="1"/>
  <c r="J95" i="30"/>
  <c r="J95" i="29"/>
  <c r="P353" i="2"/>
  <c r="Q246"/>
  <c r="Q353" s="1"/>
  <c r="P16" i="3"/>
  <c r="Q15" i="2"/>
  <c r="Q272"/>
  <c r="Q379" s="1"/>
  <c r="P379"/>
  <c r="Q262"/>
  <c r="Q369" s="1"/>
  <c r="P369"/>
  <c r="P359"/>
  <c r="Q252"/>
  <c r="Q359" s="1"/>
  <c r="P355"/>
  <c r="Q248"/>
  <c r="Q355" s="1"/>
  <c r="P214"/>
  <c r="O35"/>
  <c r="O321"/>
  <c r="P38" i="4"/>
  <c r="O58"/>
  <c r="P216" i="2"/>
  <c r="O323"/>
  <c r="I94" i="30"/>
  <c r="I100"/>
  <c r="I169" i="16"/>
  <c r="J96" i="29"/>
  <c r="J101" s="1"/>
  <c r="J97" i="26"/>
  <c r="J102" s="1"/>
  <c r="J97" i="30"/>
  <c r="J102" s="1"/>
  <c r="J97" i="29"/>
  <c r="J102" s="1"/>
  <c r="P192" i="2"/>
  <c r="O299"/>
  <c r="Q188"/>
  <c r="Q295" s="1"/>
  <c r="P295"/>
  <c r="P112"/>
  <c r="O326"/>
  <c r="O16"/>
  <c r="O17" i="3" s="1"/>
  <c r="N36"/>
  <c r="N55" i="2"/>
  <c r="N56" i="3" s="1"/>
  <c r="I94" i="29"/>
  <c r="I100"/>
  <c r="I175" i="16"/>
  <c r="I76"/>
  <c r="I168"/>
  <c r="I192" s="1"/>
  <c r="H207"/>
  <c r="H76" i="10"/>
  <c r="H87" s="1"/>
  <c r="H86"/>
  <c r="M72" i="1"/>
  <c r="M74"/>
  <c r="I191" i="16"/>
  <c r="I193" s="1"/>
  <c r="P228" i="2"/>
  <c r="O335"/>
  <c r="H37" i="6"/>
  <c r="H26"/>
  <c r="H81" s="1"/>
  <c r="H31"/>
  <c r="H86" s="1"/>
  <c r="P12" i="4"/>
  <c r="O52"/>
  <c r="Q274" i="2"/>
  <c r="Q381" s="1"/>
  <c r="P381"/>
  <c r="D323" i="16"/>
  <c r="D326" s="1"/>
  <c r="D329"/>
  <c r="D332" s="1"/>
  <c r="D319"/>
  <c r="Q258" i="2"/>
  <c r="Q365" s="1"/>
  <c r="P365"/>
  <c r="P187"/>
  <c r="O294"/>
  <c r="J22" i="6" s="1"/>
  <c r="O29" i="2"/>
  <c r="O49" s="1"/>
  <c r="P222"/>
  <c r="O36"/>
  <c r="O329"/>
  <c r="O39" i="4"/>
  <c r="N59"/>
  <c r="N40" i="3"/>
  <c r="F150" i="6"/>
  <c r="F142"/>
  <c r="F149"/>
  <c r="F141"/>
  <c r="F293"/>
  <c r="F285"/>
  <c r="F286"/>
  <c r="F294"/>
  <c r="F248"/>
  <c r="F256"/>
  <c r="N39" i="3"/>
  <c r="N58" i="2"/>
  <c r="N59" i="3" s="1"/>
  <c r="P232" i="2"/>
  <c r="O339"/>
  <c r="O38"/>
  <c r="H40" i="6"/>
  <c r="H29"/>
  <c r="H74" s="1"/>
  <c r="H75" s="1"/>
  <c r="H34"/>
  <c r="P273" i="2"/>
  <c r="O380"/>
  <c r="O40"/>
  <c r="O41" i="3" s="1"/>
  <c r="D409" i="16"/>
  <c r="D413" s="1"/>
  <c r="D402"/>
  <c r="D406" s="1"/>
  <c r="D398"/>
  <c r="E131" i="6"/>
  <c r="E125"/>
  <c r="G33" i="16"/>
  <c r="G43" s="1"/>
  <c r="G52" s="1"/>
  <c r="G29"/>
  <c r="H191"/>
  <c r="H193" s="1"/>
  <c r="F217"/>
  <c r="F229" s="1"/>
  <c r="F239" s="1"/>
  <c r="F216"/>
  <c r="F228" s="1"/>
  <c r="F238" s="1"/>
  <c r="N47" i="2"/>
  <c r="N41"/>
  <c r="P176"/>
  <c r="O283"/>
  <c r="O27"/>
  <c r="O275"/>
  <c r="J171" i="16"/>
  <c r="J77"/>
  <c r="J78"/>
  <c r="J172"/>
  <c r="P96" i="2"/>
  <c r="O310"/>
  <c r="P183"/>
  <c r="O28"/>
  <c r="O290"/>
  <c r="Q266"/>
  <c r="Q373" s="1"/>
  <c r="P373"/>
  <c r="N15" i="3"/>
  <c r="N54" i="2"/>
  <c r="N55" i="3" s="1"/>
  <c r="P102" i="2"/>
  <c r="O316"/>
  <c r="O14"/>
  <c r="H93" i="6"/>
  <c r="H98"/>
  <c r="E284"/>
  <c r="E292"/>
  <c r="P33" i="4"/>
  <c r="O34" i="3"/>
  <c r="O53" i="4"/>
  <c r="O54" i="3" s="1"/>
  <c r="J536" i="18"/>
  <c r="J624" s="1"/>
  <c r="J658" s="1"/>
  <c r="J458"/>
  <c r="P11" i="4"/>
  <c r="O51"/>
  <c r="P92" i="2"/>
  <c r="O306"/>
  <c r="O12"/>
  <c r="O52" s="1"/>
  <c r="Q254"/>
  <c r="Q361" s="1"/>
  <c r="P361"/>
  <c r="J100" i="26"/>
  <c r="Q14" i="3"/>
  <c r="Q242" i="2"/>
  <c r="P349"/>
  <c r="P40"/>
  <c r="P41" i="3" s="1"/>
  <c r="P74" i="2"/>
  <c r="O288"/>
  <c r="O8"/>
  <c r="O48" s="1"/>
  <c r="G105" i="10"/>
  <c r="G97"/>
  <c r="N61" i="2"/>
  <c r="N82" i="1" s="1"/>
  <c r="H203" i="16"/>
  <c r="G121"/>
  <c r="I22" i="10"/>
  <c r="I24" s="1"/>
  <c r="I47" s="1"/>
  <c r="I49" s="1"/>
  <c r="J80" i="16"/>
  <c r="J176"/>
  <c r="I170"/>
  <c r="I75"/>
  <c r="J79"/>
  <c r="I174"/>
  <c r="I185" s="1"/>
  <c r="N12" i="3"/>
  <c r="F95" i="6"/>
  <c r="N58" i="3"/>
  <c r="N48" i="2"/>
  <c r="I173" i="16"/>
  <c r="J173"/>
  <c r="J169"/>
  <c r="J75"/>
  <c r="N31" i="3"/>
  <c r="N50" i="2"/>
  <c r="N51" i="3" s="1"/>
  <c r="P190" i="2"/>
  <c r="O297"/>
  <c r="O30"/>
  <c r="H25" i="6"/>
  <c r="H36"/>
  <c r="H30"/>
  <c r="I94" i="26"/>
  <c r="I100"/>
  <c r="I39" i="6"/>
  <c r="I28"/>
  <c r="I83" s="1"/>
  <c r="I33"/>
  <c r="I88" s="1"/>
  <c r="G175"/>
  <c r="G183"/>
  <c r="G97"/>
  <c r="G92"/>
  <c r="D241" i="16"/>
  <c r="D252"/>
  <c r="D256" s="1"/>
  <c r="J440" i="18" s="1"/>
  <c r="D245" i="16"/>
  <c r="D249" s="1"/>
  <c r="J417" i="18" s="1"/>
  <c r="N37" i="3"/>
  <c r="N56" i="2"/>
  <c r="N57" i="3" s="1"/>
  <c r="F184" i="6"/>
  <c r="F176"/>
  <c r="F177"/>
  <c r="F185"/>
  <c r="F213"/>
  <c r="F221"/>
  <c r="F220"/>
  <c r="F212"/>
  <c r="F257"/>
  <c r="F249"/>
  <c r="N59" i="2"/>
  <c r="N60" i="3" s="1"/>
  <c r="N20"/>
  <c r="P130" i="2"/>
  <c r="O344"/>
  <c r="O19"/>
  <c r="H38" i="6"/>
  <c r="H27"/>
  <c r="H82" s="1"/>
  <c r="H32"/>
  <c r="H87" s="1"/>
  <c r="D154" i="16"/>
  <c r="D157" s="1"/>
  <c r="J439" i="18" s="1"/>
  <c r="J448" s="1"/>
  <c r="D144" i="16"/>
  <c r="D148"/>
  <c r="D151" s="1"/>
  <c r="J416" i="18" s="1"/>
  <c r="I19" i="6"/>
  <c r="I20"/>
  <c r="Q250" i="2"/>
  <c r="Q357" s="1"/>
  <c r="P357"/>
  <c r="P224"/>
  <c r="O37"/>
  <c r="O57" s="1"/>
  <c r="O331"/>
  <c r="Q19" i="3"/>
  <c r="P238" i="2"/>
  <c r="O39"/>
  <c r="O345"/>
  <c r="Q34"/>
  <c r="Q35" i="3" s="1"/>
  <c r="Q319" i="2"/>
  <c r="G230" i="6"/>
  <c r="G240" s="1"/>
  <c r="G229"/>
  <c r="G239" s="1"/>
  <c r="G267"/>
  <c r="G277" s="1"/>
  <c r="G157"/>
  <c r="G167" s="1"/>
  <c r="G194"/>
  <c r="G204" s="1"/>
  <c r="G122"/>
  <c r="G132" s="1"/>
  <c r="G193"/>
  <c r="G203" s="1"/>
  <c r="G123"/>
  <c r="G133" s="1"/>
  <c r="G158"/>
  <c r="G168" s="1"/>
  <c r="G266"/>
  <c r="G276" s="1"/>
  <c r="G101"/>
  <c r="E255"/>
  <c r="E247"/>
  <c r="P226" i="2"/>
  <c r="O333"/>
  <c r="I23" i="10"/>
  <c r="I46" s="1"/>
  <c r="I57" s="1"/>
  <c r="I75" s="1"/>
  <c r="N52" i="3"/>
  <c r="G96" i="6"/>
  <c r="G91"/>
  <c r="G90" s="1"/>
  <c r="G192" s="1"/>
  <c r="G202" s="1"/>
  <c r="P88" i="2"/>
  <c r="O302"/>
  <c r="O11"/>
  <c r="O51" s="1"/>
  <c r="J175" i="16"/>
  <c r="J185" s="1"/>
  <c r="J81"/>
  <c r="J91" s="1"/>
  <c r="Q156" i="2"/>
  <c r="Q370" s="1"/>
  <c r="P370"/>
  <c r="P37" i="4"/>
  <c r="O57"/>
  <c r="O58" i="3" s="1"/>
  <c r="O38"/>
  <c r="I23" i="6"/>
  <c r="I21"/>
  <c r="G96" i="10"/>
  <c r="G104"/>
  <c r="J266" i="16"/>
  <c r="J174"/>
  <c r="J166"/>
  <c r="J82"/>
  <c r="M60" i="3"/>
  <c r="G95" i="6"/>
  <c r="G80"/>
  <c r="J167" i="16"/>
  <c r="F90" i="6"/>
  <c r="N38" i="3"/>
  <c r="I79" i="16"/>
  <c r="H205"/>
  <c r="H195"/>
  <c r="H197"/>
  <c r="G199"/>
  <c r="G209" s="1"/>
  <c r="G218" s="1"/>
  <c r="G210"/>
  <c r="G215" s="1"/>
  <c r="H199"/>
  <c r="H200"/>
  <c r="H122"/>
  <c r="I97"/>
  <c r="H106"/>
  <c r="H116" s="1"/>
  <c r="H92"/>
  <c r="H99"/>
  <c r="H101"/>
  <c r="H103"/>
  <c r="H105"/>
  <c r="H109"/>
  <c r="H111"/>
  <c r="H113"/>
  <c r="G122"/>
  <c r="I179"/>
  <c r="I196" s="1"/>
  <c r="I197" s="1"/>
  <c r="I181"/>
  <c r="I200" s="1"/>
  <c r="I178"/>
  <c r="I184"/>
  <c r="I206" s="1"/>
  <c r="I182"/>
  <c r="I186" s="1"/>
  <c r="I215" s="1"/>
  <c r="I177"/>
  <c r="I194" s="1"/>
  <c r="I183"/>
  <c r="I204" s="1"/>
  <c r="I205" s="1"/>
  <c r="I180"/>
  <c r="I198" s="1"/>
  <c r="I74"/>
  <c r="I98" s="1"/>
  <c r="I83"/>
  <c r="I100" s="1"/>
  <c r="I84"/>
  <c r="I85"/>
  <c r="I102" s="1"/>
  <c r="I86"/>
  <c r="I104" s="1"/>
  <c r="I87"/>
  <c r="I106" s="1"/>
  <c r="I88"/>
  <c r="I89"/>
  <c r="I110" s="1"/>
  <c r="I90"/>
  <c r="I112" s="1"/>
  <c r="F67"/>
  <c r="H288"/>
  <c r="H33"/>
  <c r="H43" s="1"/>
  <c r="H52" s="1"/>
  <c r="H44"/>
  <c r="H53" s="1"/>
  <c r="H59" s="1"/>
  <c r="I343"/>
  <c r="I357" s="1"/>
  <c r="I348"/>
  <c r="I361" s="1"/>
  <c r="I347"/>
  <c r="I359" s="1"/>
  <c r="H77" i="10"/>
  <c r="J280" i="16"/>
  <c r="J293" s="1"/>
  <c r="G404"/>
  <c r="G411"/>
  <c r="H60"/>
  <c r="H66"/>
  <c r="G88" i="10"/>
  <c r="G79"/>
  <c r="G80"/>
  <c r="L27" i="4"/>
  <c r="K28" i="3"/>
  <c r="K41" i="4"/>
  <c r="K42" i="3" s="1"/>
  <c r="F388" i="16"/>
  <c r="F394"/>
  <c r="I27"/>
  <c r="I280"/>
  <c r="I293" s="1"/>
  <c r="G227"/>
  <c r="G230"/>
  <c r="G240" s="1"/>
  <c r="F237"/>
  <c r="F231"/>
  <c r="J344"/>
  <c r="J268"/>
  <c r="J341"/>
  <c r="J270"/>
  <c r="J72"/>
  <c r="O382" i="2"/>
  <c r="J269" i="16"/>
  <c r="J345"/>
  <c r="J346"/>
  <c r="J265"/>
  <c r="J267" s="1"/>
  <c r="J281" s="1"/>
  <c r="J282" s="1"/>
  <c r="J22"/>
  <c r="I302"/>
  <c r="I303" s="1"/>
  <c r="I379"/>
  <c r="I380" s="1"/>
  <c r="I381"/>
  <c r="I301"/>
  <c r="I378"/>
  <c r="I222"/>
  <c r="I223" s="1"/>
  <c r="I66" i="10"/>
  <c r="I127" i="16"/>
  <c r="I38"/>
  <c r="I48" i="6"/>
  <c r="I104" s="1"/>
  <c r="I221" i="16"/>
  <c r="I224"/>
  <c r="I65" i="10"/>
  <c r="I126" i="16"/>
  <c r="I39"/>
  <c r="I40" s="1"/>
  <c r="E108" i="10"/>
  <c r="E109"/>
  <c r="K444" i="18" s="1"/>
  <c r="F141" i="16"/>
  <c r="F135"/>
  <c r="G367"/>
  <c r="G372" s="1"/>
  <c r="G384" s="1"/>
  <c r="G362"/>
  <c r="G366" s="1"/>
  <c r="G375" s="1"/>
  <c r="G387" s="1"/>
  <c r="G397" s="1"/>
  <c r="F316"/>
  <c r="F310"/>
  <c r="H275"/>
  <c r="H285"/>
  <c r="P360" i="2"/>
  <c r="Q146"/>
  <c r="Q360" s="1"/>
  <c r="E144" i="16"/>
  <c r="E154"/>
  <c r="E157" s="1"/>
  <c r="K439" i="18" s="1"/>
  <c r="E148" i="16"/>
  <c r="E151" s="1"/>
  <c r="K416" i="18" s="1"/>
  <c r="G134" i="6"/>
  <c r="G231"/>
  <c r="G116"/>
  <c r="Q160" i="2"/>
  <c r="Q374" s="1"/>
  <c r="P374"/>
  <c r="Q152"/>
  <c r="Q366" s="1"/>
  <c r="P366"/>
  <c r="L8" i="3"/>
  <c r="M7" i="4"/>
  <c r="I274" i="16"/>
  <c r="I273"/>
  <c r="L9" i="4"/>
  <c r="K10" i="3"/>
  <c r="H88" i="10"/>
  <c r="H79"/>
  <c r="H80"/>
  <c r="H105" i="6"/>
  <c r="H124" s="1"/>
  <c r="H107"/>
  <c r="H108"/>
  <c r="H106"/>
  <c r="E214"/>
  <c r="E215" s="1"/>
  <c r="K419" i="18" s="1"/>
  <c r="E222" i="6"/>
  <c r="E223" s="1"/>
  <c r="K442" i="18" s="1"/>
  <c r="E206" i="6"/>
  <c r="E178"/>
  <c r="E179" s="1"/>
  <c r="E186"/>
  <c r="E187" s="1"/>
  <c r="E170"/>
  <c r="G132" i="16"/>
  <c r="F278" i="6"/>
  <c r="M47" i="4"/>
  <c r="L61"/>
  <c r="L62" i="3" s="1"/>
  <c r="L48"/>
  <c r="L8" i="4"/>
  <c r="K9" i="3"/>
  <c r="G253" i="16"/>
  <c r="G246"/>
  <c r="G64"/>
  <c r="G58"/>
  <c r="G55"/>
  <c r="E409"/>
  <c r="E413" s="1"/>
  <c r="E398"/>
  <c r="E402"/>
  <c r="E406" s="1"/>
  <c r="I118"/>
  <c r="I123" s="1"/>
  <c r="G133"/>
  <c r="G142" s="1"/>
  <c r="G134"/>
  <c r="G143" s="1"/>
  <c r="G66"/>
  <c r="G60"/>
  <c r="F412"/>
  <c r="F405"/>
  <c r="I356"/>
  <c r="I369" s="1"/>
  <c r="I374" s="1"/>
  <c r="E250" i="6"/>
  <c r="E251" s="1"/>
  <c r="K420" i="18" s="1"/>
  <c r="E258" i="6"/>
  <c r="E259" s="1"/>
  <c r="K443" i="18" s="1"/>
  <c r="E242" i="6"/>
  <c r="K95" i="26" s="1"/>
  <c r="F255" i="16"/>
  <c r="F248"/>
  <c r="O60" i="2"/>
  <c r="O61" i="3" s="1"/>
  <c r="O21" i="2"/>
  <c r="O21" i="3"/>
  <c r="Q144" i="2"/>
  <c r="P358"/>
  <c r="P20"/>
  <c r="P168"/>
  <c r="O25" i="1"/>
  <c r="P21"/>
  <c r="P25" s="1"/>
  <c r="E100" i="10"/>
  <c r="E101"/>
  <c r="K421" i="18" s="1"/>
  <c r="E287" i="6"/>
  <c r="E288" s="1"/>
  <c r="E295"/>
  <c r="E296" s="1"/>
  <c r="E279"/>
  <c r="F169"/>
  <c r="F160"/>
  <c r="F241"/>
  <c r="L28" i="4"/>
  <c r="K29" i="3"/>
  <c r="M49" i="4"/>
  <c r="L50" i="3"/>
  <c r="N29" i="4"/>
  <c r="M30" i="3"/>
  <c r="M48" i="4"/>
  <c r="L49" i="3"/>
  <c r="G159" i="6"/>
  <c r="G114"/>
  <c r="G268"/>
  <c r="G195"/>
  <c r="G117"/>
  <c r="G115"/>
  <c r="F98" i="10"/>
  <c r="F106"/>
  <c r="F90"/>
  <c r="F91"/>
  <c r="G286" i="16"/>
  <c r="G290" s="1"/>
  <c r="G291"/>
  <c r="G296" s="1"/>
  <c r="G307" s="1"/>
  <c r="I349"/>
  <c r="I350"/>
  <c r="N72" i="1"/>
  <c r="N74"/>
  <c r="H293" i="16"/>
  <c r="H282"/>
  <c r="E329"/>
  <c r="E332" s="1"/>
  <c r="E319"/>
  <c r="E323"/>
  <c r="E326" s="1"/>
  <c r="F143" i="6"/>
  <c r="F144" s="1"/>
  <c r="L418" i="18" s="1"/>
  <c r="F151" i="6"/>
  <c r="F152" s="1"/>
  <c r="L441" i="18" s="1"/>
  <c r="F135" i="6"/>
  <c r="F205"/>
  <c r="H351" i="16"/>
  <c r="H361"/>
  <c r="E252"/>
  <c r="E256" s="1"/>
  <c r="K440" i="18" s="1"/>
  <c r="E241" i="16"/>
  <c r="E245"/>
  <c r="E249" s="1"/>
  <c r="K417" i="18" s="1"/>
  <c r="G254" i="16"/>
  <c r="G247"/>
  <c r="I24"/>
  <c r="I360"/>
  <c r="H133"/>
  <c r="H142" s="1"/>
  <c r="H386"/>
  <c r="H396" s="1"/>
  <c r="H128"/>
  <c r="F61"/>
  <c r="I267"/>
  <c r="I281" s="1"/>
  <c r="I272"/>
  <c r="I285" s="1"/>
  <c r="I271"/>
  <c r="I283" s="1"/>
  <c r="H385"/>
  <c r="H395" s="1"/>
  <c r="G46"/>
  <c r="I472" i="18"/>
  <c r="I488"/>
  <c r="I621"/>
  <c r="I655" s="1"/>
  <c r="I620"/>
  <c r="I654" s="1"/>
  <c r="G5" i="28"/>
  <c r="H509" i="18"/>
  <c r="H431"/>
  <c r="H430"/>
  <c r="H508"/>
  <c r="I509"/>
  <c r="I463"/>
  <c r="I481" s="1"/>
  <c r="I431"/>
  <c r="G331" i="16"/>
  <c r="G325"/>
  <c r="H490" i="18"/>
  <c r="H492" s="1"/>
  <c r="H474"/>
  <c r="H489"/>
  <c r="H473"/>
  <c r="H620"/>
  <c r="H659"/>
  <c r="I508"/>
  <c r="I462"/>
  <c r="I480" s="1"/>
  <c r="I430"/>
  <c r="I473"/>
  <c r="I489"/>
  <c r="J490"/>
  <c r="J474"/>
  <c r="I490"/>
  <c r="I492" s="1"/>
  <c r="I474"/>
  <c r="J489"/>
  <c r="J473"/>
  <c r="I478" l="1"/>
  <c r="K96" i="26"/>
  <c r="K101" s="1"/>
  <c r="K96" i="30"/>
  <c r="K101" s="1"/>
  <c r="J96" i="26"/>
  <c r="J96" i="30"/>
  <c r="J101" s="1"/>
  <c r="I99" i="29"/>
  <c r="I77"/>
  <c r="I76" s="1"/>
  <c r="I77" i="30"/>
  <c r="I76" s="1"/>
  <c r="I99"/>
  <c r="Q216" i="2"/>
  <c r="Q323" s="1"/>
  <c r="P323"/>
  <c r="Q38" i="4"/>
  <c r="Q58" s="1"/>
  <c r="P58"/>
  <c r="O36" i="3"/>
  <c r="O55" i="2"/>
  <c r="O56" i="3" s="1"/>
  <c r="Q16"/>
  <c r="J94" i="29"/>
  <c r="J100"/>
  <c r="J168" i="16"/>
  <c r="J192" s="1"/>
  <c r="L97" i="26"/>
  <c r="L102" s="1"/>
  <c r="L97" i="30"/>
  <c r="L102" s="1"/>
  <c r="L97" i="29"/>
  <c r="L102" s="1"/>
  <c r="K95"/>
  <c r="K95" i="30"/>
  <c r="L96" i="29"/>
  <c r="L101" s="1"/>
  <c r="Q112" i="2"/>
  <c r="P326"/>
  <c r="P16"/>
  <c r="P17" i="3" s="1"/>
  <c r="Q192" i="2"/>
  <c r="Q299" s="1"/>
  <c r="P299"/>
  <c r="Q214"/>
  <c r="P35"/>
  <c r="P321"/>
  <c r="J94" i="30"/>
  <c r="J100"/>
  <c r="I212" i="16"/>
  <c r="I217" s="1"/>
  <c r="H212"/>
  <c r="H217" s="1"/>
  <c r="H229" s="1"/>
  <c r="H239" s="1"/>
  <c r="F192" i="6"/>
  <c r="F115"/>
  <c r="J191" i="16"/>
  <c r="J193" s="1"/>
  <c r="J212"/>
  <c r="J217" s="1"/>
  <c r="G228" i="6"/>
  <c r="G238" s="1"/>
  <c r="G265"/>
  <c r="G275" s="1"/>
  <c r="I38"/>
  <c r="I27"/>
  <c r="I82" s="1"/>
  <c r="I32"/>
  <c r="I87" s="1"/>
  <c r="Q37" i="4"/>
  <c r="P57"/>
  <c r="Q88" i="2"/>
  <c r="P302"/>
  <c r="P11"/>
  <c r="P51" s="1"/>
  <c r="I86" i="10"/>
  <c r="I76"/>
  <c r="I87" s="1"/>
  <c r="Q226" i="2"/>
  <c r="Q333" s="1"/>
  <c r="P333"/>
  <c r="G285" i="6"/>
  <c r="G293"/>
  <c r="G142"/>
  <c r="G150"/>
  <c r="G141"/>
  <c r="G149"/>
  <c r="G176"/>
  <c r="G184"/>
  <c r="G256"/>
  <c r="G248"/>
  <c r="Q238" i="2"/>
  <c r="P39"/>
  <c r="P345"/>
  <c r="I37" i="6"/>
  <c r="I26"/>
  <c r="I81" s="1"/>
  <c r="I80" s="1"/>
  <c r="I121" s="1"/>
  <c r="I131" s="1"/>
  <c r="I31"/>
  <c r="I86" s="1"/>
  <c r="I85" s="1"/>
  <c r="I156" s="1"/>
  <c r="I166" s="1"/>
  <c r="J456" i="18"/>
  <c r="J534"/>
  <c r="J622" s="1"/>
  <c r="J656" s="1"/>
  <c r="J425"/>
  <c r="I35" i="28" s="1"/>
  <c r="O59" i="2"/>
  <c r="O20" i="3"/>
  <c r="Q130" i="2"/>
  <c r="P344"/>
  <c r="P19"/>
  <c r="J449" i="18"/>
  <c r="J450"/>
  <c r="I98" i="6"/>
  <c r="I93"/>
  <c r="I99" i="26"/>
  <c r="I77"/>
  <c r="I76" s="1"/>
  <c r="I83" s="1"/>
  <c r="I79" s="1"/>
  <c r="O31" i="3"/>
  <c r="O50" i="2"/>
  <c r="O51" i="3" s="1"/>
  <c r="Q190" i="2"/>
  <c r="P297"/>
  <c r="P30"/>
  <c r="J23" i="6"/>
  <c r="J21"/>
  <c r="Q92" i="2"/>
  <c r="P306"/>
  <c r="P12"/>
  <c r="P52" s="1"/>
  <c r="O52" i="3"/>
  <c r="J472" i="18"/>
  <c r="J488"/>
  <c r="Q33" i="4"/>
  <c r="P34" i="3"/>
  <c r="P53" i="4"/>
  <c r="P54" i="3" s="1"/>
  <c r="Q183" i="2"/>
  <c r="P28"/>
  <c r="P290"/>
  <c r="Q96"/>
  <c r="Q310" s="1"/>
  <c r="P310"/>
  <c r="O47"/>
  <c r="O41"/>
  <c r="Q176"/>
  <c r="P283"/>
  <c r="P27"/>
  <c r="P275"/>
  <c r="F247" i="16"/>
  <c r="F254"/>
  <c r="J73"/>
  <c r="J342"/>
  <c r="J356" s="1"/>
  <c r="J369" s="1"/>
  <c r="J374" s="1"/>
  <c r="J23"/>
  <c r="J27" s="1"/>
  <c r="J30" s="1"/>
  <c r="J35" s="1"/>
  <c r="P39" i="4"/>
  <c r="O59"/>
  <c r="J23" i="10" s="1"/>
  <c r="O40" i="3"/>
  <c r="O37"/>
  <c r="O56" i="2"/>
  <c r="O57" i="3" s="1"/>
  <c r="Q187" i="2"/>
  <c r="P294"/>
  <c r="K22" i="6" s="1"/>
  <c r="P29" i="2"/>
  <c r="P49" s="1"/>
  <c r="Q12" i="4"/>
  <c r="P52"/>
  <c r="P53" i="3" s="1"/>
  <c r="P13"/>
  <c r="H105" i="10"/>
  <c r="H97"/>
  <c r="O61" i="2"/>
  <c r="O82" i="1" s="1"/>
  <c r="J24" i="16"/>
  <c r="J28" s="1"/>
  <c r="J33" s="1"/>
  <c r="J272"/>
  <c r="J285" s="1"/>
  <c r="J286" s="1"/>
  <c r="J347"/>
  <c r="J359" s="1"/>
  <c r="I199"/>
  <c r="I195"/>
  <c r="I207"/>
  <c r="I201"/>
  <c r="H216"/>
  <c r="H228" s="1"/>
  <c r="H238" s="1"/>
  <c r="O13" i="3"/>
  <c r="H80" i="6"/>
  <c r="I216" i="16"/>
  <c r="J76"/>
  <c r="J84" s="1"/>
  <c r="G121" i="6"/>
  <c r="G113"/>
  <c r="I29"/>
  <c r="I74" s="1"/>
  <c r="I75" s="1"/>
  <c r="I40"/>
  <c r="I34"/>
  <c r="G219"/>
  <c r="G211"/>
  <c r="G177"/>
  <c r="G185"/>
  <c r="G220"/>
  <c r="G212"/>
  <c r="G221"/>
  <c r="G213"/>
  <c r="G286"/>
  <c r="G294"/>
  <c r="G257"/>
  <c r="G249"/>
  <c r="Q224" i="2"/>
  <c r="P37"/>
  <c r="P57" s="1"/>
  <c r="P331"/>
  <c r="I25" i="6"/>
  <c r="I36"/>
  <c r="I30"/>
  <c r="J82" i="27"/>
  <c r="J156" s="1"/>
  <c r="J83"/>
  <c r="J157" s="1"/>
  <c r="H97" i="6"/>
  <c r="H92"/>
  <c r="J535" i="18"/>
  <c r="J623" s="1"/>
  <c r="J457"/>
  <c r="J427"/>
  <c r="J426"/>
  <c r="F265" i="6"/>
  <c r="F228"/>
  <c r="F117"/>
  <c r="F116"/>
  <c r="Q74" i="2"/>
  <c r="P288"/>
  <c r="P8"/>
  <c r="P48" s="1"/>
  <c r="Q349"/>
  <c r="Q11" i="4"/>
  <c r="P51"/>
  <c r="P12" i="3"/>
  <c r="O54" i="2"/>
  <c r="O55" i="3" s="1"/>
  <c r="O15"/>
  <c r="Q102" i="2"/>
  <c r="P316"/>
  <c r="P14"/>
  <c r="J20" i="6"/>
  <c r="J19"/>
  <c r="F253" i="16"/>
  <c r="F246"/>
  <c r="E140" i="6"/>
  <c r="E144" s="1"/>
  <c r="K418" i="18" s="1"/>
  <c r="E148" i="6"/>
  <c r="E152" s="1"/>
  <c r="K441" i="18" s="1"/>
  <c r="E135" i="6"/>
  <c r="Q273" i="2"/>
  <c r="Q380" s="1"/>
  <c r="L23" i="16" s="1"/>
  <c r="P380" i="2"/>
  <c r="K82" i="16" s="1"/>
  <c r="H229" i="6"/>
  <c r="H239" s="1"/>
  <c r="H122"/>
  <c r="H132" s="1"/>
  <c r="H230"/>
  <c r="H240" s="1"/>
  <c r="H193"/>
  <c r="H203" s="1"/>
  <c r="H266"/>
  <c r="H276" s="1"/>
  <c r="H157"/>
  <c r="H167" s="1"/>
  <c r="H194"/>
  <c r="H204" s="1"/>
  <c r="H267"/>
  <c r="H277" s="1"/>
  <c r="H123"/>
  <c r="H133" s="1"/>
  <c r="H158"/>
  <c r="H168" s="1"/>
  <c r="H101"/>
  <c r="O39" i="3"/>
  <c r="O58" i="2"/>
  <c r="O59" i="3" s="1"/>
  <c r="Q232" i="2"/>
  <c r="P339"/>
  <c r="P38"/>
  <c r="Q222"/>
  <c r="P36"/>
  <c r="P329"/>
  <c r="J28" i="6"/>
  <c r="J83" s="1"/>
  <c r="J39"/>
  <c r="J33"/>
  <c r="J88" s="1"/>
  <c r="H96"/>
  <c r="H95" s="1"/>
  <c r="H91"/>
  <c r="H90" s="1"/>
  <c r="H192" s="1"/>
  <c r="H202" s="1"/>
  <c r="Q228" i="2"/>
  <c r="Q335" s="1"/>
  <c r="P335"/>
  <c r="H96" i="10"/>
  <c r="H104"/>
  <c r="K73" i="16"/>
  <c r="J348"/>
  <c r="J361" s="1"/>
  <c r="J271"/>
  <c r="J283" s="1"/>
  <c r="J284" s="1"/>
  <c r="K166"/>
  <c r="K176"/>
  <c r="K185" s="1"/>
  <c r="J22" i="10"/>
  <c r="J24" s="1"/>
  <c r="J47" s="1"/>
  <c r="J49" s="1"/>
  <c r="L167" i="16"/>
  <c r="O12" i="3"/>
  <c r="K80" i="16"/>
  <c r="O53" i="3"/>
  <c r="H85" i="6"/>
  <c r="H156" s="1"/>
  <c r="H166" s="1"/>
  <c r="J170" i="16"/>
  <c r="J178" s="1"/>
  <c r="H46"/>
  <c r="I77" i="10"/>
  <c r="H107" i="16"/>
  <c r="H115" s="1"/>
  <c r="H201"/>
  <c r="H209" s="1"/>
  <c r="H218" s="1"/>
  <c r="H210"/>
  <c r="H215" s="1"/>
  <c r="H227" s="1"/>
  <c r="I202"/>
  <c r="I203" s="1"/>
  <c r="H65"/>
  <c r="I122"/>
  <c r="I92"/>
  <c r="I121" s="1"/>
  <c r="I108"/>
  <c r="I109" s="1"/>
  <c r="K97"/>
  <c r="I99"/>
  <c r="I101"/>
  <c r="I103"/>
  <c r="I105"/>
  <c r="I107"/>
  <c r="I111"/>
  <c r="I113"/>
  <c r="H121"/>
  <c r="K184"/>
  <c r="K186" s="1"/>
  <c r="K88"/>
  <c r="K108" s="1"/>
  <c r="J74"/>
  <c r="J98" s="1"/>
  <c r="I628" i="18"/>
  <c r="I634" s="1"/>
  <c r="I284" i="16"/>
  <c r="I228"/>
  <c r="I238" s="1"/>
  <c r="I246" s="1"/>
  <c r="G67"/>
  <c r="I362"/>
  <c r="I358"/>
  <c r="J29"/>
  <c r="K118"/>
  <c r="K123" s="1"/>
  <c r="J298"/>
  <c r="J297"/>
  <c r="I229"/>
  <c r="I239" s="1"/>
  <c r="I298"/>
  <c r="I309" s="1"/>
  <c r="I318" s="1"/>
  <c r="I297"/>
  <c r="I308" s="1"/>
  <c r="I317" s="1"/>
  <c r="H403"/>
  <c r="H410"/>
  <c r="L27"/>
  <c r="G394"/>
  <c r="G388"/>
  <c r="H411"/>
  <c r="H404"/>
  <c r="H149"/>
  <c r="H155"/>
  <c r="H367"/>
  <c r="H372" s="1"/>
  <c r="H384" s="1"/>
  <c r="H362"/>
  <c r="H366" s="1"/>
  <c r="H375" s="1"/>
  <c r="H387" s="1"/>
  <c r="H397" s="1"/>
  <c r="F214" i="6"/>
  <c r="F222"/>
  <c r="H298" i="16"/>
  <c r="H309" s="1"/>
  <c r="H318" s="1"/>
  <c r="H297"/>
  <c r="H308" s="1"/>
  <c r="H317" s="1"/>
  <c r="I351"/>
  <c r="I363"/>
  <c r="F101" i="10"/>
  <c r="L421" i="18" s="1"/>
  <c r="F100" i="10"/>
  <c r="G278" i="6"/>
  <c r="G269"/>
  <c r="G169"/>
  <c r="G160"/>
  <c r="N48" i="4"/>
  <c r="M49" i="3"/>
  <c r="O29" i="4"/>
  <c r="N30" i="3"/>
  <c r="N49" i="4"/>
  <c r="M50" i="3"/>
  <c r="M28" i="4"/>
  <c r="L29" i="3"/>
  <c r="F250" i="6"/>
  <c r="F258"/>
  <c r="F178"/>
  <c r="F179" s="1"/>
  <c r="F186"/>
  <c r="F187" s="1"/>
  <c r="F170"/>
  <c r="K460" i="18"/>
  <c r="K538"/>
  <c r="K626" s="1"/>
  <c r="K660" s="1"/>
  <c r="J302" i="16"/>
  <c r="J303" s="1"/>
  <c r="J309" s="1"/>
  <c r="J379"/>
  <c r="J380" s="1"/>
  <c r="J126"/>
  <c r="J221"/>
  <c r="J38"/>
  <c r="J65" i="10"/>
  <c r="J66"/>
  <c r="J224" i="16"/>
  <c r="J48" i="6"/>
  <c r="J104" s="1"/>
  <c r="J378" i="16"/>
  <c r="J301"/>
  <c r="J39"/>
  <c r="J40" s="1"/>
  <c r="J127"/>
  <c r="J222"/>
  <c r="J223" s="1"/>
  <c r="J381"/>
  <c r="P60" i="2"/>
  <c r="P61" i="3" s="1"/>
  <c r="P21" i="2"/>
  <c r="P21" i="3"/>
  <c r="Q358" i="2"/>
  <c r="L80" i="16" s="1"/>
  <c r="Q20" i="2"/>
  <c r="Q168"/>
  <c r="O72" i="1"/>
  <c r="O74"/>
  <c r="K100" i="26"/>
  <c r="K94"/>
  <c r="K459" i="18"/>
  <c r="K537"/>
  <c r="K625" s="1"/>
  <c r="K659" s="1"/>
  <c r="G155" i="16"/>
  <c r="G149"/>
  <c r="L9" i="3"/>
  <c r="M8" i="4"/>
  <c r="H231" i="6"/>
  <c r="H116"/>
  <c r="H134"/>
  <c r="I275" i="16"/>
  <c r="I287"/>
  <c r="N7" i="4"/>
  <c r="M8" i="3"/>
  <c r="G241" i="6"/>
  <c r="G232"/>
  <c r="G151"/>
  <c r="G143"/>
  <c r="H132" i="16"/>
  <c r="H286"/>
  <c r="H290" s="1"/>
  <c r="H291"/>
  <c r="H296" s="1"/>
  <c r="H307" s="1"/>
  <c r="F323"/>
  <c r="F326" s="1"/>
  <c r="F329"/>
  <c r="F332" s="1"/>
  <c r="F319"/>
  <c r="F148"/>
  <c r="F151" s="1"/>
  <c r="L416" i="18" s="1"/>
  <c r="F154" i="16"/>
  <c r="F157" s="1"/>
  <c r="L439" i="18" s="1"/>
  <c r="F144" i="16"/>
  <c r="I105" i="6"/>
  <c r="I124" s="1"/>
  <c r="I107"/>
  <c r="I108"/>
  <c r="I106"/>
  <c r="J349" i="16"/>
  <c r="J350"/>
  <c r="G255"/>
  <c r="G248"/>
  <c r="I30"/>
  <c r="I35" s="1"/>
  <c r="I45" s="1"/>
  <c r="I54" s="1"/>
  <c r="G106" i="10"/>
  <c r="G98"/>
  <c r="G90"/>
  <c r="G91"/>
  <c r="H253" i="16"/>
  <c r="H246"/>
  <c r="I28"/>
  <c r="I29" s="1"/>
  <c r="H247"/>
  <c r="H254"/>
  <c r="K427" i="18"/>
  <c r="K457"/>
  <c r="K535"/>
  <c r="K623" s="1"/>
  <c r="K426"/>
  <c r="K450"/>
  <c r="K449"/>
  <c r="G316" i="16"/>
  <c r="G310"/>
  <c r="F108" i="10"/>
  <c r="F109"/>
  <c r="L444" i="18" s="1"/>
  <c r="G205" i="6"/>
  <c r="G196"/>
  <c r="K302" i="16"/>
  <c r="K301"/>
  <c r="K379"/>
  <c r="K381"/>
  <c r="K378"/>
  <c r="K222"/>
  <c r="K66" i="10"/>
  <c r="K126" i="16"/>
  <c r="K39"/>
  <c r="K48" i="6"/>
  <c r="K104" s="1"/>
  <c r="K221" i="16"/>
  <c r="K224"/>
  <c r="K65" i="10"/>
  <c r="K127" i="16"/>
  <c r="K38"/>
  <c r="K268"/>
  <c r="K271" s="1"/>
  <c r="K283" s="1"/>
  <c r="K344"/>
  <c r="K347" s="1"/>
  <c r="K359" s="1"/>
  <c r="K269"/>
  <c r="K272" s="1"/>
  <c r="K285" s="1"/>
  <c r="K346"/>
  <c r="K265"/>
  <c r="K22"/>
  <c r="K345"/>
  <c r="K348" s="1"/>
  <c r="K361" s="1"/>
  <c r="K341"/>
  <c r="K270"/>
  <c r="K72"/>
  <c r="P382" i="2"/>
  <c r="G156" i="16"/>
  <c r="G150"/>
  <c r="H230"/>
  <c r="H240" s="1"/>
  <c r="N47" i="4"/>
  <c r="M61"/>
  <c r="M62" i="3" s="1"/>
  <c r="M48"/>
  <c r="F287" i="6"/>
  <c r="F295"/>
  <c r="G141" i="16"/>
  <c r="G135"/>
  <c r="K458" i="18"/>
  <c r="K536"/>
  <c r="K624" s="1"/>
  <c r="K658" s="1"/>
  <c r="H159" i="6"/>
  <c r="H114"/>
  <c r="H195"/>
  <c r="H117"/>
  <c r="H268"/>
  <c r="H115"/>
  <c r="H98" i="10"/>
  <c r="H106"/>
  <c r="H90"/>
  <c r="H91"/>
  <c r="L10" i="3"/>
  <c r="M9" i="4"/>
  <c r="K456" i="18"/>
  <c r="K425"/>
  <c r="J35" i="28" s="1"/>
  <c r="K534" i="18"/>
  <c r="K622" s="1"/>
  <c r="K656" s="1"/>
  <c r="K82" i="27"/>
  <c r="K156" s="1"/>
  <c r="K83"/>
  <c r="K157" s="1"/>
  <c r="H58" i="16"/>
  <c r="H61" s="1"/>
  <c r="H55"/>
  <c r="H64"/>
  <c r="G412"/>
  <c r="G405"/>
  <c r="I88" i="10"/>
  <c r="I79"/>
  <c r="I80"/>
  <c r="J274" i="16"/>
  <c r="J273"/>
  <c r="F252"/>
  <c r="F256" s="1"/>
  <c r="L440" i="18" s="1"/>
  <c r="F245" i="16"/>
  <c r="F249" s="1"/>
  <c r="L417" i="18" s="1"/>
  <c r="F241" i="16"/>
  <c r="G231"/>
  <c r="G237"/>
  <c r="F409"/>
  <c r="F413" s="1"/>
  <c r="F398"/>
  <c r="F402"/>
  <c r="F406" s="1"/>
  <c r="L41" i="4"/>
  <c r="L42" i="3" s="1"/>
  <c r="M27" i="4"/>
  <c r="L28" i="3"/>
  <c r="I386" i="16"/>
  <c r="I396" s="1"/>
  <c r="K448" i="18"/>
  <c r="J43" i="16"/>
  <c r="L342"/>
  <c r="I627" i="18"/>
  <c r="I633" s="1"/>
  <c r="I286" i="16"/>
  <c r="I282"/>
  <c r="I128"/>
  <c r="J128" s="1"/>
  <c r="K128" s="1"/>
  <c r="L128" s="1"/>
  <c r="L73"/>
  <c r="H134"/>
  <c r="H143" s="1"/>
  <c r="I373"/>
  <c r="I385" s="1"/>
  <c r="I395" s="1"/>
  <c r="J34"/>
  <c r="I133"/>
  <c r="I142" s="1"/>
  <c r="G61"/>
  <c r="L21" i="4"/>
  <c r="L22" i="3" s="1"/>
  <c r="J362" i="16"/>
  <c r="J360"/>
  <c r="J373"/>
  <c r="H493" i="18"/>
  <c r="G7" i="28"/>
  <c r="G15" s="1"/>
  <c r="G12"/>
  <c r="G18" s="1"/>
  <c r="I493" i="18"/>
  <c r="I520"/>
  <c r="I513"/>
  <c r="I516"/>
  <c r="H627"/>
  <c r="H654"/>
  <c r="I98" i="26"/>
  <c r="I103" s="1"/>
  <c r="I80"/>
  <c r="I514" i="18"/>
  <c r="I517"/>
  <c r="I521"/>
  <c r="H331" i="16"/>
  <c r="H325"/>
  <c r="I639" i="18"/>
  <c r="I632"/>
  <c r="H513"/>
  <c r="H520"/>
  <c r="H516"/>
  <c r="H521"/>
  <c r="H514"/>
  <c r="H517"/>
  <c r="I75" i="26"/>
  <c r="I84" s="1"/>
  <c r="M96" i="29" l="1"/>
  <c r="M101" s="1"/>
  <c r="M97" i="26"/>
  <c r="M102" s="1"/>
  <c r="M97" i="30"/>
  <c r="M102" s="1"/>
  <c r="M97" i="29"/>
  <c r="M102" s="1"/>
  <c r="J77" i="30"/>
  <c r="J76" s="1"/>
  <c r="J99"/>
  <c r="P36" i="3"/>
  <c r="P55" i="2"/>
  <c r="P56" i="3" s="1"/>
  <c r="Q326" i="2"/>
  <c r="Q16"/>
  <c r="Q17" i="3" s="1"/>
  <c r="K94" i="29"/>
  <c r="K100"/>
  <c r="J99"/>
  <c r="J77"/>
  <c r="J76" s="1"/>
  <c r="I83" i="30"/>
  <c r="I79" s="1"/>
  <c r="I75" s="1"/>
  <c r="I84" s="1"/>
  <c r="J101" i="26"/>
  <c r="J94"/>
  <c r="N97"/>
  <c r="N102" s="1"/>
  <c r="N97" i="30"/>
  <c r="N102" s="1"/>
  <c r="N97" i="29"/>
  <c r="N102" s="1"/>
  <c r="L96" i="26"/>
  <c r="L101" s="1"/>
  <c r="L96" i="30"/>
  <c r="L101" s="1"/>
  <c r="Q35" i="2"/>
  <c r="Q321"/>
  <c r="K94" i="30"/>
  <c r="K100"/>
  <c r="I83" i="29"/>
  <c r="I79" s="1"/>
  <c r="J46" i="10"/>
  <c r="J57" s="1"/>
  <c r="J75" s="1"/>
  <c r="J86" s="1"/>
  <c r="K91" i="16"/>
  <c r="K90"/>
  <c r="H183" i="6"/>
  <c r="H175"/>
  <c r="L191" i="16"/>
  <c r="H228" i="6"/>
  <c r="H238" s="1"/>
  <c r="H265"/>
  <c r="H275" s="1"/>
  <c r="J93"/>
  <c r="J98"/>
  <c r="Q36" i="2"/>
  <c r="Q329"/>
  <c r="H150" i="6"/>
  <c r="H142"/>
  <c r="H221"/>
  <c r="H213"/>
  <c r="H293"/>
  <c r="H285"/>
  <c r="H249"/>
  <c r="H257"/>
  <c r="H256"/>
  <c r="H248"/>
  <c r="J36"/>
  <c r="J25"/>
  <c r="J30"/>
  <c r="P15" i="3"/>
  <c r="P54" i="2"/>
  <c r="P55" i="3" s="1"/>
  <c r="Q14" i="2"/>
  <c r="Q316"/>
  <c r="P52" i="3"/>
  <c r="Q8" i="2"/>
  <c r="Q288"/>
  <c r="F275" i="6"/>
  <c r="F269"/>
  <c r="J509" i="18"/>
  <c r="J431"/>
  <c r="J463"/>
  <c r="J481" s="1"/>
  <c r="J620"/>
  <c r="J621"/>
  <c r="J657"/>
  <c r="Q37" i="2"/>
  <c r="Q57" s="1"/>
  <c r="Q331"/>
  <c r="H121" i="6"/>
  <c r="H113"/>
  <c r="Q29" i="2"/>
  <c r="Q49" s="1"/>
  <c r="Q294"/>
  <c r="L22" i="6" s="1"/>
  <c r="J180" i="16"/>
  <c r="J198" s="1"/>
  <c r="J181"/>
  <c r="J200" s="1"/>
  <c r="J184"/>
  <c r="J206" s="1"/>
  <c r="J179"/>
  <c r="J196" s="1"/>
  <c r="J86"/>
  <c r="J104" s="1"/>
  <c r="J88"/>
  <c r="J108" s="1"/>
  <c r="J90"/>
  <c r="J112" s="1"/>
  <c r="J97"/>
  <c r="J182"/>
  <c r="J202" s="1"/>
  <c r="J177"/>
  <c r="J194" s="1"/>
  <c r="J195" s="1"/>
  <c r="J183"/>
  <c r="J83"/>
  <c r="J100" s="1"/>
  <c r="J85"/>
  <c r="J102" s="1"/>
  <c r="J87"/>
  <c r="J106" s="1"/>
  <c r="J89"/>
  <c r="P47" i="2"/>
  <c r="P41"/>
  <c r="Q283"/>
  <c r="Q27"/>
  <c r="Q275"/>
  <c r="Q34" i="3"/>
  <c r="Q53" i="4"/>
  <c r="Q54" i="3" s="1"/>
  <c r="J38" i="6"/>
  <c r="J27"/>
  <c r="J82" s="1"/>
  <c r="J32"/>
  <c r="J87" s="1"/>
  <c r="P50" i="2"/>
  <c r="P51" i="3" s="1"/>
  <c r="P31"/>
  <c r="Q30" i="2"/>
  <c r="Q297"/>
  <c r="J470" i="18"/>
  <c r="J486"/>
  <c r="I140" i="6"/>
  <c r="I148"/>
  <c r="Q39" i="2"/>
  <c r="Q345"/>
  <c r="I104" i="10"/>
  <c r="I96"/>
  <c r="Q38" i="3"/>
  <c r="Q57" i="4"/>
  <c r="Q58" i="3" s="1"/>
  <c r="G284" i="6"/>
  <c r="G292"/>
  <c r="F202"/>
  <c r="F196"/>
  <c r="J77" i="10"/>
  <c r="J99" i="16"/>
  <c r="L79"/>
  <c r="Q40" i="2"/>
  <c r="Q41" i="3" s="1"/>
  <c r="L77" i="16"/>
  <c r="K169"/>
  <c r="K177" s="1"/>
  <c r="K194" s="1"/>
  <c r="K195" s="1"/>
  <c r="K76"/>
  <c r="K84" s="1"/>
  <c r="K167"/>
  <c r="J343"/>
  <c r="J357" s="1"/>
  <c r="J358" s="1"/>
  <c r="K81"/>
  <c r="K89" s="1"/>
  <c r="K110" s="1"/>
  <c r="K78"/>
  <c r="K86" s="1"/>
  <c r="K104" s="1"/>
  <c r="K172"/>
  <c r="K180" s="1"/>
  <c r="K198" s="1"/>
  <c r="K199" s="1"/>
  <c r="K77"/>
  <c r="K85" s="1"/>
  <c r="K102" s="1"/>
  <c r="P38" i="3"/>
  <c r="J216" i="16"/>
  <c r="L75"/>
  <c r="L76"/>
  <c r="L170"/>
  <c r="L174"/>
  <c r="L78"/>
  <c r="H211" i="6"/>
  <c r="H219"/>
  <c r="P37" i="3"/>
  <c r="P56" i="2"/>
  <c r="P57" i="3" s="1"/>
  <c r="P39"/>
  <c r="P58" i="2"/>
  <c r="P59" i="3" s="1"/>
  <c r="Q38" i="2"/>
  <c r="Q339"/>
  <c r="H185" i="6"/>
  <c r="H177"/>
  <c r="H286"/>
  <c r="H294"/>
  <c r="H184"/>
  <c r="H176"/>
  <c r="H220"/>
  <c r="H212"/>
  <c r="H141"/>
  <c r="H149"/>
  <c r="K266" i="16"/>
  <c r="K280" s="1"/>
  <c r="K293" s="1"/>
  <c r="K298" s="1"/>
  <c r="K23"/>
  <c r="K27" s="1"/>
  <c r="K342"/>
  <c r="K356" s="1"/>
  <c r="J37" i="6"/>
  <c r="J26"/>
  <c r="J81" s="1"/>
  <c r="J80" s="1"/>
  <c r="J121" s="1"/>
  <c r="J131" s="1"/>
  <c r="J31"/>
  <c r="J86" s="1"/>
  <c r="J85" s="1"/>
  <c r="J156" s="1"/>
  <c r="J166" s="1"/>
  <c r="Q51" i="4"/>
  <c r="L175" i="16"/>
  <c r="L81"/>
  <c r="L176"/>
  <c r="L82"/>
  <c r="L166"/>
  <c r="K23" i="6"/>
  <c r="K21"/>
  <c r="F238"/>
  <c r="F232"/>
  <c r="J430" i="18"/>
  <c r="J462"/>
  <c r="J480" s="1"/>
  <c r="J508"/>
  <c r="J487"/>
  <c r="J471"/>
  <c r="I193" i="6"/>
  <c r="I203" s="1"/>
  <c r="I122"/>
  <c r="I132" s="1"/>
  <c r="I101"/>
  <c r="I113" s="1"/>
  <c r="I158"/>
  <c r="I168" s="1"/>
  <c r="I230"/>
  <c r="I240" s="1"/>
  <c r="I266"/>
  <c r="I276" s="1"/>
  <c r="I194"/>
  <c r="I204" s="1"/>
  <c r="I123"/>
  <c r="I133" s="1"/>
  <c r="I157"/>
  <c r="I167" s="1"/>
  <c r="I267"/>
  <c r="I277" s="1"/>
  <c r="I229"/>
  <c r="I239" s="1"/>
  <c r="G131"/>
  <c r="G125"/>
  <c r="Q52" i="4"/>
  <c r="K39" i="6"/>
  <c r="K28"/>
  <c r="K83" s="1"/>
  <c r="K33"/>
  <c r="K88" s="1"/>
  <c r="Q39" i="4"/>
  <c r="P59"/>
  <c r="K23" i="10" s="1"/>
  <c r="P40" i="3"/>
  <c r="K19" i="6"/>
  <c r="K20"/>
  <c r="Q28" i="2"/>
  <c r="Q48" s="1"/>
  <c r="Q290"/>
  <c r="Q306"/>
  <c r="Q12"/>
  <c r="Q52" s="1"/>
  <c r="J29" i="6"/>
  <c r="J74" s="1"/>
  <c r="J75" s="1"/>
  <c r="J40"/>
  <c r="J34"/>
  <c r="P20" i="3"/>
  <c r="P59" i="2"/>
  <c r="P60" i="3" s="1"/>
  <c r="Q344" i="2"/>
  <c r="Q19"/>
  <c r="I175" i="6"/>
  <c r="I183"/>
  <c r="I91"/>
  <c r="I96"/>
  <c r="I105" i="10"/>
  <c r="I97"/>
  <c r="Q11" i="2"/>
  <c r="Q51" s="1"/>
  <c r="Q302"/>
  <c r="I97" i="6"/>
  <c r="I92"/>
  <c r="G247"/>
  <c r="G255"/>
  <c r="K343" i="16"/>
  <c r="K357" s="1"/>
  <c r="K24"/>
  <c r="P61" i="2"/>
  <c r="P82" i="1" s="1"/>
  <c r="K168" i="16"/>
  <c r="K192" s="1"/>
  <c r="L171"/>
  <c r="K75"/>
  <c r="K83" s="1"/>
  <c r="K100" s="1"/>
  <c r="K170"/>
  <c r="K178" s="1"/>
  <c r="K174"/>
  <c r="K182" s="1"/>
  <c r="K202" s="1"/>
  <c r="K203" s="1"/>
  <c r="L172"/>
  <c r="L266"/>
  <c r="L280" s="1"/>
  <c r="L293" s="1"/>
  <c r="L298" s="1"/>
  <c r="K175"/>
  <c r="K183" s="1"/>
  <c r="K204" s="1"/>
  <c r="K205" s="1"/>
  <c r="K22" i="10"/>
  <c r="K24" s="1"/>
  <c r="K47" s="1"/>
  <c r="K49" s="1"/>
  <c r="K77" s="1"/>
  <c r="K88" s="1"/>
  <c r="O60" i="3"/>
  <c r="K79" i="16"/>
  <c r="K87" s="1"/>
  <c r="K106" s="1"/>
  <c r="K173"/>
  <c r="K181" s="1"/>
  <c r="K200" s="1"/>
  <c r="K201" s="1"/>
  <c r="K171"/>
  <c r="K179" s="1"/>
  <c r="K196" s="1"/>
  <c r="K197" s="1"/>
  <c r="P58" i="3"/>
  <c r="L169" i="16"/>
  <c r="L173"/>
  <c r="K360"/>
  <c r="H67"/>
  <c r="I631" i="18"/>
  <c r="I662"/>
  <c r="I640"/>
  <c r="I638"/>
  <c r="K303" i="16"/>
  <c r="I253"/>
  <c r="K206"/>
  <c r="L97"/>
  <c r="K92"/>
  <c r="K112"/>
  <c r="K116" s="1"/>
  <c r="K122"/>
  <c r="K133" s="1"/>
  <c r="K142" s="1"/>
  <c r="K101"/>
  <c r="K103"/>
  <c r="K105"/>
  <c r="K107"/>
  <c r="K109"/>
  <c r="K111"/>
  <c r="K113"/>
  <c r="L178"/>
  <c r="L184"/>
  <c r="L206" s="1"/>
  <c r="L207" s="1"/>
  <c r="L177"/>
  <c r="L194" s="1"/>
  <c r="L195" s="1"/>
  <c r="L179"/>
  <c r="L196" s="1"/>
  <c r="L197" s="1"/>
  <c r="L183"/>
  <c r="L204" s="1"/>
  <c r="L205" s="1"/>
  <c r="L180"/>
  <c r="L198" s="1"/>
  <c r="L199" s="1"/>
  <c r="L182"/>
  <c r="L202" s="1"/>
  <c r="L203" s="1"/>
  <c r="L181"/>
  <c r="L200" s="1"/>
  <c r="L201" s="1"/>
  <c r="K74"/>
  <c r="K98" s="1"/>
  <c r="K99" s="1"/>
  <c r="L83"/>
  <c r="L100" s="1"/>
  <c r="L84"/>
  <c r="L85"/>
  <c r="L102" s="1"/>
  <c r="L86"/>
  <c r="L104" s="1"/>
  <c r="L87"/>
  <c r="L106" s="1"/>
  <c r="L88"/>
  <c r="L108" s="1"/>
  <c r="L89"/>
  <c r="L110" s="1"/>
  <c r="L90"/>
  <c r="L112" s="1"/>
  <c r="K30"/>
  <c r="K35" s="1"/>
  <c r="J308"/>
  <c r="J317" s="1"/>
  <c r="J330" s="1"/>
  <c r="I33"/>
  <c r="I43" s="1"/>
  <c r="I52" s="1"/>
  <c r="K223"/>
  <c r="L223" s="1"/>
  <c r="I661" i="18"/>
  <c r="I637"/>
  <c r="I34" i="16"/>
  <c r="I44" s="1"/>
  <c r="I53" s="1"/>
  <c r="I65" s="1"/>
  <c r="K362"/>
  <c r="K40"/>
  <c r="L40" s="1"/>
  <c r="J45"/>
  <c r="J54" s="1"/>
  <c r="K380"/>
  <c r="L380" s="1"/>
  <c r="J386"/>
  <c r="J396" s="1"/>
  <c r="I149"/>
  <c r="I155"/>
  <c r="I403"/>
  <c r="I410"/>
  <c r="H394"/>
  <c r="H388"/>
  <c r="J52"/>
  <c r="I411"/>
  <c r="I404"/>
  <c r="N27" i="4"/>
  <c r="M28" i="3"/>
  <c r="M41" i="4"/>
  <c r="M42" i="3" s="1"/>
  <c r="L457" i="18"/>
  <c r="L535"/>
  <c r="L623" s="1"/>
  <c r="J275" i="16"/>
  <c r="J287"/>
  <c r="I106" i="10"/>
  <c r="I98"/>
  <c r="I90"/>
  <c r="I91"/>
  <c r="K486" i="18"/>
  <c r="K470"/>
  <c r="H100" i="10"/>
  <c r="H101"/>
  <c r="N421" i="18" s="1"/>
  <c r="H278" i="6"/>
  <c r="H269"/>
  <c r="H205"/>
  <c r="H196"/>
  <c r="H169"/>
  <c r="H160"/>
  <c r="K488" i="18"/>
  <c r="K472"/>
  <c r="G148" i="16"/>
  <c r="G151" s="1"/>
  <c r="M416" i="18" s="1"/>
  <c r="G144" i="16"/>
  <c r="G154"/>
  <c r="G157" s="1"/>
  <c r="M439" i="18" s="1"/>
  <c r="O47" i="4"/>
  <c r="N61"/>
  <c r="N62" i="3" s="1"/>
  <c r="N48"/>
  <c r="H255" i="16"/>
  <c r="H248"/>
  <c r="K273"/>
  <c r="K274"/>
  <c r="G214" i="6"/>
  <c r="G215" s="1"/>
  <c r="M419" i="18" s="1"/>
  <c r="G222" i="6"/>
  <c r="G223" s="1"/>
  <c r="M442" i="18" s="1"/>
  <c r="G206" i="6"/>
  <c r="G323" i="16"/>
  <c r="G326" s="1"/>
  <c r="G329"/>
  <c r="G332" s="1"/>
  <c r="G319"/>
  <c r="K620" i="18"/>
  <c r="K621"/>
  <c r="K657"/>
  <c r="K509"/>
  <c r="K463"/>
  <c r="K481" s="1"/>
  <c r="K431"/>
  <c r="G100" i="10"/>
  <c r="G101"/>
  <c r="M421" i="18" s="1"/>
  <c r="I159" i="6"/>
  <c r="I114"/>
  <c r="I134"/>
  <c r="I125"/>
  <c r="H141" i="16"/>
  <c r="H135"/>
  <c r="N8" i="3"/>
  <c r="O7" i="4"/>
  <c r="H151" i="6"/>
  <c r="H143"/>
  <c r="H241"/>
  <c r="H232"/>
  <c r="K489" i="18"/>
  <c r="K473"/>
  <c r="Q60" i="2"/>
  <c r="Q61" i="3" s="1"/>
  <c r="Q21" i="2"/>
  <c r="Q21" i="3"/>
  <c r="J88" i="10"/>
  <c r="J79"/>
  <c r="I132" i="16"/>
  <c r="I367"/>
  <c r="I372" s="1"/>
  <c r="I384" s="1"/>
  <c r="I364"/>
  <c r="I366" s="1"/>
  <c r="I375" s="1"/>
  <c r="I387" s="1"/>
  <c r="I397" s="1"/>
  <c r="I227"/>
  <c r="I230"/>
  <c r="I240" s="1"/>
  <c r="H324"/>
  <c r="H330"/>
  <c r="G402"/>
  <c r="G406" s="1"/>
  <c r="G409"/>
  <c r="G413" s="1"/>
  <c r="G398"/>
  <c r="J324"/>
  <c r="H156"/>
  <c r="H150"/>
  <c r="L356"/>
  <c r="L369" s="1"/>
  <c r="L374" s="1"/>
  <c r="G245"/>
  <c r="G249" s="1"/>
  <c r="M417" i="18" s="1"/>
  <c r="G252" i="16"/>
  <c r="G256" s="1"/>
  <c r="M440" i="18" s="1"/>
  <c r="G241" i="16"/>
  <c r="N9" i="4"/>
  <c r="M10" i="3"/>
  <c r="H108" i="10"/>
  <c r="H109"/>
  <c r="N444" i="18" s="1"/>
  <c r="H237" i="16"/>
  <c r="H231"/>
  <c r="J229"/>
  <c r="J239" s="1"/>
  <c r="J228"/>
  <c r="J238" s="1"/>
  <c r="K28"/>
  <c r="K29" s="1"/>
  <c r="K349"/>
  <c r="K350"/>
  <c r="K462" i="18"/>
  <c r="K480" s="1"/>
  <c r="K508"/>
  <c r="K430"/>
  <c r="K471"/>
  <c r="K487"/>
  <c r="K369" i="16"/>
  <c r="K358"/>
  <c r="G108" i="10"/>
  <c r="G109"/>
  <c r="M444" i="18" s="1"/>
  <c r="I66" i="16"/>
  <c r="I60"/>
  <c r="J363"/>
  <c r="J351"/>
  <c r="I231" i="6"/>
  <c r="I268"/>
  <c r="I195"/>
  <c r="L534" i="18"/>
  <c r="L622" s="1"/>
  <c r="L656" s="1"/>
  <c r="L456"/>
  <c r="H316" i="16"/>
  <c r="H310"/>
  <c r="G250" i="6"/>
  <c r="G251" s="1"/>
  <c r="M420" i="18" s="1"/>
  <c r="G258" i="6"/>
  <c r="G259" s="1"/>
  <c r="M443" i="18" s="1"/>
  <c r="G242" i="6"/>
  <c r="M95" i="26" s="1"/>
  <c r="I291" i="16"/>
  <c r="I296" s="1"/>
  <c r="I307" s="1"/>
  <c r="I288"/>
  <c r="I290" s="1"/>
  <c r="M9" i="3"/>
  <c r="N8" i="4"/>
  <c r="K99" i="26"/>
  <c r="K77"/>
  <c r="K76" s="1"/>
  <c r="K83" s="1"/>
  <c r="L268" i="16"/>
  <c r="L271" s="1"/>
  <c r="L283" s="1"/>
  <c r="L284" s="1"/>
  <c r="L344"/>
  <c r="L347" s="1"/>
  <c r="L359" s="1"/>
  <c r="L269"/>
  <c r="L272" s="1"/>
  <c r="L285" s="1"/>
  <c r="L286" s="1"/>
  <c r="L270"/>
  <c r="L273" s="1"/>
  <c r="L287" s="1"/>
  <c r="L288" s="1"/>
  <c r="L265"/>
  <c r="L22"/>
  <c r="L24" s="1"/>
  <c r="L345"/>
  <c r="L348" s="1"/>
  <c r="L361" s="1"/>
  <c r="L346"/>
  <c r="L349" s="1"/>
  <c r="L363" s="1"/>
  <c r="L72"/>
  <c r="L341"/>
  <c r="Q382" i="2"/>
  <c r="P72" i="1"/>
  <c r="P74"/>
  <c r="J106" i="6"/>
  <c r="J108"/>
  <c r="J107"/>
  <c r="J105"/>
  <c r="J124" s="1"/>
  <c r="K490" i="18"/>
  <c r="K474"/>
  <c r="N28" i="4"/>
  <c r="M29" i="3"/>
  <c r="O49" i="4"/>
  <c r="N50" i="3"/>
  <c r="P29" i="4"/>
  <c r="O30" i="3"/>
  <c r="O48" i="4"/>
  <c r="N49" i="3"/>
  <c r="G178" i="6"/>
  <c r="G179" s="1"/>
  <c r="G186"/>
  <c r="G187" s="1"/>
  <c r="G170"/>
  <c r="G287"/>
  <c r="G288" s="1"/>
  <c r="G295"/>
  <c r="G296" s="1"/>
  <c r="G279"/>
  <c r="L460" i="18"/>
  <c r="L538"/>
  <c r="L626" s="1"/>
  <c r="L660" s="1"/>
  <c r="H412" i="16"/>
  <c r="H405"/>
  <c r="L30"/>
  <c r="I324"/>
  <c r="I330"/>
  <c r="I254"/>
  <c r="I247"/>
  <c r="K134"/>
  <c r="K143" s="1"/>
  <c r="I134"/>
  <c r="I143" s="1"/>
  <c r="J385"/>
  <c r="J395" s="1"/>
  <c r="J44"/>
  <c r="J53" s="1"/>
  <c r="K297"/>
  <c r="K308" s="1"/>
  <c r="K317" s="1"/>
  <c r="M21" i="4"/>
  <c r="M22" i="3" s="1"/>
  <c r="L297" i="16"/>
  <c r="L308" s="1"/>
  <c r="L317" s="1"/>
  <c r="I86" i="26"/>
  <c r="I85"/>
  <c r="I331" i="16"/>
  <c r="I325"/>
  <c r="K309"/>
  <c r="L303"/>
  <c r="L309" s="1"/>
  <c r="I85" i="27"/>
  <c r="I82" i="26"/>
  <c r="I476" i="18" s="1"/>
  <c r="H631"/>
  <c r="H637"/>
  <c r="H639"/>
  <c r="H661"/>
  <c r="H633"/>
  <c r="J318" i="16"/>
  <c r="I85" i="30" l="1"/>
  <c r="I86"/>
  <c r="N96" i="29"/>
  <c r="N101" s="1"/>
  <c r="M95"/>
  <c r="M95" i="30"/>
  <c r="J478" i="18"/>
  <c r="J466"/>
  <c r="I98" i="29"/>
  <c r="I103" s="1"/>
  <c r="I80"/>
  <c r="I82" s="1"/>
  <c r="I475" i="18" s="1"/>
  <c r="K77" i="30"/>
  <c r="K76" s="1"/>
  <c r="K99"/>
  <c r="Q36" i="3"/>
  <c r="Q55" i="2"/>
  <c r="Q56" i="3" s="1"/>
  <c r="J99" i="26"/>
  <c r="J77"/>
  <c r="J76" s="1"/>
  <c r="J83" s="1"/>
  <c r="J83" i="29"/>
  <c r="M96" i="26"/>
  <c r="M101" s="1"/>
  <c r="M96" i="30"/>
  <c r="M101" s="1"/>
  <c r="K466" i="18"/>
  <c r="K478"/>
  <c r="O97" i="26"/>
  <c r="O102" s="1"/>
  <c r="O97" i="30"/>
  <c r="O102" s="1"/>
  <c r="O97" i="29"/>
  <c r="O102" s="1"/>
  <c r="I80" i="30"/>
  <c r="I82" s="1"/>
  <c r="I477" i="18" s="1"/>
  <c r="I98" i="30"/>
  <c r="I103" s="1"/>
  <c r="K77" i="29"/>
  <c r="K76" s="1"/>
  <c r="K99"/>
  <c r="J83" i="30"/>
  <c r="I95" i="6"/>
  <c r="J76" i="10"/>
  <c r="I75" i="29"/>
  <c r="I84" s="1"/>
  <c r="M429" i="18"/>
  <c r="K46" i="10"/>
  <c r="K57" s="1"/>
  <c r="K75" s="1"/>
  <c r="K86" s="1"/>
  <c r="K90" s="1"/>
  <c r="K37" i="6"/>
  <c r="K26"/>
  <c r="K81" s="1"/>
  <c r="K31"/>
  <c r="K86" s="1"/>
  <c r="Q40" i="3"/>
  <c r="Q59" i="4"/>
  <c r="I256" i="6"/>
  <c r="I248"/>
  <c r="I176"/>
  <c r="I184"/>
  <c r="I221"/>
  <c r="I213"/>
  <c r="I257"/>
  <c r="I249"/>
  <c r="I212"/>
  <c r="I220"/>
  <c r="J492" i="18"/>
  <c r="J493"/>
  <c r="K38" i="6"/>
  <c r="K27"/>
  <c r="K82" s="1"/>
  <c r="K32"/>
  <c r="K87" s="1"/>
  <c r="L168" i="16"/>
  <c r="L185"/>
  <c r="J140" i="6"/>
  <c r="J148"/>
  <c r="Q39" i="3"/>
  <c r="Q58" i="2"/>
  <c r="Q59" i="3" s="1"/>
  <c r="J97" i="6"/>
  <c r="J92"/>
  <c r="Q47" i="2"/>
  <c r="Q41"/>
  <c r="J110" i="16"/>
  <c r="J92"/>
  <c r="J186"/>
  <c r="J204"/>
  <c r="L28" i="6"/>
  <c r="L83" s="1"/>
  <c r="L39"/>
  <c r="L33"/>
  <c r="L88" s="1"/>
  <c r="J627" i="18"/>
  <c r="J654"/>
  <c r="L21" i="6"/>
  <c r="L23"/>
  <c r="Q56" i="2"/>
  <c r="Q57" i="3" s="1"/>
  <c r="Q37"/>
  <c r="H247" i="6"/>
  <c r="H255"/>
  <c r="L212" i="16"/>
  <c r="J96" i="10"/>
  <c r="J104"/>
  <c r="I90" i="6"/>
  <c r="Q53" i="3"/>
  <c r="Q12"/>
  <c r="K284" i="16"/>
  <c r="K267"/>
  <c r="K281" s="1"/>
  <c r="K282" s="1"/>
  <c r="L22" i="10"/>
  <c r="L24" s="1"/>
  <c r="L47" s="1"/>
  <c r="L49" s="1"/>
  <c r="L77" s="1"/>
  <c r="L88" s="1"/>
  <c r="J203" i="16"/>
  <c r="J197"/>
  <c r="J201"/>
  <c r="I228" i="6"/>
  <c r="I238" s="1"/>
  <c r="I265"/>
  <c r="I275" s="1"/>
  <c r="Q59" i="2"/>
  <c r="Q20" i="3"/>
  <c r="J157" i="6"/>
  <c r="J167" s="1"/>
  <c r="J123"/>
  <c r="J133" s="1"/>
  <c r="J194"/>
  <c r="J204" s="1"/>
  <c r="J193"/>
  <c r="J203" s="1"/>
  <c r="J158"/>
  <c r="J168" s="1"/>
  <c r="J122"/>
  <c r="J132" s="1"/>
  <c r="J101"/>
  <c r="J113" s="1"/>
  <c r="J229"/>
  <c r="J239" s="1"/>
  <c r="J230"/>
  <c r="J240" s="1"/>
  <c r="J267"/>
  <c r="J277" s="1"/>
  <c r="J266"/>
  <c r="J276" s="1"/>
  <c r="K25"/>
  <c r="K36"/>
  <c r="K30"/>
  <c r="K98"/>
  <c r="K93"/>
  <c r="G148"/>
  <c r="G152" s="1"/>
  <c r="M441" i="18" s="1"/>
  <c r="G140" i="6"/>
  <c r="G144" s="1"/>
  <c r="M418" i="18" s="1"/>
  <c r="G135" i="6"/>
  <c r="I286"/>
  <c r="I294"/>
  <c r="I142"/>
  <c r="I150"/>
  <c r="I293"/>
  <c r="I285"/>
  <c r="I177"/>
  <c r="I185"/>
  <c r="I141"/>
  <c r="I149"/>
  <c r="J513" i="18"/>
  <c r="J520"/>
  <c r="J516"/>
  <c r="F247" i="6"/>
  <c r="F251" s="1"/>
  <c r="L420" i="18" s="1"/>
  <c r="F255" i="6"/>
  <c r="F259" s="1"/>
  <c r="L443" i="18" s="1"/>
  <c r="L450" s="1"/>
  <c r="F242" i="6"/>
  <c r="L95" i="26" s="1"/>
  <c r="K29" i="6"/>
  <c r="K40"/>
  <c r="K34"/>
  <c r="K106" s="1"/>
  <c r="Q52" i="3"/>
  <c r="L23" i="10"/>
  <c r="L46" s="1"/>
  <c r="L57" s="1"/>
  <c r="L75" s="1"/>
  <c r="J175" i="6"/>
  <c r="J183"/>
  <c r="J96"/>
  <c r="J95" s="1"/>
  <c r="J91"/>
  <c r="J90" s="1"/>
  <c r="J192" s="1"/>
  <c r="J202" s="1"/>
  <c r="K191" i="16"/>
  <c r="K193" s="1"/>
  <c r="F211" i="6"/>
  <c r="F215" s="1"/>
  <c r="L419" i="18" s="1"/>
  <c r="F219" i="6"/>
  <c r="F223" s="1"/>
  <c r="L442" i="18" s="1"/>
  <c r="F206" i="6"/>
  <c r="Q31" i="3"/>
  <c r="Q50" i="2"/>
  <c r="Q51" i="3" s="1"/>
  <c r="L20" i="6"/>
  <c r="L19"/>
  <c r="J101" i="16"/>
  <c r="J105"/>
  <c r="J109"/>
  <c r="J103"/>
  <c r="J107"/>
  <c r="J113"/>
  <c r="H131" i="6"/>
  <c r="H125"/>
  <c r="J655" i="18"/>
  <c r="J628"/>
  <c r="J521"/>
  <c r="J517"/>
  <c r="J514"/>
  <c r="F284" i="6"/>
  <c r="F288" s="1"/>
  <c r="F292"/>
  <c r="F296" s="1"/>
  <c r="F279"/>
  <c r="Q54" i="2"/>
  <c r="Q55" i="3" s="1"/>
  <c r="Q15"/>
  <c r="H284" i="6"/>
  <c r="H292"/>
  <c r="Q61" i="2"/>
  <c r="Q82" i="1" s="1"/>
  <c r="Q13" i="3"/>
  <c r="K286" i="16"/>
  <c r="J118"/>
  <c r="J123" s="1"/>
  <c r="J134" s="1"/>
  <c r="J143" s="1"/>
  <c r="J207"/>
  <c r="J199"/>
  <c r="K207"/>
  <c r="K210"/>
  <c r="K215" s="1"/>
  <c r="K121"/>
  <c r="L101"/>
  <c r="L103"/>
  <c r="L105"/>
  <c r="L107"/>
  <c r="L109"/>
  <c r="L111"/>
  <c r="L113"/>
  <c r="I46"/>
  <c r="L364"/>
  <c r="L362"/>
  <c r="L360"/>
  <c r="L386"/>
  <c r="L396" s="1"/>
  <c r="L411" s="1"/>
  <c r="I59"/>
  <c r="L91"/>
  <c r="L74"/>
  <c r="L98" s="1"/>
  <c r="L99" s="1"/>
  <c r="K34"/>
  <c r="K44" s="1"/>
  <c r="K53" s="1"/>
  <c r="K33"/>
  <c r="K43" s="1"/>
  <c r="K52" s="1"/>
  <c r="M456" i="18"/>
  <c r="M534"/>
  <c r="M622" s="1"/>
  <c r="M656" s="1"/>
  <c r="M425"/>
  <c r="L35" i="28" s="1"/>
  <c r="L324" i="16"/>
  <c r="L330"/>
  <c r="J65"/>
  <c r="J59"/>
  <c r="I150"/>
  <c r="I156"/>
  <c r="K149"/>
  <c r="K155"/>
  <c r="L35"/>
  <c r="L45" s="1"/>
  <c r="L54" s="1"/>
  <c r="L34"/>
  <c r="L44" s="1"/>
  <c r="L53" s="1"/>
  <c r="L474" i="18"/>
  <c r="L490"/>
  <c r="P48" i="4"/>
  <c r="O49" i="3"/>
  <c r="Q29" i="4"/>
  <c r="Q30" i="3" s="1"/>
  <c r="P30"/>
  <c r="P49" i="4"/>
  <c r="O50" i="3"/>
  <c r="O28" i="4"/>
  <c r="N29" i="3"/>
  <c r="J134" i="6"/>
  <c r="J125"/>
  <c r="J231"/>
  <c r="J116"/>
  <c r="L350" i="16"/>
  <c r="L343"/>
  <c r="L274"/>
  <c r="L267"/>
  <c r="O8" i="4"/>
  <c r="N9" i="3"/>
  <c r="M100" i="26"/>
  <c r="M94"/>
  <c r="M537" i="18"/>
  <c r="M625" s="1"/>
  <c r="M659" s="1"/>
  <c r="M459"/>
  <c r="H323" i="16"/>
  <c r="H326" s="1"/>
  <c r="H329"/>
  <c r="H332" s="1"/>
  <c r="H319"/>
  <c r="L486" i="18"/>
  <c r="L470"/>
  <c r="K493"/>
  <c r="K492"/>
  <c r="J253" i="16"/>
  <c r="J246"/>
  <c r="M535" i="18"/>
  <c r="M623" s="1"/>
  <c r="M457"/>
  <c r="M426"/>
  <c r="M427"/>
  <c r="I255" i="16"/>
  <c r="I248"/>
  <c r="I412"/>
  <c r="I405"/>
  <c r="J98" i="10"/>
  <c r="J106"/>
  <c r="J90"/>
  <c r="Q74" i="1"/>
  <c r="Q72"/>
  <c r="M538" i="18"/>
  <c r="M626" s="1"/>
  <c r="M660" s="1"/>
  <c r="M460"/>
  <c r="K517"/>
  <c r="K521"/>
  <c r="K514"/>
  <c r="K655"/>
  <c r="K628"/>
  <c r="K98" i="10"/>
  <c r="K106"/>
  <c r="K275" i="16"/>
  <c r="K287"/>
  <c r="H178" i="6"/>
  <c r="H179" s="1"/>
  <c r="H186"/>
  <c r="H187" s="1"/>
  <c r="H170"/>
  <c r="H214"/>
  <c r="H215" s="1"/>
  <c r="N419" i="18" s="1"/>
  <c r="H222" i="6"/>
  <c r="H223" s="1"/>
  <c r="N442" i="18" s="1"/>
  <c r="H206" i="6"/>
  <c r="H287"/>
  <c r="H288" s="1"/>
  <c r="H295"/>
  <c r="H296" s="1"/>
  <c r="H279"/>
  <c r="I108" i="10"/>
  <c r="I109"/>
  <c r="O444" i="18" s="1"/>
  <c r="L487"/>
  <c r="L471"/>
  <c r="K324" i="16"/>
  <c r="K330"/>
  <c r="J156"/>
  <c r="J150"/>
  <c r="J410"/>
  <c r="J403"/>
  <c r="K59"/>
  <c r="K65"/>
  <c r="K150"/>
  <c r="K156"/>
  <c r="J117" i="6"/>
  <c r="J115"/>
  <c r="J195"/>
  <c r="J268"/>
  <c r="J159"/>
  <c r="J114"/>
  <c r="L28" i="16"/>
  <c r="L29" s="1"/>
  <c r="I316"/>
  <c r="I310"/>
  <c r="I205" i="6"/>
  <c r="I278"/>
  <c r="I269"/>
  <c r="I241"/>
  <c r="I232"/>
  <c r="J367" i="16"/>
  <c r="J364"/>
  <c r="J366" s="1"/>
  <c r="J375" s="1"/>
  <c r="J387" s="1"/>
  <c r="J397" s="1"/>
  <c r="K374"/>
  <c r="K386" s="1"/>
  <c r="K396" s="1"/>
  <c r="K373"/>
  <c r="K385" s="1"/>
  <c r="K395" s="1"/>
  <c r="K516" i="18"/>
  <c r="K520"/>
  <c r="K513"/>
  <c r="K159" i="6"/>
  <c r="K351" i="16"/>
  <c r="K363"/>
  <c r="J247"/>
  <c r="J254"/>
  <c r="H245"/>
  <c r="H249" s="1"/>
  <c r="N417" i="18" s="1"/>
  <c r="H252" i="16"/>
  <c r="H256" s="1"/>
  <c r="N440" i="18" s="1"/>
  <c r="H241" i="16"/>
  <c r="O9" i="4"/>
  <c r="N10" i="3"/>
  <c r="J230" i="16"/>
  <c r="J240" s="1"/>
  <c r="M449" i="18"/>
  <c r="M450"/>
  <c r="L118" i="16"/>
  <c r="I237"/>
  <c r="I231"/>
  <c r="I388"/>
  <c r="I394"/>
  <c r="I135"/>
  <c r="I141"/>
  <c r="H250" i="6"/>
  <c r="H251" s="1"/>
  <c r="N420" i="18" s="1"/>
  <c r="H258" i="6"/>
  <c r="H259" s="1"/>
  <c r="N443" i="18" s="1"/>
  <c r="H242" i="6"/>
  <c r="N95" i="26" s="1"/>
  <c r="P7" i="4"/>
  <c r="O21"/>
  <c r="O22" i="3" s="1"/>
  <c r="O8"/>
  <c r="H154" i="16"/>
  <c r="H157" s="1"/>
  <c r="N439" i="18" s="1"/>
  <c r="H144" i="16"/>
  <c r="H148"/>
  <c r="H151" s="1"/>
  <c r="N416" i="18" s="1"/>
  <c r="N429" s="1"/>
  <c r="I151" i="6"/>
  <c r="I152" s="1"/>
  <c r="O441" i="18" s="1"/>
  <c r="I143" i="6"/>
  <c r="I144" s="1"/>
  <c r="O418" i="18" s="1"/>
  <c r="I135" i="6"/>
  <c r="I169"/>
  <c r="I160"/>
  <c r="I55" i="16"/>
  <c r="I64"/>
  <c r="I67" s="1"/>
  <c r="I58"/>
  <c r="K654" i="18"/>
  <c r="K627"/>
  <c r="M536"/>
  <c r="M624" s="1"/>
  <c r="M658" s="1"/>
  <c r="M458"/>
  <c r="P47" i="4"/>
  <c r="O61"/>
  <c r="O62" i="3" s="1"/>
  <c r="O48"/>
  <c r="M82" i="27"/>
  <c r="M156" s="1"/>
  <c r="M83"/>
  <c r="M157" s="1"/>
  <c r="N538" i="18"/>
  <c r="N626" s="1"/>
  <c r="N660" s="1"/>
  <c r="N460"/>
  <c r="I100" i="10"/>
  <c r="I101"/>
  <c r="O421" i="18" s="1"/>
  <c r="J291" i="16"/>
  <c r="J296" s="1"/>
  <c r="J307" s="1"/>
  <c r="J288"/>
  <c r="J290" s="1"/>
  <c r="L657" i="18"/>
  <c r="N41" i="4"/>
  <c r="N42" i="3" s="1"/>
  <c r="N28"/>
  <c r="O27" i="4"/>
  <c r="J64" i="16"/>
  <c r="J55"/>
  <c r="J58"/>
  <c r="H409"/>
  <c r="H413" s="1"/>
  <c r="H402"/>
  <c r="H406" s="1"/>
  <c r="H398"/>
  <c r="J411"/>
  <c r="J404"/>
  <c r="J66"/>
  <c r="J60"/>
  <c r="J372"/>
  <c r="J384" s="1"/>
  <c r="N21" i="4"/>
  <c r="N22" i="3" s="1"/>
  <c r="M448" i="18"/>
  <c r="J46" i="16"/>
  <c r="K45"/>
  <c r="K54" s="1"/>
  <c r="L373"/>
  <c r="L385" s="1"/>
  <c r="L395" s="1"/>
  <c r="J325"/>
  <c r="J331"/>
  <c r="L318"/>
  <c r="J79" i="26"/>
  <c r="I92"/>
  <c r="I159" i="27"/>
  <c r="H8" i="28" s="1"/>
  <c r="H16" s="1"/>
  <c r="I89" i="27"/>
  <c r="I163" s="1"/>
  <c r="I88"/>
  <c r="I162" s="1"/>
  <c r="K318" i="16"/>
  <c r="N96" i="26" l="1"/>
  <c r="N101" s="1"/>
  <c r="N96" i="30"/>
  <c r="N101" s="1"/>
  <c r="O96" i="29"/>
  <c r="O101" s="1"/>
  <c r="N95" i="30"/>
  <c r="N95" i="29"/>
  <c r="J87" i="10"/>
  <c r="J80"/>
  <c r="K83" i="30"/>
  <c r="M94" i="29"/>
  <c r="M100"/>
  <c r="K76" i="10"/>
  <c r="K80" s="1"/>
  <c r="L95" i="30"/>
  <c r="L95" i="29"/>
  <c r="I86"/>
  <c r="I85"/>
  <c r="I117" i="6"/>
  <c r="I116"/>
  <c r="K83" i="29"/>
  <c r="M94" i="30"/>
  <c r="M100"/>
  <c r="J79"/>
  <c r="I92"/>
  <c r="K79" i="10"/>
  <c r="J638" i="18"/>
  <c r="J632"/>
  <c r="J634"/>
  <c r="J662"/>
  <c r="J640"/>
  <c r="L26" i="6"/>
  <c r="L81" s="1"/>
  <c r="L37"/>
  <c r="L31"/>
  <c r="L86" s="1"/>
  <c r="L448" i="18"/>
  <c r="L449"/>
  <c r="J228" i="6"/>
  <c r="J238" s="1"/>
  <c r="J265"/>
  <c r="J275" s="1"/>
  <c r="K107"/>
  <c r="K108"/>
  <c r="L94" i="26"/>
  <c r="L100"/>
  <c r="L427" i="18"/>
  <c r="L459"/>
  <c r="L537"/>
  <c r="L625" s="1"/>
  <c r="J293" i="6"/>
  <c r="J285"/>
  <c r="J249"/>
  <c r="J257"/>
  <c r="J185"/>
  <c r="J177"/>
  <c r="J213"/>
  <c r="J221"/>
  <c r="J184"/>
  <c r="J176"/>
  <c r="I247"/>
  <c r="I255"/>
  <c r="L98" i="10"/>
  <c r="L106"/>
  <c r="L217" i="16"/>
  <c r="L216"/>
  <c r="L38" i="6"/>
  <c r="L27"/>
  <c r="L82" s="1"/>
  <c r="L32"/>
  <c r="L87" s="1"/>
  <c r="J639" i="18"/>
  <c r="J661"/>
  <c r="J633"/>
  <c r="J631"/>
  <c r="J637"/>
  <c r="L93" i="6"/>
  <c r="L98"/>
  <c r="J210" i="16"/>
  <c r="J215" s="1"/>
  <c r="J227" s="1"/>
  <c r="J231" s="1"/>
  <c r="J205"/>
  <c r="K97" i="6"/>
  <c r="K92"/>
  <c r="K96" i="10"/>
  <c r="K104"/>
  <c r="J122" i="16"/>
  <c r="J133" s="1"/>
  <c r="J142" s="1"/>
  <c r="K80" i="6"/>
  <c r="H148"/>
  <c r="H152" s="1"/>
  <c r="N441" i="18" s="1"/>
  <c r="H140" i="6"/>
  <c r="H144" s="1"/>
  <c r="N418" i="18" s="1"/>
  <c r="H135" i="6"/>
  <c r="L25"/>
  <c r="L30"/>
  <c r="L36"/>
  <c r="L82" i="27"/>
  <c r="L156" s="1"/>
  <c r="L83"/>
  <c r="L157" s="1"/>
  <c r="L458" i="18"/>
  <c r="L426"/>
  <c r="L536"/>
  <c r="L624" s="1"/>
  <c r="L425"/>
  <c r="K35" i="28" s="1"/>
  <c r="J211" i="6"/>
  <c r="J219"/>
  <c r="L76" i="10"/>
  <c r="L86"/>
  <c r="L79"/>
  <c r="K74" i="6"/>
  <c r="K75" s="1"/>
  <c r="K105"/>
  <c r="K124" s="1"/>
  <c r="K134" s="1"/>
  <c r="K143" s="1"/>
  <c r="J294"/>
  <c r="J286"/>
  <c r="J248"/>
  <c r="J256"/>
  <c r="J149"/>
  <c r="J141"/>
  <c r="J220"/>
  <c r="J212"/>
  <c r="J142"/>
  <c r="J150"/>
  <c r="I292"/>
  <c r="I284"/>
  <c r="I192"/>
  <c r="I115"/>
  <c r="L29"/>
  <c r="L34"/>
  <c r="L106" s="1"/>
  <c r="L159" s="1"/>
  <c r="L169" s="1"/>
  <c r="L40"/>
  <c r="J116" i="16"/>
  <c r="J121" s="1"/>
  <c r="J132" s="1"/>
  <c r="J111"/>
  <c r="L186"/>
  <c r="L192"/>
  <c r="K96" i="6"/>
  <c r="K95" s="1"/>
  <c r="K91"/>
  <c r="K90" s="1"/>
  <c r="K87" i="10"/>
  <c r="K212" i="16"/>
  <c r="Q60" i="3"/>
  <c r="K85" i="6"/>
  <c r="N448" i="18"/>
  <c r="H5" i="28"/>
  <c r="H12" s="1"/>
  <c r="H18" s="1"/>
  <c r="L404" i="16"/>
  <c r="L123"/>
  <c r="L122"/>
  <c r="I61"/>
  <c r="L92"/>
  <c r="L116"/>
  <c r="L115"/>
  <c r="L403"/>
  <c r="L410"/>
  <c r="J394"/>
  <c r="J388"/>
  <c r="L229"/>
  <c r="L239" s="1"/>
  <c r="L228"/>
  <c r="L238" s="1"/>
  <c r="O28" i="3"/>
  <c r="P27" i="4"/>
  <c r="O41"/>
  <c r="O42" i="3" s="1"/>
  <c r="J316" i="16"/>
  <c r="J310"/>
  <c r="M488" i="18"/>
  <c r="M472"/>
  <c r="K633"/>
  <c r="K631"/>
  <c r="K637"/>
  <c r="K639"/>
  <c r="K661"/>
  <c r="I186" i="6"/>
  <c r="I187" s="1"/>
  <c r="I178"/>
  <c r="I179" s="1"/>
  <c r="I170"/>
  <c r="N534" i="18"/>
  <c r="N622" s="1"/>
  <c r="N656" s="1"/>
  <c r="N456"/>
  <c r="N425"/>
  <c r="M35" i="28" s="1"/>
  <c r="N94" i="26"/>
  <c r="N100"/>
  <c r="N427" i="18"/>
  <c r="N459"/>
  <c r="N537"/>
  <c r="N625" s="1"/>
  <c r="N659" s="1"/>
  <c r="I245" i="16"/>
  <c r="I249" s="1"/>
  <c r="O417" i="18" s="1"/>
  <c r="I241" i="16"/>
  <c r="I252"/>
  <c r="I256" s="1"/>
  <c r="O440" i="18" s="1"/>
  <c r="L134" i="16"/>
  <c r="L143" s="1"/>
  <c r="L133"/>
  <c r="L142" s="1"/>
  <c r="J237"/>
  <c r="P9" i="4"/>
  <c r="O10" i="3"/>
  <c r="N449" i="18"/>
  <c r="N450"/>
  <c r="K367" i="16"/>
  <c r="K372" s="1"/>
  <c r="K384" s="1"/>
  <c r="K364"/>
  <c r="K366" s="1"/>
  <c r="K375" s="1"/>
  <c r="K387" s="1"/>
  <c r="K397" s="1"/>
  <c r="K411"/>
  <c r="K404"/>
  <c r="I250" i="6"/>
  <c r="I251" s="1"/>
  <c r="O420" i="18" s="1"/>
  <c r="I258" i="6"/>
  <c r="I259" s="1"/>
  <c r="O443" i="18" s="1"/>
  <c r="I242" i="6"/>
  <c r="O95" i="26" s="1"/>
  <c r="I295" i="6"/>
  <c r="I296" s="1"/>
  <c r="I287"/>
  <c r="I288" s="1"/>
  <c r="I279"/>
  <c r="I222"/>
  <c r="I214"/>
  <c r="I329" i="16"/>
  <c r="I332" s="1"/>
  <c r="I323"/>
  <c r="I326" s="1"/>
  <c r="I319"/>
  <c r="J169" i="6"/>
  <c r="J160"/>
  <c r="J205"/>
  <c r="J196"/>
  <c r="N536" i="18"/>
  <c r="N624" s="1"/>
  <c r="N658" s="1"/>
  <c r="N458"/>
  <c r="K288" i="16"/>
  <c r="K290" s="1"/>
  <c r="K291"/>
  <c r="K296" s="1"/>
  <c r="K307" s="1"/>
  <c r="K108" i="10"/>
  <c r="K634" i="18"/>
  <c r="K640"/>
  <c r="K638"/>
  <c r="K662"/>
  <c r="K632"/>
  <c r="J100" i="10"/>
  <c r="M462" i="18"/>
  <c r="M480" s="1"/>
  <c r="M508"/>
  <c r="M430"/>
  <c r="M657"/>
  <c r="M621"/>
  <c r="M620"/>
  <c r="K55" i="16"/>
  <c r="K64"/>
  <c r="K58"/>
  <c r="M473" i="18"/>
  <c r="M489"/>
  <c r="M77" i="26"/>
  <c r="M76" s="1"/>
  <c r="M83" s="1"/>
  <c r="M99"/>
  <c r="L275" i="16"/>
  <c r="L281"/>
  <c r="L351"/>
  <c r="L357"/>
  <c r="L65"/>
  <c r="L59"/>
  <c r="M470" i="18"/>
  <c r="M486"/>
  <c r="K66" i="16"/>
  <c r="K60"/>
  <c r="O538" i="18"/>
  <c r="O626" s="1"/>
  <c r="O660" s="1"/>
  <c r="O460"/>
  <c r="N490"/>
  <c r="N474"/>
  <c r="Q47" i="4"/>
  <c r="P61"/>
  <c r="P62" i="3" s="1"/>
  <c r="P48"/>
  <c r="N82" i="27"/>
  <c r="N156" s="1"/>
  <c r="N83"/>
  <c r="N157" s="1"/>
  <c r="P8" i="3"/>
  <c r="Q7" i="4"/>
  <c r="I154" i="16"/>
  <c r="I157" s="1"/>
  <c r="O439" i="18" s="1"/>
  <c r="I144" i="16"/>
  <c r="I148"/>
  <c r="I151" s="1"/>
  <c r="O416" i="18" s="1"/>
  <c r="I409" i="16"/>
  <c r="I413" s="1"/>
  <c r="I398"/>
  <c r="I402"/>
  <c r="I406" s="1"/>
  <c r="J248"/>
  <c r="J255"/>
  <c r="N457" i="18"/>
  <c r="N535"/>
  <c r="N623" s="1"/>
  <c r="N426"/>
  <c r="K132" i="16"/>
  <c r="K151" i="6"/>
  <c r="K169"/>
  <c r="K410" i="16"/>
  <c r="K403"/>
  <c r="J412"/>
  <c r="J405"/>
  <c r="J278" i="6"/>
  <c r="J269"/>
  <c r="K230" i="16"/>
  <c r="K240" s="1"/>
  <c r="K100" i="10"/>
  <c r="M490" i="18"/>
  <c r="M474"/>
  <c r="J108" i="10"/>
  <c r="M509" i="18"/>
  <c r="M431"/>
  <c r="M463"/>
  <c r="M481" s="1"/>
  <c r="M471"/>
  <c r="M487"/>
  <c r="P8" i="4"/>
  <c r="P21" s="1"/>
  <c r="P22" i="3" s="1"/>
  <c r="O9"/>
  <c r="J241" i="6"/>
  <c r="J232"/>
  <c r="J143"/>
  <c r="J151"/>
  <c r="J152" s="1"/>
  <c r="P441" i="18" s="1"/>
  <c r="J135" i="6"/>
  <c r="P28" i="4"/>
  <c r="O29" i="3"/>
  <c r="Q49" i="4"/>
  <c r="Q50" i="3" s="1"/>
  <c r="P50"/>
  <c r="Q48" i="4"/>
  <c r="Q49" i="3" s="1"/>
  <c r="P49"/>
  <c r="L60" i="16"/>
  <c r="L66"/>
  <c r="K227"/>
  <c r="J61"/>
  <c r="J67"/>
  <c r="L33"/>
  <c r="L43" s="1"/>
  <c r="K46"/>
  <c r="K331"/>
  <c r="K325"/>
  <c r="J98" i="26"/>
  <c r="J103" s="1"/>
  <c r="J80"/>
  <c r="J75"/>
  <c r="J84" s="1"/>
  <c r="L325" i="16"/>
  <c r="L331"/>
  <c r="J144" i="6" l="1"/>
  <c r="P418" i="18" s="1"/>
  <c r="O96" i="26"/>
  <c r="O101" s="1"/>
  <c r="O96" i="30"/>
  <c r="O101" s="1"/>
  <c r="M478" i="18"/>
  <c r="M466"/>
  <c r="J80" i="30"/>
  <c r="J82" s="1"/>
  <c r="J477" i="18" s="1"/>
  <c r="J98" i="30"/>
  <c r="J103" s="1"/>
  <c r="J75"/>
  <c r="J84" s="1"/>
  <c r="M77"/>
  <c r="M76" s="1"/>
  <c r="M99"/>
  <c r="J79" i="29"/>
  <c r="I92"/>
  <c r="L94" i="30"/>
  <c r="L100"/>
  <c r="M99" i="29"/>
  <c r="M77"/>
  <c r="M76" s="1"/>
  <c r="J105" i="10"/>
  <c r="J109" s="1"/>
  <c r="P444" i="18" s="1"/>
  <c r="J91" i="10"/>
  <c r="J97"/>
  <c r="J101" s="1"/>
  <c r="P421" i="18" s="1"/>
  <c r="N94" i="30"/>
  <c r="N100"/>
  <c r="P96" i="29"/>
  <c r="P101" s="1"/>
  <c r="L94"/>
  <c r="L100"/>
  <c r="N94"/>
  <c r="N100"/>
  <c r="J141" i="16"/>
  <c r="J135"/>
  <c r="K156" i="6"/>
  <c r="K217" i="16"/>
  <c r="K229" s="1"/>
  <c r="K239" s="1"/>
  <c r="K216"/>
  <c r="K228" s="1"/>
  <c r="K238" s="1"/>
  <c r="K105" i="10"/>
  <c r="K109" s="1"/>
  <c r="Q444" i="18" s="1"/>
  <c r="K97" i="10"/>
  <c r="K101" s="1"/>
  <c r="Q421" i="18" s="1"/>
  <c r="K91" i="10"/>
  <c r="K265" i="6"/>
  <c r="K228"/>
  <c r="L178"/>
  <c r="L186"/>
  <c r="L87" i="10"/>
  <c r="L80"/>
  <c r="L658" i="18"/>
  <c r="L620"/>
  <c r="L488"/>
  <c r="L492" s="1"/>
  <c r="L472"/>
  <c r="L478" s="1"/>
  <c r="L659"/>
  <c r="L621"/>
  <c r="L431"/>
  <c r="L509"/>
  <c r="L463"/>
  <c r="L481" s="1"/>
  <c r="L77" i="26"/>
  <c r="L76" s="1"/>
  <c r="L83" s="1"/>
  <c r="L99"/>
  <c r="K195" i="6"/>
  <c r="K205" s="1"/>
  <c r="K268"/>
  <c r="K278" s="1"/>
  <c r="J255"/>
  <c r="J247"/>
  <c r="L91"/>
  <c r="L96"/>
  <c r="K192"/>
  <c r="L210" i="16"/>
  <c r="L215" s="1"/>
  <c r="L227" s="1"/>
  <c r="L193"/>
  <c r="L209" s="1"/>
  <c r="L218" s="1"/>
  <c r="L107" i="6"/>
  <c r="L108"/>
  <c r="L105"/>
  <c r="L124" s="1"/>
  <c r="L134" s="1"/>
  <c r="L74"/>
  <c r="L75" s="1"/>
  <c r="I202"/>
  <c r="I196"/>
  <c r="K123"/>
  <c r="K133" s="1"/>
  <c r="K266"/>
  <c r="K276" s="1"/>
  <c r="K267"/>
  <c r="K277" s="1"/>
  <c r="K122"/>
  <c r="K132" s="1"/>
  <c r="K193"/>
  <c r="K203" s="1"/>
  <c r="K230"/>
  <c r="K240" s="1"/>
  <c r="K194"/>
  <c r="K204" s="1"/>
  <c r="K101"/>
  <c r="K114" s="1"/>
  <c r="K157"/>
  <c r="K167" s="1"/>
  <c r="K158"/>
  <c r="K168" s="1"/>
  <c r="K229"/>
  <c r="K239" s="1"/>
  <c r="L96" i="10"/>
  <c r="L100" s="1"/>
  <c r="L104"/>
  <c r="L108" s="1"/>
  <c r="L90"/>
  <c r="L430" i="18"/>
  <c r="L508"/>
  <c r="L462"/>
  <c r="L480" s="1"/>
  <c r="K121" i="6"/>
  <c r="K113"/>
  <c r="J155" i="16"/>
  <c r="J149"/>
  <c r="L97" i="6"/>
  <c r="L92"/>
  <c r="L489" i="18"/>
  <c r="L493" s="1"/>
  <c r="L473"/>
  <c r="L466" s="1"/>
  <c r="K116" i="6"/>
  <c r="K231"/>
  <c r="K241" s="1"/>
  <c r="J292"/>
  <c r="J284"/>
  <c r="L85"/>
  <c r="L156" s="1"/>
  <c r="L80"/>
  <c r="H7" i="28"/>
  <c r="H15" s="1"/>
  <c r="L121" i="16"/>
  <c r="L132" s="1"/>
  <c r="Q28" i="4"/>
  <c r="Q29" i="3" s="1"/>
  <c r="P29"/>
  <c r="L230" i="16"/>
  <c r="L240" s="1"/>
  <c r="M514" i="18"/>
  <c r="M521"/>
  <c r="M517"/>
  <c r="J295" i="6"/>
  <c r="J296" s="1"/>
  <c r="J287"/>
  <c r="J288" s="1"/>
  <c r="J279"/>
  <c r="K178"/>
  <c r="K186"/>
  <c r="K250"/>
  <c r="K258"/>
  <c r="N462" i="18"/>
  <c r="N480" s="1"/>
  <c r="N508"/>
  <c r="N430"/>
  <c r="N471"/>
  <c r="N487"/>
  <c r="O456"/>
  <c r="O534"/>
  <c r="O622" s="1"/>
  <c r="O656" s="1"/>
  <c r="Q61" i="4"/>
  <c r="Q62" i="3" s="1"/>
  <c r="Q48"/>
  <c r="L367" i="16"/>
  <c r="L372" s="1"/>
  <c r="L384" s="1"/>
  <c r="L358"/>
  <c r="L366" s="1"/>
  <c r="L375" s="1"/>
  <c r="L387" s="1"/>
  <c r="L397" s="1"/>
  <c r="L291"/>
  <c r="L296" s="1"/>
  <c r="L307" s="1"/>
  <c r="L282"/>
  <c r="L290" s="1"/>
  <c r="M628" i="18"/>
  <c r="M655"/>
  <c r="K316" i="16"/>
  <c r="K310"/>
  <c r="N488" i="18"/>
  <c r="N472"/>
  <c r="J214" i="6"/>
  <c r="J215" s="1"/>
  <c r="P419" i="18" s="1"/>
  <c r="J222" i="6"/>
  <c r="J223" s="1"/>
  <c r="P442" i="18" s="1"/>
  <c r="J206" i="6"/>
  <c r="J178"/>
  <c r="J179" s="1"/>
  <c r="J186"/>
  <c r="J187" s="1"/>
  <c r="J170"/>
  <c r="O94" i="26"/>
  <c r="O100"/>
  <c r="O537" i="18"/>
  <c r="O625" s="1"/>
  <c r="O659" s="1"/>
  <c r="O459"/>
  <c r="K394" i="16"/>
  <c r="K388"/>
  <c r="Q9" i="4"/>
  <c r="Q10" i="3" s="1"/>
  <c r="P10"/>
  <c r="J245" i="16"/>
  <c r="J249" s="1"/>
  <c r="P417" i="18" s="1"/>
  <c r="J252" i="16"/>
  <c r="J256" s="1"/>
  <c r="P440" i="18" s="1"/>
  <c r="J241" i="16"/>
  <c r="L150"/>
  <c r="L156"/>
  <c r="N431" i="18"/>
  <c r="N509"/>
  <c r="N463"/>
  <c r="N481" s="1"/>
  <c r="N99" i="26"/>
  <c r="N77"/>
  <c r="N76" s="1"/>
  <c r="N83" s="1"/>
  <c r="N486" i="18"/>
  <c r="N470"/>
  <c r="L254" i="16"/>
  <c r="L247"/>
  <c r="J402"/>
  <c r="J406" s="1"/>
  <c r="J409"/>
  <c r="J413" s="1"/>
  <c r="J398"/>
  <c r="M492" i="18"/>
  <c r="M493"/>
  <c r="K61" i="16"/>
  <c r="L52"/>
  <c r="L46"/>
  <c r="K237"/>
  <c r="K231"/>
  <c r="J250" i="6"/>
  <c r="J251" s="1"/>
  <c r="P420" i="18" s="1"/>
  <c r="J258" i="6"/>
  <c r="J259" s="1"/>
  <c r="P443" i="18" s="1"/>
  <c r="J242" i="6"/>
  <c r="P95" i="26" s="1"/>
  <c r="P9" i="3"/>
  <c r="Q8" i="4"/>
  <c r="Q9" i="3" s="1"/>
  <c r="K295" i="6"/>
  <c r="K287"/>
  <c r="Q460" i="18"/>
  <c r="Q538"/>
  <c r="Q626" s="1"/>
  <c r="Q660" s="1"/>
  <c r="K248" i="16"/>
  <c r="K255"/>
  <c r="K141"/>
  <c r="K135"/>
  <c r="N657" i="18"/>
  <c r="N621"/>
  <c r="N620"/>
  <c r="Q8" i="3"/>
  <c r="O474" i="18"/>
  <c r="O490"/>
  <c r="K222" i="6"/>
  <c r="K214"/>
  <c r="M654" i="18"/>
  <c r="M627"/>
  <c r="M516"/>
  <c r="M513"/>
  <c r="M520"/>
  <c r="P460"/>
  <c r="P538"/>
  <c r="P626" s="1"/>
  <c r="P660" s="1"/>
  <c r="K405" i="16"/>
  <c r="K412"/>
  <c r="L155"/>
  <c r="L149"/>
  <c r="O450" i="18"/>
  <c r="O457"/>
  <c r="O427"/>
  <c r="O535"/>
  <c r="O623" s="1"/>
  <c r="N489"/>
  <c r="N473"/>
  <c r="J148" i="16"/>
  <c r="J151" s="1"/>
  <c r="P416" i="18" s="1"/>
  <c r="P429" s="1"/>
  <c r="J154" i="16"/>
  <c r="J157" s="1"/>
  <c r="P439" i="18" s="1"/>
  <c r="P448" s="1"/>
  <c r="J144" i="16"/>
  <c r="J329"/>
  <c r="J332" s="1"/>
  <c r="J323"/>
  <c r="J326" s="1"/>
  <c r="J319"/>
  <c r="P28" i="3"/>
  <c r="P41" i="4"/>
  <c r="P42" i="3" s="1"/>
  <c r="Q27" i="4"/>
  <c r="L253" i="16"/>
  <c r="L246"/>
  <c r="K67"/>
  <c r="J85" i="27"/>
  <c r="J82" i="26"/>
  <c r="J476" i="18" s="1"/>
  <c r="J479" s="1"/>
  <c r="J85" i="26"/>
  <c r="J86"/>
  <c r="P96" l="1"/>
  <c r="P101" s="1"/>
  <c r="P96" i="30"/>
  <c r="P101" s="1"/>
  <c r="P95"/>
  <c r="P95" i="29"/>
  <c r="Q97" i="26"/>
  <c r="Q102" s="1"/>
  <c r="Q97" i="30"/>
  <c r="Q102" s="1"/>
  <c r="Q97" i="29"/>
  <c r="Q102" s="1"/>
  <c r="L99" i="30"/>
  <c r="L77"/>
  <c r="L76" s="1"/>
  <c r="J85"/>
  <c r="J86"/>
  <c r="Q96" i="29"/>
  <c r="Q101" s="1"/>
  <c r="N478" i="18"/>
  <c r="N466"/>
  <c r="N99" i="29"/>
  <c r="N77"/>
  <c r="N76" s="1"/>
  <c r="L77"/>
  <c r="L76" s="1"/>
  <c r="L99"/>
  <c r="N77" i="30"/>
  <c r="N76" s="1"/>
  <c r="N99"/>
  <c r="P97" i="26"/>
  <c r="P102" s="1"/>
  <c r="P97" i="30"/>
  <c r="P102" s="1"/>
  <c r="P97" i="29"/>
  <c r="P102" s="1"/>
  <c r="M83"/>
  <c r="J98"/>
  <c r="J103" s="1"/>
  <c r="J80"/>
  <c r="J82" s="1"/>
  <c r="J475" i="18" s="1"/>
  <c r="J75" i="29"/>
  <c r="J84" s="1"/>
  <c r="M83" i="30"/>
  <c r="L166" i="6"/>
  <c r="K256"/>
  <c r="K248"/>
  <c r="K176"/>
  <c r="K184"/>
  <c r="K213"/>
  <c r="K221"/>
  <c r="K220"/>
  <c r="K212"/>
  <c r="K294"/>
  <c r="K286"/>
  <c r="K142"/>
  <c r="K150"/>
  <c r="I219"/>
  <c r="I223" s="1"/>
  <c r="O442" i="18" s="1"/>
  <c r="I211" i="6"/>
  <c r="I215" s="1"/>
  <c r="O419" i="18" s="1"/>
  <c r="O429" s="1"/>
  <c r="I206" i="6"/>
  <c r="L143"/>
  <c r="L151"/>
  <c r="L268"/>
  <c r="L278" s="1"/>
  <c r="L195"/>
  <c r="L205" s="1"/>
  <c r="K202"/>
  <c r="K196"/>
  <c r="L521" i="18"/>
  <c r="L517"/>
  <c r="L514"/>
  <c r="L628"/>
  <c r="L655"/>
  <c r="L654"/>
  <c r="L627"/>
  <c r="K238" i="6"/>
  <c r="K232"/>
  <c r="K254" i="16"/>
  <c r="K247"/>
  <c r="K166" i="6"/>
  <c r="K160"/>
  <c r="L95"/>
  <c r="L116" s="1"/>
  <c r="L121"/>
  <c r="K131"/>
  <c r="K125"/>
  <c r="L516" i="18"/>
  <c r="L513"/>
  <c r="L520"/>
  <c r="K185" i="6"/>
  <c r="K177"/>
  <c r="K257"/>
  <c r="K249"/>
  <c r="K149"/>
  <c r="K141"/>
  <c r="K285"/>
  <c r="K293"/>
  <c r="L194"/>
  <c r="L204" s="1"/>
  <c r="L157"/>
  <c r="L167" s="1"/>
  <c r="L101"/>
  <c r="L114" s="1"/>
  <c r="L267"/>
  <c r="L277" s="1"/>
  <c r="L123"/>
  <c r="L133" s="1"/>
  <c r="L230"/>
  <c r="L240" s="1"/>
  <c r="L266"/>
  <c r="L276" s="1"/>
  <c r="L122"/>
  <c r="L132" s="1"/>
  <c r="L193"/>
  <c r="L203" s="1"/>
  <c r="L158"/>
  <c r="L168" s="1"/>
  <c r="L229"/>
  <c r="L239" s="1"/>
  <c r="L231"/>
  <c r="L241" s="1"/>
  <c r="L91" i="10"/>
  <c r="L97"/>
  <c r="L101" s="1"/>
  <c r="R421" i="18" s="1"/>
  <c r="L105" i="10"/>
  <c r="L109" s="1"/>
  <c r="R444" i="18" s="1"/>
  <c r="K275" i="6"/>
  <c r="K269"/>
  <c r="K253" i="16"/>
  <c r="K246"/>
  <c r="K115" i="6"/>
  <c r="L90"/>
  <c r="K117"/>
  <c r="L135" i="16"/>
  <c r="L141"/>
  <c r="L144" s="1"/>
  <c r="Q41" i="4"/>
  <c r="Q42" i="3" s="1"/>
  <c r="Q28"/>
  <c r="P82" i="27"/>
  <c r="P156" s="1"/>
  <c r="P83"/>
  <c r="P157" s="1"/>
  <c r="P534" i="18"/>
  <c r="P622" s="1"/>
  <c r="P656" s="1"/>
  <c r="P456"/>
  <c r="P425"/>
  <c r="O35" i="28" s="1"/>
  <c r="O657" i="18"/>
  <c r="O621"/>
  <c r="O471"/>
  <c r="O487"/>
  <c r="P490"/>
  <c r="P474"/>
  <c r="M631"/>
  <c r="U631" s="1"/>
  <c r="M637"/>
  <c r="U637" s="1"/>
  <c r="U627"/>
  <c r="M661"/>
  <c r="M639"/>
  <c r="U639" s="1"/>
  <c r="M633"/>
  <c r="N627"/>
  <c r="N654"/>
  <c r="K154" i="16"/>
  <c r="K157" s="1"/>
  <c r="Q439" i="18" s="1"/>
  <c r="K148" i="16"/>
  <c r="K151" s="1"/>
  <c r="Q416" i="18" s="1"/>
  <c r="K144" i="16"/>
  <c r="Q474" i="18"/>
  <c r="Q490"/>
  <c r="P100" i="26"/>
  <c r="P94"/>
  <c r="P459" i="18"/>
  <c r="P537"/>
  <c r="P625" s="1"/>
  <c r="P659" s="1"/>
  <c r="K252" i="16"/>
  <c r="K245"/>
  <c r="K241"/>
  <c r="L58"/>
  <c r="L61" s="1"/>
  <c r="L64"/>
  <c r="L67" s="1"/>
  <c r="L55"/>
  <c r="N521" i="18"/>
  <c r="N514"/>
  <c r="N517"/>
  <c r="P427"/>
  <c r="P426"/>
  <c r="P457"/>
  <c r="P535"/>
  <c r="P623" s="1"/>
  <c r="K409" i="16"/>
  <c r="K413" s="1"/>
  <c r="K402"/>
  <c r="K406" s="1"/>
  <c r="K398"/>
  <c r="O77" i="26"/>
  <c r="O76" s="1"/>
  <c r="O83" s="1"/>
  <c r="O99"/>
  <c r="P458" i="18"/>
  <c r="P536"/>
  <c r="P624" s="1"/>
  <c r="P658" s="1"/>
  <c r="K323" i="16"/>
  <c r="K326" s="1"/>
  <c r="K329"/>
  <c r="K332" s="1"/>
  <c r="K319"/>
  <c r="M632" i="18"/>
  <c r="M634"/>
  <c r="M638"/>
  <c r="M662"/>
  <c r="M640"/>
  <c r="L316" i="16"/>
  <c r="L310"/>
  <c r="L394"/>
  <c r="L398" s="1"/>
  <c r="L388"/>
  <c r="L237"/>
  <c r="L231"/>
  <c r="R96" i="29" s="1"/>
  <c r="R101" s="1"/>
  <c r="L154" i="16"/>
  <c r="L157" s="1"/>
  <c r="R439" i="18" s="1"/>
  <c r="O509"/>
  <c r="O431"/>
  <c r="O463"/>
  <c r="O481" s="1"/>
  <c r="N655"/>
  <c r="N628"/>
  <c r="P449"/>
  <c r="P450"/>
  <c r="O473"/>
  <c r="O489"/>
  <c r="L405" i="16"/>
  <c r="L412"/>
  <c r="O470" i="18"/>
  <c r="O486"/>
  <c r="N513"/>
  <c r="N520"/>
  <c r="N516"/>
  <c r="L255" i="16"/>
  <c r="L248"/>
  <c r="N492" i="18"/>
  <c r="Q21" i="4"/>
  <c r="Q22" i="3" s="1"/>
  <c r="N493" i="18"/>
  <c r="J159" i="27"/>
  <c r="I8" i="28" s="1"/>
  <c r="I16" s="1"/>
  <c r="J89" i="27"/>
  <c r="J163" s="1"/>
  <c r="J88"/>
  <c r="J162" s="1"/>
  <c r="K79" i="26"/>
  <c r="J92"/>
  <c r="K249" i="16" l="1"/>
  <c r="Q417" i="18" s="1"/>
  <c r="O466"/>
  <c r="R97" i="26"/>
  <c r="R102" s="1"/>
  <c r="R97" i="30"/>
  <c r="R102" s="1"/>
  <c r="R97" i="29"/>
  <c r="R102" s="1"/>
  <c r="O95"/>
  <c r="O95" i="30"/>
  <c r="J85" i="29"/>
  <c r="J86"/>
  <c r="N83"/>
  <c r="J92" i="30"/>
  <c r="K79"/>
  <c r="L83"/>
  <c r="P94"/>
  <c r="P100"/>
  <c r="Q96" i="26"/>
  <c r="Q101" s="1"/>
  <c r="Q96" i="30"/>
  <c r="Q101" s="1"/>
  <c r="R96" i="26"/>
  <c r="R96" i="30"/>
  <c r="R101" s="1"/>
  <c r="N83"/>
  <c r="L83" i="29"/>
  <c r="P94"/>
  <c r="P100"/>
  <c r="L117" i="6"/>
  <c r="K256" i="16"/>
  <c r="Q440" i="18" s="1"/>
  <c r="L113" i="6"/>
  <c r="L192"/>
  <c r="L115"/>
  <c r="K292"/>
  <c r="K296" s="1"/>
  <c r="K284"/>
  <c r="K288" s="1"/>
  <c r="K279"/>
  <c r="R460" i="18"/>
  <c r="R538"/>
  <c r="R626" s="1"/>
  <c r="R660" s="1"/>
  <c r="L256" i="6"/>
  <c r="L248"/>
  <c r="L212"/>
  <c r="L220"/>
  <c r="L285"/>
  <c r="L293"/>
  <c r="L142"/>
  <c r="L150"/>
  <c r="L213"/>
  <c r="L221"/>
  <c r="L125"/>
  <c r="L131"/>
  <c r="L228"/>
  <c r="L265"/>
  <c r="L661" i="18"/>
  <c r="L633"/>
  <c r="L639"/>
  <c r="L631"/>
  <c r="L637"/>
  <c r="K211" i="6"/>
  <c r="K215" s="1"/>
  <c r="Q419" i="18" s="1"/>
  <c r="K219" i="6"/>
  <c r="K223" s="1"/>
  <c r="Q442" i="18" s="1"/>
  <c r="K206" i="6"/>
  <c r="L214"/>
  <c r="L222"/>
  <c r="O83" i="27"/>
  <c r="O157" s="1"/>
  <c r="O82"/>
  <c r="O156" s="1"/>
  <c r="O448" i="18"/>
  <c r="O449"/>
  <c r="L183" i="6"/>
  <c r="L175"/>
  <c r="L170"/>
  <c r="Q83" i="27"/>
  <c r="Q157" s="1"/>
  <c r="Q448" i="18"/>
  <c r="L250" i="6"/>
  <c r="L258"/>
  <c r="L185"/>
  <c r="L177"/>
  <c r="L149"/>
  <c r="L141"/>
  <c r="L257"/>
  <c r="L249"/>
  <c r="L286"/>
  <c r="L294"/>
  <c r="L184"/>
  <c r="L176"/>
  <c r="K140"/>
  <c r="K144" s="1"/>
  <c r="Q418" i="18" s="1"/>
  <c r="K148" i="6"/>
  <c r="K152" s="1"/>
  <c r="Q441" i="18" s="1"/>
  <c r="K135" i="6"/>
  <c r="K183"/>
  <c r="K187" s="1"/>
  <c r="K175"/>
  <c r="K179" s="1"/>
  <c r="K170"/>
  <c r="K255"/>
  <c r="K259" s="1"/>
  <c r="Q443" i="18" s="1"/>
  <c r="K247" i="6"/>
  <c r="K251" s="1"/>
  <c r="Q420" i="18" s="1"/>
  <c r="Q427" s="1"/>
  <c r="K242" i="6"/>
  <c r="Q95" i="26" s="1"/>
  <c r="L662" i="18"/>
  <c r="L640"/>
  <c r="L632"/>
  <c r="L634"/>
  <c r="L638"/>
  <c r="L287" i="6"/>
  <c r="L295"/>
  <c r="O425" i="18"/>
  <c r="N35" i="28" s="1"/>
  <c r="O458" i="18"/>
  <c r="O426"/>
  <c r="O536"/>
  <c r="O624" s="1"/>
  <c r="L160" i="6"/>
  <c r="L148" i="16"/>
  <c r="L151" s="1"/>
  <c r="R416" i="18" s="1"/>
  <c r="Q82" i="27"/>
  <c r="Q156" s="1"/>
  <c r="R101" i="26"/>
  <c r="P471" i="18"/>
  <c r="P487"/>
  <c r="P463"/>
  <c r="P481" s="1"/>
  <c r="P431"/>
  <c r="P509"/>
  <c r="Q457"/>
  <c r="Q535"/>
  <c r="Q623" s="1"/>
  <c r="Q426"/>
  <c r="P99" i="26"/>
  <c r="P77"/>
  <c r="P76" s="1"/>
  <c r="P83" s="1"/>
  <c r="N639" i="18"/>
  <c r="N661"/>
  <c r="N633"/>
  <c r="N637"/>
  <c r="N631"/>
  <c r="N662"/>
  <c r="N632"/>
  <c r="N640"/>
  <c r="N638"/>
  <c r="N634"/>
  <c r="O517"/>
  <c r="O514"/>
  <c r="O521"/>
  <c r="L252" i="16"/>
  <c r="L256" s="1"/>
  <c r="R440" i="18" s="1"/>
  <c r="L245" i="16"/>
  <c r="L249" s="1"/>
  <c r="R417" i="18" s="1"/>
  <c r="L241" i="16"/>
  <c r="L402"/>
  <c r="L406" s="1"/>
  <c r="L409"/>
  <c r="L413" s="1"/>
  <c r="L329"/>
  <c r="L332" s="1"/>
  <c r="L323"/>
  <c r="L326" s="1"/>
  <c r="L319"/>
  <c r="P488" i="18"/>
  <c r="P472"/>
  <c r="P621"/>
  <c r="P620"/>
  <c r="P657"/>
  <c r="P508"/>
  <c r="P430"/>
  <c r="P462"/>
  <c r="P480" s="1"/>
  <c r="Q450"/>
  <c r="Q449"/>
  <c r="P473"/>
  <c r="P489"/>
  <c r="Q534"/>
  <c r="Q622" s="1"/>
  <c r="Q656" s="1"/>
  <c r="Q456"/>
  <c r="Q425"/>
  <c r="P35" i="28" s="1"/>
  <c r="O493" i="18"/>
  <c r="O628"/>
  <c r="O655"/>
  <c r="P486"/>
  <c r="P470"/>
  <c r="I5" i="28"/>
  <c r="I12" s="1"/>
  <c r="I18" s="1"/>
  <c r="K98" i="26"/>
  <c r="K103" s="1"/>
  <c r="K80"/>
  <c r="K75"/>
  <c r="K84" s="1"/>
  <c r="Q95" i="29" l="1"/>
  <c r="Q95" i="30"/>
  <c r="P77" i="29"/>
  <c r="P76" s="1"/>
  <c r="P99"/>
  <c r="P99" i="30"/>
  <c r="P77"/>
  <c r="P76" s="1"/>
  <c r="K80"/>
  <c r="K82" s="1"/>
  <c r="K477" i="18" s="1"/>
  <c r="K98" i="30"/>
  <c r="K103" s="1"/>
  <c r="K75"/>
  <c r="K84" s="1"/>
  <c r="K79" i="29"/>
  <c r="J92"/>
  <c r="O94" i="30"/>
  <c r="O100"/>
  <c r="P478" i="18"/>
  <c r="P466"/>
  <c r="O94" i="29"/>
  <c r="O100"/>
  <c r="R456" i="18"/>
  <c r="O508"/>
  <c r="O430"/>
  <c r="O462"/>
  <c r="O480" s="1"/>
  <c r="Q100" i="26"/>
  <c r="Q94"/>
  <c r="Q458" i="18"/>
  <c r="Q536"/>
  <c r="Q624" s="1"/>
  <c r="Q658" s="1"/>
  <c r="L269" i="6"/>
  <c r="L275"/>
  <c r="L135"/>
  <c r="L140"/>
  <c r="L144" s="1"/>
  <c r="R418" i="18" s="1"/>
  <c r="L148" i="6"/>
  <c r="L152" s="1"/>
  <c r="R441" i="18" s="1"/>
  <c r="L202" i="6"/>
  <c r="L196"/>
  <c r="L179"/>
  <c r="O658" i="18"/>
  <c r="O620"/>
  <c r="O488"/>
  <c r="O492" s="1"/>
  <c r="O472"/>
  <c r="O478" s="1"/>
  <c r="Q537"/>
  <c r="Q625" s="1"/>
  <c r="Q659" s="1"/>
  <c r="Q459"/>
  <c r="L238" i="6"/>
  <c r="L232"/>
  <c r="R490" i="18"/>
  <c r="R474"/>
  <c r="L187" i="6"/>
  <c r="R534" i="18"/>
  <c r="R622" s="1"/>
  <c r="R656" s="1"/>
  <c r="O632"/>
  <c r="O640"/>
  <c r="O638"/>
  <c r="O662"/>
  <c r="O634"/>
  <c r="Q486"/>
  <c r="Q470"/>
  <c r="P520"/>
  <c r="P513"/>
  <c r="P516"/>
  <c r="P654"/>
  <c r="P627"/>
  <c r="R457"/>
  <c r="R535"/>
  <c r="R623" s="1"/>
  <c r="Q462"/>
  <c r="Q480" s="1"/>
  <c r="Q430"/>
  <c r="Q508"/>
  <c r="Q431"/>
  <c r="Q463"/>
  <c r="Q481" s="1"/>
  <c r="Q509"/>
  <c r="P521"/>
  <c r="P514"/>
  <c r="P517"/>
  <c r="R486"/>
  <c r="R470"/>
  <c r="P655"/>
  <c r="P628"/>
  <c r="Q621"/>
  <c r="Q657"/>
  <c r="Q620"/>
  <c r="Q487"/>
  <c r="Q471"/>
  <c r="P492"/>
  <c r="P493"/>
  <c r="I7" i="28"/>
  <c r="I15" s="1"/>
  <c r="K85" i="26"/>
  <c r="K86"/>
  <c r="K85" i="27"/>
  <c r="K82" i="26"/>
  <c r="K476" i="18" s="1"/>
  <c r="K479" s="1"/>
  <c r="O77" i="29" l="1"/>
  <c r="O76" s="1"/>
  <c r="O99"/>
  <c r="O77" i="30"/>
  <c r="O76" s="1"/>
  <c r="O99"/>
  <c r="K85"/>
  <c r="K86"/>
  <c r="P83" i="29"/>
  <c r="Q94"/>
  <c r="Q100"/>
  <c r="K98"/>
  <c r="K103" s="1"/>
  <c r="K80"/>
  <c r="K82" s="1"/>
  <c r="K475" i="18" s="1"/>
  <c r="K75" i="29"/>
  <c r="K84" s="1"/>
  <c r="P83" i="30"/>
  <c r="Q94"/>
  <c r="Q100"/>
  <c r="L242" i="6"/>
  <c r="R95" i="26" s="1"/>
  <c r="L247" i="6"/>
  <c r="L251" s="1"/>
  <c r="R420" i="18" s="1"/>
  <c r="L255" i="6"/>
  <c r="L259" s="1"/>
  <c r="R443" i="18" s="1"/>
  <c r="R450" s="1"/>
  <c r="L206" i="6"/>
  <c r="L211"/>
  <c r="L215" s="1"/>
  <c r="R419" i="18" s="1"/>
  <c r="R429" s="1"/>
  <c r="L219" i="6"/>
  <c r="L223" s="1"/>
  <c r="R442" i="18" s="1"/>
  <c r="L279" i="6"/>
  <c r="L292"/>
  <c r="L296" s="1"/>
  <c r="L284"/>
  <c r="L288" s="1"/>
  <c r="Q77" i="26"/>
  <c r="Q76" s="1"/>
  <c r="Q83" s="1"/>
  <c r="Q99"/>
  <c r="O520" i="18"/>
  <c r="O516"/>
  <c r="O513"/>
  <c r="Q473"/>
  <c r="Q466" s="1"/>
  <c r="Q489"/>
  <c r="Q493" s="1"/>
  <c r="O627"/>
  <c r="O654"/>
  <c r="Q488"/>
  <c r="Q472"/>
  <c r="Q478" s="1"/>
  <c r="Q654"/>
  <c r="Q627"/>
  <c r="Q628"/>
  <c r="Q655"/>
  <c r="Q516"/>
  <c r="Q520"/>
  <c r="Q513"/>
  <c r="R657"/>
  <c r="R487"/>
  <c r="R471"/>
  <c r="Q492"/>
  <c r="P662"/>
  <c r="P640"/>
  <c r="P634"/>
  <c r="P632"/>
  <c r="P638"/>
  <c r="Q514"/>
  <c r="Q517"/>
  <c r="Q521"/>
  <c r="P639"/>
  <c r="P631"/>
  <c r="P637"/>
  <c r="P661"/>
  <c r="P633"/>
  <c r="K159" i="27"/>
  <c r="J8" i="28" s="1"/>
  <c r="J16" s="1"/>
  <c r="K88" i="27"/>
  <c r="K162" s="1"/>
  <c r="K89"/>
  <c r="K163" s="1"/>
  <c r="L79" i="26"/>
  <c r="K92"/>
  <c r="R95" i="30" l="1"/>
  <c r="R95" i="29"/>
  <c r="Q77" i="30"/>
  <c r="Q76" s="1"/>
  <c r="Q99"/>
  <c r="Q99" i="29"/>
  <c r="Q77"/>
  <c r="Q76" s="1"/>
  <c r="O83" i="30"/>
  <c r="O83" i="29"/>
  <c r="K85"/>
  <c r="K86"/>
  <c r="L79" i="30"/>
  <c r="K92"/>
  <c r="O637" i="18"/>
  <c r="O633"/>
  <c r="O661"/>
  <c r="O631"/>
  <c r="O639"/>
  <c r="R536"/>
  <c r="R624" s="1"/>
  <c r="R458"/>
  <c r="R425"/>
  <c r="Q35" i="28" s="1"/>
  <c r="R426" i="18"/>
  <c r="R100" i="26"/>
  <c r="R94"/>
  <c r="R448" i="18"/>
  <c r="R449"/>
  <c r="R82" i="27"/>
  <c r="R156" s="1"/>
  <c r="R83"/>
  <c r="R157" s="1"/>
  <c r="R459" i="18"/>
  <c r="R537"/>
  <c r="R625" s="1"/>
  <c r="R427"/>
  <c r="Q640"/>
  <c r="Q638"/>
  <c r="Q632"/>
  <c r="Q634"/>
  <c r="Q662"/>
  <c r="Q639"/>
  <c r="Q637"/>
  <c r="Q631"/>
  <c r="Q661"/>
  <c r="Q633"/>
  <c r="J5" i="28"/>
  <c r="J12" s="1"/>
  <c r="J18" s="1"/>
  <c r="L80" i="26"/>
  <c r="L98"/>
  <c r="L103" s="1"/>
  <c r="L75"/>
  <c r="L84" s="1"/>
  <c r="K92" i="29" l="1"/>
  <c r="L79"/>
  <c r="Q83"/>
  <c r="R94"/>
  <c r="R100"/>
  <c r="L98" i="30"/>
  <c r="L103" s="1"/>
  <c r="L80"/>
  <c r="L82" s="1"/>
  <c r="L477" i="18" s="1"/>
  <c r="L75" i="30"/>
  <c r="L84" s="1"/>
  <c r="Q83"/>
  <c r="R94"/>
  <c r="R100"/>
  <c r="R659" i="18"/>
  <c r="R621"/>
  <c r="R99" i="26"/>
  <c r="R77"/>
  <c r="R76" s="1"/>
  <c r="R83" s="1"/>
  <c r="R462" i="18"/>
  <c r="R480" s="1"/>
  <c r="R508"/>
  <c r="R430"/>
  <c r="R488"/>
  <c r="R492" s="1"/>
  <c r="R472"/>
  <c r="R478" s="1"/>
  <c r="R463"/>
  <c r="R481" s="1"/>
  <c r="R509"/>
  <c r="R431"/>
  <c r="R473"/>
  <c r="R466" s="1"/>
  <c r="S466" s="1"/>
  <c r="R489"/>
  <c r="R493" s="1"/>
  <c r="R658"/>
  <c r="R620"/>
  <c r="J7" i="28"/>
  <c r="J15" s="1"/>
  <c r="L85" i="26"/>
  <c r="L86"/>
  <c r="L85" i="27"/>
  <c r="L82" i="26"/>
  <c r="L476" i="18" s="1"/>
  <c r="L479" s="1"/>
  <c r="R77" i="30" l="1"/>
  <c r="R76" s="1"/>
  <c r="R99"/>
  <c r="L85"/>
  <c r="L86"/>
  <c r="R99" i="29"/>
  <c r="R77"/>
  <c r="R76" s="1"/>
  <c r="L80"/>
  <c r="L82" s="1"/>
  <c r="L475" i="18" s="1"/>
  <c r="L98" i="29"/>
  <c r="L103" s="1"/>
  <c r="L75"/>
  <c r="L84" s="1"/>
  <c r="R627" i="18"/>
  <c r="R654"/>
  <c r="S465"/>
  <c r="R517"/>
  <c r="R521"/>
  <c r="R514"/>
  <c r="R513"/>
  <c r="R520"/>
  <c r="R516"/>
  <c r="R655"/>
  <c r="R628"/>
  <c r="L159" i="27"/>
  <c r="K8" i="28" s="1"/>
  <c r="K16" s="1"/>
  <c r="L88" i="27"/>
  <c r="L162" s="1"/>
  <c r="L89"/>
  <c r="L163" s="1"/>
  <c r="M79" i="26"/>
  <c r="L92"/>
  <c r="R83" i="29" l="1"/>
  <c r="M79" i="30"/>
  <c r="L92"/>
  <c r="R83"/>
  <c r="L85" i="29"/>
  <c r="L86"/>
  <c r="T466" i="18"/>
  <c r="T464"/>
  <c r="R631"/>
  <c r="V631" s="1"/>
  <c r="R637"/>
  <c r="V637" s="1"/>
  <c r="R661"/>
  <c r="R639"/>
  <c r="V639" s="1"/>
  <c r="R633"/>
  <c r="V627"/>
  <c r="R632"/>
  <c r="R634"/>
  <c r="R640"/>
  <c r="R662"/>
  <c r="R638"/>
  <c r="K5" i="28"/>
  <c r="K12" s="1"/>
  <c r="K18" s="1"/>
  <c r="M80" i="26"/>
  <c r="M98"/>
  <c r="M103" s="1"/>
  <c r="M75"/>
  <c r="M84" s="1"/>
  <c r="M79" i="29" l="1"/>
  <c r="L92"/>
  <c r="M98" i="30"/>
  <c r="M103" s="1"/>
  <c r="M80"/>
  <c r="M82" s="1"/>
  <c r="M477" i="18" s="1"/>
  <c r="M75" i="30"/>
  <c r="M84" s="1"/>
  <c r="K7" i="28"/>
  <c r="K15" s="1"/>
  <c r="M85" i="27"/>
  <c r="M82" i="26"/>
  <c r="M476" i="18" s="1"/>
  <c r="M479" s="1"/>
  <c r="M85" i="26"/>
  <c r="M86"/>
  <c r="M80" i="29" l="1"/>
  <c r="M82" s="1"/>
  <c r="M475" i="18" s="1"/>
  <c r="M98" i="29"/>
  <c r="M103" s="1"/>
  <c r="M75"/>
  <c r="M84" s="1"/>
  <c r="M85" i="30"/>
  <c r="M86"/>
  <c r="M159" i="27"/>
  <c r="L8" i="28" s="1"/>
  <c r="L16" s="1"/>
  <c r="M89" i="27"/>
  <c r="M163" s="1"/>
  <c r="M88"/>
  <c r="M162" s="1"/>
  <c r="N79" i="26"/>
  <c r="M92"/>
  <c r="M92" i="30" l="1"/>
  <c r="N79"/>
  <c r="M85" i="29"/>
  <c r="M86"/>
  <c r="L5" i="28"/>
  <c r="L12" s="1"/>
  <c r="L18" s="1"/>
  <c r="N98" i="26"/>
  <c r="N103" s="1"/>
  <c r="N80"/>
  <c r="N75"/>
  <c r="N84" s="1"/>
  <c r="M92" i="29" l="1"/>
  <c r="N79"/>
  <c r="N98" i="30"/>
  <c r="N103" s="1"/>
  <c r="N80"/>
  <c r="N82" s="1"/>
  <c r="N477" i="18" s="1"/>
  <c r="N75" i="30"/>
  <c r="N84" s="1"/>
  <c r="L7" i="28"/>
  <c r="L15" s="1"/>
  <c r="N85" i="27"/>
  <c r="N82" i="26"/>
  <c r="N476" i="18" s="1"/>
  <c r="N479" s="1"/>
  <c r="N85" i="26"/>
  <c r="N86"/>
  <c r="N85" i="30" l="1"/>
  <c r="N86"/>
  <c r="N98" i="29"/>
  <c r="N103" s="1"/>
  <c r="N80"/>
  <c r="N82" s="1"/>
  <c r="N475" i="18" s="1"/>
  <c r="N75" i="29"/>
  <c r="N84" s="1"/>
  <c r="N159" i="27"/>
  <c r="M8" i="28" s="1"/>
  <c r="M16" s="1"/>
  <c r="N89" i="27"/>
  <c r="N163" s="1"/>
  <c r="N88"/>
  <c r="N162" s="1"/>
  <c r="O79" i="26"/>
  <c r="N92"/>
  <c r="N85" i="29" l="1"/>
  <c r="N86"/>
  <c r="O79" i="30"/>
  <c r="N92"/>
  <c r="M5" i="28"/>
  <c r="M12" s="1"/>
  <c r="M18" s="1"/>
  <c r="O80" i="26"/>
  <c r="O98"/>
  <c r="O103" s="1"/>
  <c r="O75"/>
  <c r="O84" s="1"/>
  <c r="O98" i="30" l="1"/>
  <c r="O103" s="1"/>
  <c r="O80"/>
  <c r="O82" s="1"/>
  <c r="O477" i="18" s="1"/>
  <c r="O75" i="30"/>
  <c r="O84" s="1"/>
  <c r="O79" i="29"/>
  <c r="N92"/>
  <c r="M7" i="28"/>
  <c r="M15" s="1"/>
  <c r="O85" i="26"/>
  <c r="O86"/>
  <c r="O85" i="27"/>
  <c r="O82" i="26"/>
  <c r="O476" i="18" s="1"/>
  <c r="O479" s="1"/>
  <c r="O85" i="30" l="1"/>
  <c r="O86"/>
  <c r="O80" i="29"/>
  <c r="O82" s="1"/>
  <c r="O475" i="18" s="1"/>
  <c r="O98" i="29"/>
  <c r="O103" s="1"/>
  <c r="O75"/>
  <c r="O84" s="1"/>
  <c r="O159" i="27"/>
  <c r="N8" i="28" s="1"/>
  <c r="N16" s="1"/>
  <c r="O88" i="27"/>
  <c r="O162" s="1"/>
  <c r="O89"/>
  <c r="O163" s="1"/>
  <c r="P79" i="26"/>
  <c r="O92"/>
  <c r="O85" i="29" l="1"/>
  <c r="O86"/>
  <c r="O92" i="30"/>
  <c r="P79"/>
  <c r="N5" i="28"/>
  <c r="N12" s="1"/>
  <c r="N18" s="1"/>
  <c r="P98" i="26"/>
  <c r="P103" s="1"/>
  <c r="P80"/>
  <c r="P75"/>
  <c r="P84" s="1"/>
  <c r="P98" i="30" l="1"/>
  <c r="P103" s="1"/>
  <c r="P80"/>
  <c r="P82" s="1"/>
  <c r="P477" i="18" s="1"/>
  <c r="P75" i="30"/>
  <c r="P84" s="1"/>
  <c r="O92" i="29"/>
  <c r="P79"/>
  <c r="N7" i="28"/>
  <c r="N15" s="1"/>
  <c r="P85" i="26"/>
  <c r="P86"/>
  <c r="P85" i="27"/>
  <c r="P82" i="26"/>
  <c r="P476" i="18" s="1"/>
  <c r="P479" s="1"/>
  <c r="P98" i="29" l="1"/>
  <c r="P103" s="1"/>
  <c r="P80"/>
  <c r="P82" s="1"/>
  <c r="P475" i="18" s="1"/>
  <c r="P75" i="29"/>
  <c r="P84" s="1"/>
  <c r="P85" i="30"/>
  <c r="P86"/>
  <c r="P159" i="27"/>
  <c r="O8" i="28" s="1"/>
  <c r="O16" s="1"/>
  <c r="P88" i="27"/>
  <c r="P162" s="1"/>
  <c r="P89"/>
  <c r="P163" s="1"/>
  <c r="Q79" i="26"/>
  <c r="P92"/>
  <c r="P92" i="30" l="1"/>
  <c r="Q79"/>
  <c r="P85" i="29"/>
  <c r="P86"/>
  <c r="O5" i="28"/>
  <c r="O12" s="1"/>
  <c r="O18" s="1"/>
  <c r="Q80" i="26"/>
  <c r="Q98"/>
  <c r="Q103" s="1"/>
  <c r="Q75"/>
  <c r="Q84" s="1"/>
  <c r="P92" i="29" l="1"/>
  <c r="Q79"/>
  <c r="Q80" i="30"/>
  <c r="Q82" s="1"/>
  <c r="Q477" i="18" s="1"/>
  <c r="Q98" i="30"/>
  <c r="Q103" s="1"/>
  <c r="Q75"/>
  <c r="Q84" s="1"/>
  <c r="O7" i="28"/>
  <c r="O15" s="1"/>
  <c r="Q85" i="26"/>
  <c r="Q86"/>
  <c r="Q85" i="27"/>
  <c r="Q82" i="26"/>
  <c r="Q476" i="18" s="1"/>
  <c r="Q479" s="1"/>
  <c r="Q85" i="30" l="1"/>
  <c r="Q86"/>
  <c r="Q98" i="29"/>
  <c r="Q103" s="1"/>
  <c r="Q80"/>
  <c r="Q82" s="1"/>
  <c r="Q475" i="18" s="1"/>
  <c r="Q75" i="29"/>
  <c r="Q84" s="1"/>
  <c r="Q159" i="27"/>
  <c r="P8" i="28" s="1"/>
  <c r="P16" s="1"/>
  <c r="Q88" i="27"/>
  <c r="Q162" s="1"/>
  <c r="Q89"/>
  <c r="Q163" s="1"/>
  <c r="R79" i="26"/>
  <c r="Q92"/>
  <c r="Q85" i="29" l="1"/>
  <c r="Q86"/>
  <c r="R79" i="30"/>
  <c r="Q92"/>
  <c r="P5" i="28"/>
  <c r="P12" s="1"/>
  <c r="P18" s="1"/>
  <c r="R98" i="26"/>
  <c r="R103" s="1"/>
  <c r="R80"/>
  <c r="R75"/>
  <c r="R84" s="1"/>
  <c r="R98" i="30" l="1"/>
  <c r="R103" s="1"/>
  <c r="R80"/>
  <c r="R82" s="1"/>
  <c r="R477" i="18" s="1"/>
  <c r="R75" i="30"/>
  <c r="R84" s="1"/>
  <c r="R79" i="29"/>
  <c r="Q92"/>
  <c r="P7" i="28"/>
  <c r="P15" s="1"/>
  <c r="R85" i="26"/>
  <c r="R86"/>
  <c r="R85" i="27"/>
  <c r="R82" i="26"/>
  <c r="R476" i="18" s="1"/>
  <c r="R479" s="1"/>
  <c r="R85" i="30" l="1"/>
  <c r="R86"/>
  <c r="R80" i="29"/>
  <c r="R82" s="1"/>
  <c r="R475" i="18" s="1"/>
  <c r="R98" i="29"/>
  <c r="R103" s="1"/>
  <c r="R75"/>
  <c r="R84" s="1"/>
  <c r="R159" i="27"/>
  <c r="Q8" i="28" s="1"/>
  <c r="Q16" s="1"/>
  <c r="R88" i="27"/>
  <c r="R162" s="1"/>
  <c r="R89"/>
  <c r="R163" s="1"/>
  <c r="R85" i="29" l="1"/>
  <c r="R86"/>
  <c r="Q5" i="28"/>
  <c r="Q7" s="1"/>
  <c r="Q15" s="1"/>
  <c r="Q12" l="1"/>
  <c r="Q18" s="1"/>
</calcChain>
</file>

<file path=xl/comments1.xml><?xml version="1.0" encoding="utf-8"?>
<comments xmlns="http://schemas.openxmlformats.org/spreadsheetml/2006/main">
  <authors>
    <author>yamabana</author>
    <author>schmittv</author>
    <author>Florence</author>
  </authors>
  <commentList>
    <comment ref="H19" authorId="0">
      <text>
        <r>
          <rPr>
            <b/>
            <sz val="8"/>
            <color indexed="81"/>
            <rFont val="Tahoma"/>
            <family val="2"/>
          </rPr>
          <t>yamabana:</t>
        </r>
        <r>
          <rPr>
            <sz val="8"/>
            <color indexed="81"/>
            <rFont val="Tahoma"/>
            <family val="2"/>
          </rPr>
          <t xml:space="preserve">
This minimum wage development has some substantial impacts on the cost. Better to refer in the report.</t>
        </r>
      </text>
    </comment>
    <comment ref="J21" authorId="0">
      <text>
        <r>
          <rPr>
            <b/>
            <sz val="8"/>
            <color indexed="81"/>
            <rFont val="Tahoma"/>
            <family val="2"/>
          </rPr>
          <t>yamabana:</t>
        </r>
        <r>
          <rPr>
            <sz val="8"/>
            <color indexed="81"/>
            <rFont val="Tahoma"/>
            <family val="2"/>
          </rPr>
          <t xml:space="preserve">
An inssue in the starting point.</t>
        </r>
      </text>
    </comment>
    <comment ref="I26" authorId="0">
      <text>
        <r>
          <rPr>
            <b/>
            <sz val="8"/>
            <color indexed="81"/>
            <rFont val="Tahoma"/>
            <family val="2"/>
          </rPr>
          <t>yamabana:</t>
        </r>
        <r>
          <rPr>
            <sz val="8"/>
            <color indexed="81"/>
            <rFont val="Tahoma"/>
            <family val="2"/>
          </rPr>
          <t xml:space="preserve">
An issue in the usage of GDP deflator. Not CPI?</t>
        </r>
      </text>
    </comment>
    <comment ref="A30" authorId="1">
      <text>
        <r>
          <rPr>
            <b/>
            <sz val="8"/>
            <color indexed="81"/>
            <rFont val="Tahoma"/>
            <family val="2"/>
          </rPr>
          <t>schmittv:</t>
        </r>
        <r>
          <rPr>
            <sz val="8"/>
            <color indexed="81"/>
            <rFont val="Tahoma"/>
            <family val="2"/>
          </rPr>
          <t xml:space="preserve">
cela permet de </t>
        </r>
      </text>
    </comment>
    <comment ref="A39" authorId="1">
      <text>
        <r>
          <rPr>
            <b/>
            <sz val="8"/>
            <color indexed="81"/>
            <rFont val="Tahoma"/>
            <family val="2"/>
          </rPr>
          <t>schmittv:</t>
        </r>
        <r>
          <rPr>
            <sz val="8"/>
            <color indexed="81"/>
            <rFont val="Tahoma"/>
            <family val="2"/>
          </rPr>
          <t xml:space="preserve">
la decomposition entre secteurs est utile pour distinguer entre les niveaux de taxe qui peuvent etre differents d'un secteur a l'autre; en outre c'est important de voir si les gens bougent d'un secteur a l'autre</t>
        </r>
      </text>
    </comment>
    <comment ref="F47" authorId="1">
      <text>
        <r>
          <rPr>
            <b/>
            <sz val="8"/>
            <color indexed="81"/>
            <rFont val="Tahoma"/>
            <family val="2"/>
          </rPr>
          <t>schmittv:</t>
        </r>
        <r>
          <rPr>
            <sz val="8"/>
            <color indexed="81"/>
            <rFont val="Tahoma"/>
            <family val="2"/>
          </rPr>
          <t xml:space="preserve">
makes no sense to have a decrease in productivity</t>
        </r>
      </text>
    </comment>
    <comment ref="A87" authorId="1">
      <text>
        <r>
          <rPr>
            <b/>
            <sz val="8"/>
            <color indexed="81"/>
            <rFont val="Tahoma"/>
            <family val="2"/>
          </rPr>
          <t>schmittv:</t>
        </r>
        <r>
          <rPr>
            <sz val="8"/>
            <color indexed="81"/>
            <rFont val="Tahoma"/>
            <family val="2"/>
          </rPr>
          <t xml:space="preserve">
GDP constant / emploi</t>
        </r>
      </text>
    </comment>
    <comment ref="F109" authorId="2">
      <text>
        <r>
          <rPr>
            <b/>
            <sz val="8"/>
            <color indexed="81"/>
            <rFont val="Tahoma"/>
            <family val="2"/>
          </rPr>
          <t>Florence:</t>
        </r>
        <r>
          <rPr>
            <sz val="8"/>
            <color indexed="81"/>
            <rFont val="Tahoma"/>
            <family val="2"/>
          </rPr>
          <t xml:space="preserve">
GSO
http://www.gso.gov.vn/default.aspx?tabid=622&amp;ItemID=10852</t>
        </r>
      </text>
    </comment>
  </commentList>
</comments>
</file>

<file path=xl/comments2.xml><?xml version="1.0" encoding="utf-8"?>
<comments xmlns="http://schemas.openxmlformats.org/spreadsheetml/2006/main">
  <authors>
    <author>schmittv</author>
    <author>ILO</author>
    <author>Flo</author>
  </authors>
  <commentList>
    <comment ref="B18" authorId="0">
      <text>
        <r>
          <rPr>
            <b/>
            <sz val="8"/>
            <color indexed="81"/>
            <rFont val="Tahoma"/>
            <family val="2"/>
          </rPr>
          <t>schmittv:</t>
        </r>
        <r>
          <rPr>
            <sz val="8"/>
            <color indexed="81"/>
            <rFont val="Tahoma"/>
            <family val="2"/>
          </rPr>
          <t xml:space="preserve">
il faut prendre general government qui est plus general que State government</t>
        </r>
      </text>
    </comment>
    <comment ref="C45" authorId="0">
      <text>
        <r>
          <rPr>
            <b/>
            <sz val="8"/>
            <color indexed="81"/>
            <rFont val="Tahoma"/>
            <family val="2"/>
          </rPr>
          <t>schmittv:</t>
        </r>
        <r>
          <rPr>
            <sz val="8"/>
            <color indexed="81"/>
            <rFont val="Tahoma"/>
            <family val="2"/>
          </rPr>
          <t xml:space="preserve">
source: VSS contributions en pourcentage du PIB et selon l'employeur</t>
        </r>
      </text>
    </comment>
    <comment ref="B72" authorId="1">
      <text>
        <r>
          <rPr>
            <b/>
            <sz val="8"/>
            <color indexed="81"/>
            <rFont val="Tahoma"/>
            <family val="2"/>
          </rPr>
          <t>ILO:</t>
        </r>
        <r>
          <rPr>
            <sz val="8"/>
            <color indexed="81"/>
            <rFont val="Tahoma"/>
            <family val="2"/>
          </rPr>
          <t xml:space="preserve">
Do we include the off-budget investment
</t>
        </r>
      </text>
    </comment>
    <comment ref="B96" authorId="0">
      <text>
        <r>
          <rPr>
            <b/>
            <sz val="8"/>
            <color indexed="81"/>
            <rFont val="Tahoma"/>
            <family val="2"/>
          </rPr>
          <t>schmittv:</t>
        </r>
        <r>
          <rPr>
            <sz val="8"/>
            <color indexed="81"/>
            <rFont val="Tahoma"/>
            <family val="2"/>
          </rPr>
          <t xml:space="preserve">
il faut prendre general government qui est plus general que State government</t>
        </r>
      </text>
    </comment>
    <comment ref="A117" authorId="2">
      <text>
        <r>
          <rPr>
            <b/>
            <sz val="9"/>
            <color indexed="81"/>
            <rFont val="Tahoma"/>
            <family val="2"/>
          </rPr>
          <t>Flo:</t>
        </r>
        <r>
          <rPr>
            <sz val="9"/>
            <color indexed="81"/>
            <rFont val="Tahoma"/>
            <family val="2"/>
          </rPr>
          <t xml:space="preserve">
To be used to update table 4,1</t>
        </r>
      </text>
    </comment>
    <comment ref="C121" authorId="0">
      <text>
        <r>
          <rPr>
            <b/>
            <sz val="8"/>
            <color indexed="81"/>
            <rFont val="Tahoma"/>
            <family val="2"/>
          </rPr>
          <t>schmittv:</t>
        </r>
        <r>
          <rPr>
            <sz val="8"/>
            <color indexed="81"/>
            <rFont val="Tahoma"/>
            <family val="2"/>
          </rPr>
          <t xml:space="preserve">
source: VSS contributions en pourcentage du PIB et selon l'employeur</t>
        </r>
      </text>
    </comment>
    <comment ref="B146" authorId="1">
      <text>
        <r>
          <rPr>
            <b/>
            <sz val="8"/>
            <color indexed="81"/>
            <rFont val="Tahoma"/>
            <family val="2"/>
          </rPr>
          <t>ILO:</t>
        </r>
        <r>
          <rPr>
            <sz val="8"/>
            <color indexed="81"/>
            <rFont val="Tahoma"/>
            <family val="2"/>
          </rPr>
          <t xml:space="preserve">
Do we include the off-budget investment
</t>
        </r>
      </text>
    </comment>
    <comment ref="B172" authorId="0">
      <text>
        <r>
          <rPr>
            <b/>
            <sz val="8"/>
            <color indexed="81"/>
            <rFont val="Tahoma"/>
            <family val="2"/>
          </rPr>
          <t>schmittv:</t>
        </r>
        <r>
          <rPr>
            <sz val="8"/>
            <color indexed="81"/>
            <rFont val="Tahoma"/>
            <family val="2"/>
          </rPr>
          <t xml:space="preserve">
il faut prendre general government qui est plus general que State government</t>
        </r>
      </text>
    </comment>
    <comment ref="B175" authorId="0">
      <text>
        <r>
          <rPr>
            <b/>
            <sz val="8"/>
            <color indexed="81"/>
            <rFont val="Tahoma"/>
            <family val="2"/>
          </rPr>
          <t>schmittv:</t>
        </r>
        <r>
          <rPr>
            <sz val="8"/>
            <color indexed="81"/>
            <rFont val="Tahoma"/>
            <family val="2"/>
          </rPr>
          <t>indexe sur wage</t>
        </r>
      </text>
    </comment>
    <comment ref="B176" authorId="0">
      <text>
        <r>
          <rPr>
            <b/>
            <sz val="8"/>
            <color indexed="81"/>
            <rFont val="Tahoma"/>
            <family val="2"/>
          </rPr>
          <t>schmittv:</t>
        </r>
        <r>
          <rPr>
            <sz val="8"/>
            <color indexed="81"/>
            <rFont val="Tahoma"/>
            <family val="2"/>
          </rPr>
          <t xml:space="preserve">
social security contributions</t>
        </r>
      </text>
    </comment>
    <comment ref="B205" authorId="1">
      <text>
        <r>
          <rPr>
            <b/>
            <sz val="8"/>
            <color indexed="81"/>
            <rFont val="Tahoma"/>
            <family val="2"/>
          </rPr>
          <t>ILO:</t>
        </r>
        <r>
          <rPr>
            <sz val="8"/>
            <color indexed="81"/>
            <rFont val="Tahoma"/>
            <family val="2"/>
          </rPr>
          <t xml:space="preserve">
Do we include the off-budget investment
</t>
        </r>
      </text>
    </comment>
    <comment ref="B228" authorId="0">
      <text>
        <r>
          <rPr>
            <b/>
            <sz val="8"/>
            <color indexed="81"/>
            <rFont val="Tahoma"/>
            <family val="2"/>
          </rPr>
          <t>schmittv:</t>
        </r>
        <r>
          <rPr>
            <sz val="8"/>
            <color indexed="81"/>
            <rFont val="Tahoma"/>
            <family val="2"/>
          </rPr>
          <t xml:space="preserve">
il faut prendre general government qui est plus general que State government</t>
        </r>
      </text>
    </comment>
    <comment ref="B249" authorId="1">
      <text>
        <r>
          <rPr>
            <b/>
            <sz val="8"/>
            <color indexed="81"/>
            <rFont val="Tahoma"/>
            <family val="2"/>
          </rPr>
          <t>ILO:</t>
        </r>
        <r>
          <rPr>
            <sz val="8"/>
            <color indexed="81"/>
            <rFont val="Tahoma"/>
            <family val="2"/>
          </rPr>
          <t xml:space="preserve">
Do we include the off-budget investment
</t>
        </r>
      </text>
    </comment>
  </commentList>
</comments>
</file>

<file path=xl/comments3.xml><?xml version="1.0" encoding="utf-8"?>
<comments xmlns="http://schemas.openxmlformats.org/spreadsheetml/2006/main">
  <authors>
    <author>schmittv</author>
    <author>ILO</author>
    <author>Flo</author>
  </authors>
  <commentList>
    <comment ref="B18" authorId="0">
      <text>
        <r>
          <rPr>
            <b/>
            <sz val="8"/>
            <color indexed="81"/>
            <rFont val="Tahoma"/>
            <family val="2"/>
          </rPr>
          <t>schmittv:</t>
        </r>
        <r>
          <rPr>
            <sz val="8"/>
            <color indexed="81"/>
            <rFont val="Tahoma"/>
            <family val="2"/>
          </rPr>
          <t xml:space="preserve">
il faut prendre general government qui est plus general que State government</t>
        </r>
      </text>
    </comment>
    <comment ref="C45" authorId="0">
      <text>
        <r>
          <rPr>
            <b/>
            <sz val="8"/>
            <color indexed="81"/>
            <rFont val="Tahoma"/>
            <family val="2"/>
          </rPr>
          <t>schmittv:</t>
        </r>
        <r>
          <rPr>
            <sz val="8"/>
            <color indexed="81"/>
            <rFont val="Tahoma"/>
            <family val="2"/>
          </rPr>
          <t xml:space="preserve">
source: VSS contributions en pourcentage du PIB et selon l'employeur</t>
        </r>
      </text>
    </comment>
    <comment ref="B72" authorId="1">
      <text>
        <r>
          <rPr>
            <b/>
            <sz val="8"/>
            <color indexed="81"/>
            <rFont val="Tahoma"/>
            <family val="2"/>
          </rPr>
          <t>ILO:</t>
        </r>
        <r>
          <rPr>
            <sz val="8"/>
            <color indexed="81"/>
            <rFont val="Tahoma"/>
            <family val="2"/>
          </rPr>
          <t xml:space="preserve">
Do we include the off-budget investment
</t>
        </r>
      </text>
    </comment>
    <comment ref="B84" authorId="0">
      <text>
        <r>
          <rPr>
            <b/>
            <sz val="8"/>
            <color indexed="81"/>
            <rFont val="Tahoma"/>
            <family val="2"/>
          </rPr>
          <t>schmittv:</t>
        </r>
        <r>
          <rPr>
            <sz val="8"/>
            <color indexed="81"/>
            <rFont val="Tahoma"/>
            <family val="2"/>
          </rPr>
          <t xml:space="preserve">
il faut prendre general government qui est plus general que State government</t>
        </r>
      </text>
    </comment>
    <comment ref="A106" authorId="2">
      <text>
        <r>
          <rPr>
            <b/>
            <sz val="9"/>
            <color indexed="81"/>
            <rFont val="Tahoma"/>
            <family val="2"/>
          </rPr>
          <t>Flo:</t>
        </r>
        <r>
          <rPr>
            <sz val="9"/>
            <color indexed="81"/>
            <rFont val="Tahoma"/>
            <family val="2"/>
          </rPr>
          <t xml:space="preserve">
To be used to update table 4,1</t>
        </r>
      </text>
    </comment>
    <comment ref="C110" authorId="0">
      <text>
        <r>
          <rPr>
            <b/>
            <sz val="8"/>
            <color indexed="81"/>
            <rFont val="Tahoma"/>
            <family val="2"/>
          </rPr>
          <t>schmittv:</t>
        </r>
        <r>
          <rPr>
            <sz val="8"/>
            <color indexed="81"/>
            <rFont val="Tahoma"/>
            <family val="2"/>
          </rPr>
          <t xml:space="preserve">
source: VSS contributions en pourcentage du PIB et selon l'employeur</t>
        </r>
      </text>
    </comment>
    <comment ref="B135" authorId="1">
      <text>
        <r>
          <rPr>
            <b/>
            <sz val="8"/>
            <color indexed="81"/>
            <rFont val="Tahoma"/>
            <family val="2"/>
          </rPr>
          <t>ILO:</t>
        </r>
        <r>
          <rPr>
            <sz val="8"/>
            <color indexed="81"/>
            <rFont val="Tahoma"/>
            <family val="2"/>
          </rPr>
          <t xml:space="preserve">
Do we include the off-budget investment
</t>
        </r>
      </text>
    </comment>
    <comment ref="B149" authorId="0">
      <text>
        <r>
          <rPr>
            <b/>
            <sz val="8"/>
            <color indexed="81"/>
            <rFont val="Tahoma"/>
            <family val="2"/>
          </rPr>
          <t>schmittv:</t>
        </r>
        <r>
          <rPr>
            <sz val="8"/>
            <color indexed="81"/>
            <rFont val="Tahoma"/>
            <family val="2"/>
          </rPr>
          <t xml:space="preserve">
il faut prendre general government qui est plus general que State government</t>
        </r>
      </text>
    </comment>
    <comment ref="B152" authorId="0">
      <text>
        <r>
          <rPr>
            <b/>
            <sz val="8"/>
            <color indexed="81"/>
            <rFont val="Tahoma"/>
            <family val="2"/>
          </rPr>
          <t>schmittv:</t>
        </r>
        <r>
          <rPr>
            <sz val="8"/>
            <color indexed="81"/>
            <rFont val="Tahoma"/>
            <family val="2"/>
          </rPr>
          <t>indexe sur wage</t>
        </r>
      </text>
    </comment>
    <comment ref="B153" authorId="0">
      <text>
        <r>
          <rPr>
            <b/>
            <sz val="8"/>
            <color indexed="81"/>
            <rFont val="Tahoma"/>
            <family val="2"/>
          </rPr>
          <t>schmittv:</t>
        </r>
        <r>
          <rPr>
            <sz val="8"/>
            <color indexed="81"/>
            <rFont val="Tahoma"/>
            <family val="2"/>
          </rPr>
          <t xml:space="preserve">
social security contributions</t>
        </r>
      </text>
    </comment>
    <comment ref="B182" authorId="1">
      <text>
        <r>
          <rPr>
            <b/>
            <sz val="8"/>
            <color indexed="81"/>
            <rFont val="Tahoma"/>
            <family val="2"/>
          </rPr>
          <t>ILO:</t>
        </r>
        <r>
          <rPr>
            <sz val="8"/>
            <color indexed="81"/>
            <rFont val="Tahoma"/>
            <family val="2"/>
          </rPr>
          <t xml:space="preserve">
Do we include the off-budget investment
</t>
        </r>
      </text>
    </comment>
    <comment ref="B205" authorId="0">
      <text>
        <r>
          <rPr>
            <b/>
            <sz val="8"/>
            <color indexed="81"/>
            <rFont val="Tahoma"/>
            <family val="2"/>
          </rPr>
          <t>schmittv:</t>
        </r>
        <r>
          <rPr>
            <sz val="8"/>
            <color indexed="81"/>
            <rFont val="Tahoma"/>
            <family val="2"/>
          </rPr>
          <t xml:space="preserve">
il faut prendre general government qui est plus general que State government</t>
        </r>
      </text>
    </comment>
    <comment ref="B226" authorId="1">
      <text>
        <r>
          <rPr>
            <b/>
            <sz val="8"/>
            <color indexed="81"/>
            <rFont val="Tahoma"/>
            <family val="2"/>
          </rPr>
          <t>ILO:</t>
        </r>
        <r>
          <rPr>
            <sz val="8"/>
            <color indexed="81"/>
            <rFont val="Tahoma"/>
            <family val="2"/>
          </rPr>
          <t xml:space="preserve">
Do we include the off-budget investment
</t>
        </r>
      </text>
    </comment>
  </commentList>
</comments>
</file>

<file path=xl/comments4.xml><?xml version="1.0" encoding="utf-8"?>
<comments xmlns="http://schemas.openxmlformats.org/spreadsheetml/2006/main">
  <authors>
    <author>yamabana</author>
  </authors>
  <commentList>
    <comment ref="A116" authorId="0">
      <text>
        <r>
          <rPr>
            <b/>
            <sz val="8"/>
            <color indexed="81"/>
            <rFont val="Tahoma"/>
            <family val="2"/>
          </rPr>
          <t>yamabana:</t>
        </r>
        <r>
          <rPr>
            <sz val="8"/>
            <color indexed="81"/>
            <rFont val="Tahoma"/>
            <family val="2"/>
          </rPr>
          <t xml:space="preserve">
I understand these are benefits to be discussed in the report.</t>
        </r>
      </text>
    </comment>
  </commentList>
</comments>
</file>

<file path=xl/comments5.xml><?xml version="1.0" encoding="utf-8"?>
<comments xmlns="http://schemas.openxmlformats.org/spreadsheetml/2006/main">
  <authors>
    <author>yamabana</author>
  </authors>
  <commentList>
    <comment ref="A1" authorId="0">
      <text>
        <r>
          <rPr>
            <b/>
            <sz val="8"/>
            <color indexed="81"/>
            <rFont val="Tahoma"/>
            <family val="2"/>
          </rPr>
          <t>yamabana:</t>
        </r>
        <r>
          <rPr>
            <sz val="8"/>
            <color indexed="81"/>
            <rFont val="Tahoma"/>
            <family val="2"/>
          </rPr>
          <t xml:space="preserve">
Let's check which options are used for the report with what kind of benefit level.
</t>
        </r>
      </text>
    </comment>
    <comment ref="B19" authorId="0">
      <text>
        <r>
          <rPr>
            <b/>
            <sz val="8"/>
            <color indexed="81"/>
            <rFont val="Tahoma"/>
            <family val="2"/>
          </rPr>
          <t>yamabana:</t>
        </r>
        <r>
          <rPr>
            <sz val="8"/>
            <color indexed="81"/>
            <rFont val="Tahoma"/>
            <family val="2"/>
          </rPr>
          <t xml:space="preserve">
Any hints to set these parameters?</t>
        </r>
      </text>
    </comment>
    <comment ref="B30" authorId="0">
      <text>
        <r>
          <rPr>
            <b/>
            <sz val="8"/>
            <color indexed="81"/>
            <rFont val="Tahoma"/>
            <family val="2"/>
          </rPr>
          <t>yamabana:</t>
        </r>
        <r>
          <rPr>
            <sz val="8"/>
            <color indexed="81"/>
            <rFont val="Tahoma"/>
            <family val="2"/>
          </rPr>
          <t xml:space="preserve">
70% in the report. Why is this coverage gap created? By the loose implementation?</t>
        </r>
      </text>
    </comment>
    <comment ref="B137" authorId="0">
      <text>
        <r>
          <rPr>
            <b/>
            <sz val="8"/>
            <color indexed="81"/>
            <rFont val="Tahoma"/>
            <family val="2"/>
          </rPr>
          <t>yamabana:</t>
        </r>
        <r>
          <rPr>
            <sz val="8"/>
            <color indexed="81"/>
            <rFont val="Tahoma"/>
            <family val="2"/>
          </rPr>
          <t xml:space="preserve">
This higher admin cost is possibly due to the complexity to be caused. Needs explanations. </t>
        </r>
      </text>
    </comment>
  </commentList>
</comments>
</file>

<file path=xl/comments6.xml><?xml version="1.0" encoding="utf-8"?>
<comments xmlns="http://schemas.openxmlformats.org/spreadsheetml/2006/main">
  <authors>
    <author>yamabana</author>
  </authors>
  <commentList>
    <comment ref="B24" authorId="0">
      <text>
        <r>
          <rPr>
            <b/>
            <sz val="8"/>
            <color indexed="81"/>
            <rFont val="Tahoma"/>
            <family val="2"/>
          </rPr>
          <t>yamabana:</t>
        </r>
        <r>
          <rPr>
            <sz val="8"/>
            <color indexed="81"/>
            <rFont val="Tahoma"/>
            <family val="2"/>
          </rPr>
          <t xml:space="preserve">
Here is the issue of the differnce between the population and labour force, also 3.0% and 3.7%.</t>
        </r>
      </text>
    </comment>
    <comment ref="B32" authorId="0">
      <text>
        <r>
          <rPr>
            <b/>
            <sz val="8"/>
            <color indexed="81"/>
            <rFont val="Tahoma"/>
            <family val="2"/>
          </rPr>
          <t>yamabana:</t>
        </r>
        <r>
          <rPr>
            <sz val="8"/>
            <color indexed="81"/>
            <rFont val="Tahoma"/>
            <family val="2"/>
          </rPr>
          <t xml:space="preserve">
This is an important assumption to be mentioned in the report.</t>
        </r>
      </text>
    </comment>
    <comment ref="B62" authorId="0">
      <text>
        <r>
          <rPr>
            <b/>
            <sz val="8"/>
            <color indexed="81"/>
            <rFont val="Tahoma"/>
            <family val="2"/>
          </rPr>
          <t>yamabana:</t>
        </r>
        <r>
          <rPr>
            <sz val="8"/>
            <color indexed="81"/>
            <rFont val="Tahoma"/>
            <family val="2"/>
          </rPr>
          <t xml:space="preserve">
Reasoning of 220 working days? Mention clearly.</t>
        </r>
      </text>
    </comment>
    <comment ref="B65" authorId="0">
      <text>
        <r>
          <rPr>
            <b/>
            <sz val="8"/>
            <color indexed="81"/>
            <rFont val="Tahoma"/>
            <family val="2"/>
          </rPr>
          <t>yamabana:</t>
        </r>
        <r>
          <rPr>
            <sz val="8"/>
            <color indexed="81"/>
            <rFont val="Tahoma"/>
            <family val="2"/>
          </rPr>
          <t xml:space="preserve">
Where does 0.32 comefrom?</t>
        </r>
      </text>
    </comment>
  </commentList>
</comments>
</file>

<file path=xl/comments7.xml><?xml version="1.0" encoding="utf-8"?>
<comments xmlns="http://schemas.openxmlformats.org/spreadsheetml/2006/main">
  <authors>
    <author>hyamada</author>
    <author>superrspohn</author>
  </authors>
  <commentList>
    <comment ref="N23" authorId="0">
      <text>
        <r>
          <rPr>
            <b/>
            <sz val="9"/>
            <color indexed="81"/>
            <rFont val="Tahoma"/>
            <family val="2"/>
          </rPr>
          <t>hyamada:</t>
        </r>
        <r>
          <rPr>
            <sz val="9"/>
            <color indexed="81"/>
            <rFont val="Tahoma"/>
            <family val="2"/>
          </rPr>
          <t xml:space="preserve">
We do not have oil price projection after this year...</t>
        </r>
      </text>
    </comment>
    <comment ref="J31" authorId="0">
      <text>
        <r>
          <rPr>
            <b/>
            <sz val="12"/>
            <color indexed="81"/>
            <rFont val="Tahoma"/>
            <family val="2"/>
          </rPr>
          <t>hyamada:</t>
        </r>
        <r>
          <rPr>
            <sz val="12"/>
            <color indexed="81"/>
            <rFont val="Tahoma"/>
            <family val="2"/>
          </rPr>
          <t xml:space="preserve">
Cells highlighted in yellow have some "shrinking/amplified" factor.</t>
        </r>
      </text>
    </comment>
    <comment ref="C62" authorId="1">
      <text>
        <r>
          <rPr>
            <b/>
            <sz val="8"/>
            <color indexed="81"/>
            <rFont val="Tahoma"/>
            <family val="2"/>
          </rPr>
          <t>superrspohn:</t>
        </r>
        <r>
          <rPr>
            <sz val="8"/>
            <color indexed="81"/>
            <rFont val="Tahoma"/>
            <family val="2"/>
          </rPr>
          <t xml:space="preserve">
was onlent</t>
        </r>
      </text>
    </comment>
    <comment ref="B63" authorId="1">
      <text>
        <r>
          <rPr>
            <b/>
            <sz val="8"/>
            <color indexed="81"/>
            <rFont val="Tahoma"/>
            <family val="2"/>
          </rPr>
          <t>superrspohn:</t>
        </r>
        <r>
          <rPr>
            <sz val="8"/>
            <color indexed="81"/>
            <rFont val="Tahoma"/>
            <family val="2"/>
          </rPr>
          <t xml:space="preserve">
this series may need to be revised to include repayments in respect of ODA onlent loan repayments to foreign creditors.</t>
        </r>
      </text>
    </comment>
    <comment ref="B65" authorId="1">
      <text>
        <r>
          <rPr>
            <b/>
            <sz val="8"/>
            <color indexed="81"/>
            <rFont val="Tahoma"/>
            <family val="2"/>
          </rPr>
          <t>superrspohn:</t>
        </r>
        <r>
          <rPr>
            <sz val="8"/>
            <color indexed="81"/>
            <rFont val="Tahoma"/>
            <family val="2"/>
          </rPr>
          <t xml:space="preserve">
excludes VDB, SPB and municipals financing</t>
        </r>
      </text>
    </comment>
    <comment ref="B85" authorId="0">
      <text>
        <r>
          <rPr>
            <b/>
            <sz val="12"/>
            <color indexed="81"/>
            <rFont val="Tahoma"/>
            <family val="2"/>
          </rPr>
          <t>hyamada:
VDB and SPB's net lending: Different from "ODA net lending" in the above the line.</t>
        </r>
      </text>
    </comment>
    <comment ref="J85" authorId="0">
      <text>
        <r>
          <rPr>
            <b/>
            <sz val="12"/>
            <color indexed="81"/>
            <rFont val="Tahoma"/>
            <family val="2"/>
          </rPr>
          <t>hyamada:</t>
        </r>
        <r>
          <rPr>
            <sz val="12"/>
            <color indexed="81"/>
            <rFont val="Tahoma"/>
            <family val="2"/>
          </rPr>
          <t xml:space="preserve">
Think again if this is a right assumption...</t>
        </r>
      </text>
    </comment>
    <comment ref="B137" authorId="1">
      <text>
        <r>
          <rPr>
            <b/>
            <sz val="8"/>
            <color indexed="81"/>
            <rFont val="Tahoma"/>
            <family val="2"/>
          </rPr>
          <t>superrspohn:</t>
        </r>
        <r>
          <rPr>
            <sz val="8"/>
            <color indexed="81"/>
            <rFont val="Tahoma"/>
            <family val="2"/>
          </rPr>
          <t xml:space="preserve">
this series may need to be revised to include repayments in respect of ODA onlent loan repayments to foreign creditors.</t>
        </r>
      </text>
    </comment>
    <comment ref="B139" authorId="1">
      <text>
        <r>
          <rPr>
            <b/>
            <sz val="8"/>
            <color indexed="81"/>
            <rFont val="Tahoma"/>
            <family val="2"/>
          </rPr>
          <t>superrspohn:</t>
        </r>
        <r>
          <rPr>
            <sz val="8"/>
            <color indexed="81"/>
            <rFont val="Tahoma"/>
            <family val="2"/>
          </rPr>
          <t xml:space="preserve">
excludes VDB, SPB and municipals financing</t>
        </r>
      </text>
    </comment>
    <comment ref="B163" authorId="1">
      <text>
        <r>
          <rPr>
            <b/>
            <sz val="8"/>
            <color indexed="81"/>
            <rFont val="Tahoma"/>
            <family val="2"/>
          </rPr>
          <t>superrspohn:</t>
        </r>
        <r>
          <rPr>
            <sz val="8"/>
            <color indexed="81"/>
            <rFont val="Tahoma"/>
            <family val="2"/>
          </rPr>
          <t xml:space="preserve">
includes grants in revenues</t>
        </r>
      </text>
    </comment>
    <comment ref="H183" authorId="0">
      <text>
        <r>
          <rPr>
            <b/>
            <sz val="9"/>
            <color indexed="81"/>
            <rFont val="Tahoma"/>
            <family val="2"/>
          </rPr>
          <t>hyamada:</t>
        </r>
        <r>
          <rPr>
            <sz val="9"/>
            <color indexed="81"/>
            <rFont val="Tahoma"/>
            <family val="2"/>
          </rPr>
          <t xml:space="preserve">
We probably don't use this… 
upto 2010: hard number
after 2011: formula</t>
        </r>
      </text>
    </comment>
    <comment ref="H188" authorId="0">
      <text>
        <r>
          <rPr>
            <b/>
            <sz val="11"/>
            <color indexed="81"/>
            <rFont val="Tahoma"/>
            <family val="2"/>
          </rPr>
          <t>hyamada:</t>
        </r>
        <r>
          <rPr>
            <sz val="11"/>
            <color indexed="81"/>
            <rFont val="Tahoma"/>
            <family val="2"/>
          </rPr>
          <t xml:space="preserve">
Change in the formula between 2009 and 2010. See the comment for Cell G75 on Debt Statement.</t>
        </r>
      </text>
    </comment>
    <comment ref="H189" authorId="0">
      <text>
        <r>
          <rPr>
            <b/>
            <sz val="10"/>
            <color indexed="81"/>
            <rFont val="Tahoma"/>
            <family val="2"/>
          </rPr>
          <t>hyamada:</t>
        </r>
        <r>
          <rPr>
            <sz val="10"/>
            <color indexed="81"/>
            <rFont val="Tahoma"/>
            <family val="2"/>
          </rPr>
          <t xml:space="preserve">
Solver to compute out Cell N174. This must be very close to zero.</t>
        </r>
      </text>
    </comment>
    <comment ref="J203" authorId="0">
      <text>
        <r>
          <rPr>
            <b/>
            <sz val="14"/>
            <color indexed="81"/>
            <rFont val="Tahoma"/>
            <family val="2"/>
          </rPr>
          <t>hyamada:</t>
        </r>
        <r>
          <rPr>
            <sz val="14"/>
            <color indexed="81"/>
            <rFont val="Tahoma"/>
            <family val="2"/>
          </rPr>
          <t xml:space="preserve">
Adjustment factor</t>
        </r>
      </text>
    </comment>
  </commentList>
</comments>
</file>

<file path=xl/sharedStrings.xml><?xml version="1.0" encoding="utf-8"?>
<sst xmlns="http://schemas.openxmlformats.org/spreadsheetml/2006/main" count="3353" uniqueCount="1134">
  <si>
    <r>
      <t xml:space="preserve">The Rapid Assessment Protocol consist of a single Excel workbook of 9 </t>
    </r>
    <r>
      <rPr>
        <u/>
        <sz val="11"/>
        <color indexed="8"/>
        <rFont val="Calibri"/>
        <family val="2"/>
      </rPr>
      <t>basic</t>
    </r>
    <r>
      <rPr>
        <sz val="11"/>
        <color theme="1"/>
        <rFont val="Calibri"/>
        <family val="2"/>
        <scheme val="minor"/>
      </rPr>
      <t xml:space="preserve"> worksheets, eight of which provide instructions and set the demographic, labour market, macroeconomic and government's financial framework. The other worksheet provides a cost estimate of a single benefit case. However, </t>
    </r>
    <r>
      <rPr>
        <u/>
        <sz val="11"/>
        <color indexed="8"/>
        <rFont val="Calibri"/>
        <family val="2"/>
      </rPr>
      <t>the user can add as many worksheets as extra benefits are included in the costing exercise</t>
    </r>
    <r>
      <rPr>
        <sz val="11"/>
        <color theme="1"/>
        <rFont val="Calibri"/>
        <family val="2"/>
        <scheme val="minor"/>
      </rPr>
      <t>.</t>
    </r>
  </si>
  <si>
    <t>a. National Household Labor Force Survey. Please refer to the national statistics office.</t>
  </si>
  <si>
    <t xml:space="preserve">Sources: </t>
  </si>
  <si>
    <t>Sources:</t>
  </si>
  <si>
    <t>(link)</t>
  </si>
  <si>
    <t>c. ILO KILM. No projections.</t>
  </si>
  <si>
    <t>(iii) Macroeconomic statistics</t>
  </si>
  <si>
    <t>(iv) Government finances</t>
  </si>
  <si>
    <t>b. UN Population Prospects: The 2008 Revision. Population data, estimates and projections.</t>
  </si>
  <si>
    <t>a. National accounts statistics. Please refer to the national statistics office.</t>
  </si>
  <si>
    <t>a. Population census (if recent). Please refer to the national statistics office.</t>
  </si>
  <si>
    <t>b. UN Statistical Division: National Accounts Main Aggregates Database.</t>
  </si>
  <si>
    <t>c. World Bank - World Development Indicators.</t>
  </si>
  <si>
    <r>
      <t>d. IMF - Reports. Google "</t>
    </r>
    <r>
      <rPr>
        <i/>
        <sz val="11"/>
        <color indexed="8"/>
        <rFont val="Calibri"/>
        <family val="2"/>
      </rPr>
      <t>country name</t>
    </r>
    <r>
      <rPr>
        <sz val="11"/>
        <color theme="1"/>
        <rFont val="Calibri"/>
        <family val="2"/>
        <scheme val="minor"/>
      </rPr>
      <t xml:space="preserve"> and IMF", select the entry in results and search for the most recent documents with "Staff report" and also "</t>
    </r>
    <r>
      <rPr>
        <i/>
        <sz val="11"/>
        <color indexed="8"/>
        <rFont val="Calibri"/>
        <family val="2"/>
      </rPr>
      <t>country name</t>
    </r>
    <r>
      <rPr>
        <sz val="11"/>
        <color theme="1"/>
        <rFont val="Calibri"/>
        <family val="2"/>
        <scheme val="minor"/>
      </rPr>
      <t>: Statistical  appendix. IMF reports are usually the most reliable among international sources and the most up-to-date.</t>
    </r>
  </si>
  <si>
    <t>-General government revenues and expenditures</t>
  </si>
  <si>
    <t>a. Annual budgets and reports on the execution of the budget. Please refer to the Treasury/Ministry of Finance.</t>
  </si>
  <si>
    <t>b. IMF Government Finance Statistics Database (CD ROM available in SECSOC, free access online for 5 days). There are many gaps in the database and for many countries the full database is not available.</t>
  </si>
  <si>
    <t>This model is provided "as such", with no guarantee. The designer cannot be held responsible for any damage, of whatever nature that the user or any third party might have undergone as the direct or indirect result of using the model (including financial loss as a result of using the model or of the impossibility of using it), even if the designer has been warned of the possibility of such damage. The ILO will provide no assistance in the setting up or use of the model without specific written agreement.</t>
  </si>
  <si>
    <t xml:space="preserve">The Rapid Assessment Protocol (RAP) is a simplistic projection model that aims at estimating the future costs of introducing one or more cash transfer elements of the Social Protection Floor.  At the same time, the RAP provides a general picture of the country's main indicators: demographics, labour market, macroeconomic and the development of the general government's balance sheet. </t>
  </si>
  <si>
    <t>(v) Data on costs and coverage by existing social protection schemes, if necessary</t>
  </si>
  <si>
    <t>-Administrative data on expenditure, financing, numbers of protected persons, number of beneficiaries.</t>
  </si>
  <si>
    <t>a. Institutions administering the schemes</t>
  </si>
  <si>
    <t>b. Labor force surveys and household budget surveys</t>
  </si>
  <si>
    <t>c. ILO Social Security Inquiry. Contains scheme level information on expenditure and coverage for certain countries.</t>
  </si>
  <si>
    <t>ECONOMICALLY ACTIVE POPULATION</t>
  </si>
  <si>
    <t>MALE ECONOMICALLY ACTIVE POPULATION (in thousands)</t>
  </si>
  <si>
    <t>FEMALE ECONOMICALLY ACTIVE POPULATION</t>
  </si>
  <si>
    <t>ACTIVITY RATES</t>
  </si>
  <si>
    <t>MALE ACTIVITY RATES (in percent)</t>
  </si>
  <si>
    <t>FEMALE ACTIVITY RATES (in percent)</t>
  </si>
  <si>
    <r>
      <rPr>
        <b/>
        <sz val="11"/>
        <color indexed="8"/>
        <rFont val="Calibri"/>
        <family val="2"/>
      </rPr>
      <t>(v) Labour productivity.</t>
    </r>
    <r>
      <rPr>
        <sz val="11"/>
        <color theme="1"/>
        <rFont val="Calibri"/>
        <family val="2"/>
        <scheme val="minor"/>
      </rPr>
      <t xml:space="preserve"> The labour productivity measures the efficiency of production at the level of the individual, the enterprise or the specific economic sector. It is usually measured in terms of output per worker or per hour worked </t>
    </r>
    <r>
      <rPr>
        <sz val="11"/>
        <color indexed="12"/>
        <rFont val="Calibri"/>
        <family val="2"/>
      </rPr>
      <t>[2]</t>
    </r>
    <r>
      <rPr>
        <sz val="11"/>
        <color theme="1"/>
        <rFont val="Calibri"/>
        <family val="2"/>
        <scheme val="minor"/>
      </rPr>
      <t xml:space="preserve">. In the RAP, the user must provide the labour productivity growth rates (either assumed or projected) so the future labour productivity can be estimated. However, the labour productivity at time </t>
    </r>
    <r>
      <rPr>
        <i/>
        <sz val="11"/>
        <color indexed="8"/>
        <rFont val="Calibri"/>
        <family val="2"/>
      </rPr>
      <t>t,</t>
    </r>
    <r>
      <rPr>
        <sz val="11"/>
        <color theme="1"/>
        <rFont val="Calibri"/>
        <family val="2"/>
        <scheme val="minor"/>
      </rPr>
      <t xml:space="preserve"> as well as in precedent years, is calculated as the ratio of the GDP at constant prices (by sector) to the number of employed workers in the same period.</t>
    </r>
  </si>
  <si>
    <r>
      <t xml:space="preserve">[1] </t>
    </r>
    <r>
      <rPr>
        <sz val="11"/>
        <rFont val="Calibri"/>
        <family val="2"/>
      </rPr>
      <t>LABORSTA Definitions</t>
    </r>
  </si>
  <si>
    <r>
      <t>[2]</t>
    </r>
    <r>
      <rPr>
        <sz val="11"/>
        <rFont val="Calibri"/>
        <family val="2"/>
      </rPr>
      <t xml:space="preserve"> ILO Thesaurus (search for "labour productivity")</t>
    </r>
  </si>
  <si>
    <t>Beneficiaries (estimated)</t>
  </si>
  <si>
    <t>Grants</t>
  </si>
  <si>
    <r>
      <rPr>
        <b/>
        <sz val="11"/>
        <color indexed="8"/>
        <rFont val="Calibri"/>
        <family val="2"/>
      </rPr>
      <t>(iii) AR</t>
    </r>
    <r>
      <rPr>
        <sz val="11"/>
        <color theme="1"/>
        <rFont val="Calibri"/>
        <family val="2"/>
        <scheme val="minor"/>
      </rPr>
      <t>. The Activity Rates (AR) worksheet has 3 tables, organised by 5-year age groups and sex (male, female and total).</t>
    </r>
  </si>
  <si>
    <r>
      <rPr>
        <b/>
        <sz val="11"/>
        <color indexed="8"/>
        <rFont val="Calibri"/>
        <family val="2"/>
      </rPr>
      <t>(ii) POP</t>
    </r>
    <r>
      <rPr>
        <sz val="11"/>
        <color theme="1"/>
        <rFont val="Calibri"/>
        <family val="2"/>
        <scheme val="minor"/>
      </rPr>
      <t>. The Population (POP) worksheet has 6 tables, 3 for 5-year age groups and 3 for single age groups (male, female and total).</t>
    </r>
  </si>
  <si>
    <r>
      <rPr>
        <b/>
        <sz val="11"/>
        <color indexed="8"/>
        <rFont val="Calibri"/>
        <family val="2"/>
      </rPr>
      <t>(v) ECO</t>
    </r>
    <r>
      <rPr>
        <sz val="11"/>
        <color theme="1"/>
        <rFont val="Calibri"/>
        <family val="2"/>
        <scheme val="minor"/>
      </rPr>
      <t>. The macroeconomic framework (ECO) is set based on historical data collected and forecasts made by the user.</t>
    </r>
  </si>
  <si>
    <r>
      <rPr>
        <b/>
        <sz val="11"/>
        <color indexed="8"/>
        <rFont val="Calibri"/>
        <family val="2"/>
      </rPr>
      <t>(vi) GGO(SQ)</t>
    </r>
    <r>
      <rPr>
        <sz val="11"/>
        <color theme="1"/>
        <rFont val="Calibri"/>
        <family val="2"/>
        <scheme val="minor"/>
      </rPr>
      <t>. The General Government's Operations in the Status Quo (GGO(SQ)) worksheet summarizes the main components of the general government's revenue and expenditure in the status quo scenario (before introducing the floor benefits). The main feature of this worksheet is the projection of the financial performance of the general government, which is key for analysing the fiscal space required to fund the floor benefits.</t>
    </r>
  </si>
  <si>
    <r>
      <rPr>
        <b/>
        <sz val="11"/>
        <color indexed="8"/>
        <rFont val="Calibri"/>
        <family val="2"/>
      </rPr>
      <t>(i) README</t>
    </r>
    <r>
      <rPr>
        <sz val="11"/>
        <color theme="1"/>
        <rFont val="Calibri"/>
        <family val="2"/>
        <scheme val="minor"/>
      </rPr>
      <t>. This worksheet provides important information about the scope, methodology, structure and data requirements of the Rapid Assessment Tool. It also provides basic information on the model version, the latest modification date and the user.</t>
    </r>
  </si>
  <si>
    <t>Non-Oil | Domestic</t>
  </si>
  <si>
    <t>Non-Oil | Foreign</t>
  </si>
  <si>
    <t>GDP at current price</t>
  </si>
  <si>
    <t>Based on  IMF revided Article IV. September 2010. From 2016 to 2020: used the GDP growth estimated based on IMF 5-year growth</t>
  </si>
  <si>
    <t>Nominal interest rates to be used for debt calculation</t>
  </si>
  <si>
    <t>Current expenditure (excluding interest)</t>
  </si>
  <si>
    <t>Current expenditure (without interest)</t>
  </si>
  <si>
    <t>Ratio of current year / previous year</t>
  </si>
  <si>
    <t>Total public debt</t>
  </si>
  <si>
    <t>Rate used</t>
  </si>
  <si>
    <t>Other taxes</t>
  </si>
  <si>
    <t>Annual change in the rate of increase</t>
  </si>
  <si>
    <t>Education</t>
  </si>
  <si>
    <t>Health</t>
  </si>
  <si>
    <t>Social subsidies</t>
  </si>
  <si>
    <t>Others</t>
  </si>
  <si>
    <t>Capital expenditure</t>
  </si>
  <si>
    <t>Off budget investment expenditure</t>
  </si>
  <si>
    <t>Education bonds</t>
  </si>
  <si>
    <t>Infrastructure bonds</t>
  </si>
  <si>
    <t>Reform bonds</t>
  </si>
  <si>
    <t>Municipal bonds</t>
  </si>
  <si>
    <t>Total expenditure (Sum Check)</t>
  </si>
  <si>
    <t>TOTAL General Government Revenue (IMF update)</t>
  </si>
  <si>
    <t>Average structure 2006/2007</t>
  </si>
  <si>
    <t>Structure of bond-financed</t>
  </si>
  <si>
    <t>Structure in total current expenditure without interest paid</t>
  </si>
  <si>
    <r>
      <t>(vii) BEN(1).</t>
    </r>
    <r>
      <rPr>
        <sz val="11"/>
        <color theme="1"/>
        <rFont val="Calibri"/>
        <family val="2"/>
        <scheme val="minor"/>
      </rPr>
      <t xml:space="preserve"> The Benefit (1) worksheet contains all the benefit's paramaters and results such as reference, target and eligible population, eligibility take-up rates, average benefit costs, administrative costs and total costs.</t>
    </r>
  </si>
  <si>
    <r>
      <t xml:space="preserve">(viii) GGO(BS). </t>
    </r>
    <r>
      <rPr>
        <sz val="11"/>
        <color theme="1"/>
        <rFont val="Calibri"/>
        <family val="2"/>
        <scheme val="minor"/>
      </rPr>
      <t>Compared to the GGO(SQ), this worksheet contains additional lines in the expenditure component which correspond to each one of the benefits included in the floor. This worksheet reflects the general government's expenditure level in a benefits scenario.</t>
    </r>
  </si>
  <si>
    <t>-Activity rates by age (single age or 5-year age groups) and sex</t>
  </si>
  <si>
    <t>b. ILO LABORSTA. For data and projections on economically active population, employment and unemployment.</t>
  </si>
  <si>
    <r>
      <t xml:space="preserve">In formula (1) </t>
    </r>
    <r>
      <rPr>
        <i/>
        <sz val="11"/>
        <color indexed="8"/>
        <rFont val="Calibri"/>
        <family val="2"/>
      </rPr>
      <t>s</t>
    </r>
    <r>
      <rPr>
        <sz val="11"/>
        <color theme="1"/>
        <rFont val="Calibri"/>
        <family val="2"/>
        <scheme val="minor"/>
      </rPr>
      <t xml:space="preserve"> refers to the sex (male, female), </t>
    </r>
    <r>
      <rPr>
        <i/>
        <sz val="11"/>
        <color indexed="8"/>
        <rFont val="Calibri"/>
        <family val="2"/>
      </rPr>
      <t>x</t>
    </r>
    <r>
      <rPr>
        <sz val="11"/>
        <color theme="1"/>
        <rFont val="Calibri"/>
        <family val="2"/>
        <scheme val="minor"/>
      </rPr>
      <t xml:space="preserve"> to the age (single age or age group) and </t>
    </r>
    <r>
      <rPr>
        <i/>
        <sz val="11"/>
        <color indexed="8"/>
        <rFont val="Calibri"/>
        <family val="2"/>
      </rPr>
      <t>t</t>
    </r>
    <r>
      <rPr>
        <sz val="11"/>
        <color theme="1"/>
        <rFont val="Calibri"/>
        <family val="2"/>
        <scheme val="minor"/>
      </rPr>
      <t xml:space="preserve"> to the year.</t>
    </r>
  </si>
  <si>
    <r>
      <t xml:space="preserve">In formula (2),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t>
    </r>
    <r>
      <rPr>
        <sz val="11"/>
        <color theme="1"/>
        <rFont val="Calibri"/>
        <family val="2"/>
        <scheme val="minor"/>
      </rPr>
      <t xml:space="preserve"> is the sector-specific real GDP growth rate in a particular year.</t>
    </r>
  </si>
  <si>
    <r>
      <t xml:space="preserve">In formula (4), </t>
    </r>
    <r>
      <rPr>
        <i/>
        <sz val="11"/>
        <color indexed="8"/>
        <rFont val="Calibri"/>
        <family val="2"/>
      </rPr>
      <t xml:space="preserve">t </t>
    </r>
    <r>
      <rPr>
        <sz val="11"/>
        <color theme="1"/>
        <rFont val="Calibri"/>
        <family val="2"/>
        <scheme val="minor"/>
      </rPr>
      <t xml:space="preserve">refers to the base year and </t>
    </r>
    <r>
      <rPr>
        <i/>
        <sz val="11"/>
        <color indexed="8"/>
        <rFont val="Calibri"/>
        <family val="2"/>
      </rPr>
      <t xml:space="preserve"> h</t>
    </r>
    <r>
      <rPr>
        <sz val="11"/>
        <color theme="1"/>
        <rFont val="Calibri"/>
        <family val="2"/>
        <scheme val="minor"/>
      </rPr>
      <t xml:space="preserve"> to the GDP deflator growth rate.</t>
    </r>
  </si>
  <si>
    <r>
      <t xml:space="preserve">In formula (3),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GDP Def</t>
    </r>
    <r>
      <rPr>
        <sz val="11"/>
        <color theme="1"/>
        <rFont val="Calibri"/>
        <family val="2"/>
        <scheme val="minor"/>
      </rPr>
      <t xml:space="preserve"> to the GDP deflator in a particular year.</t>
    </r>
  </si>
  <si>
    <r>
      <t xml:space="preserve">In formula (5),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j</t>
    </r>
    <r>
      <rPr>
        <sz val="11"/>
        <color theme="1"/>
        <rFont val="Calibri"/>
        <family val="2"/>
        <scheme val="minor"/>
      </rPr>
      <t xml:space="preserve"> to a selected year, </t>
    </r>
    <r>
      <rPr>
        <i/>
        <sz val="11"/>
        <color indexed="8"/>
        <rFont val="Calibri"/>
        <family val="2"/>
      </rPr>
      <t>t</t>
    </r>
    <r>
      <rPr>
        <sz val="11"/>
        <color theme="1"/>
        <rFont val="Calibri"/>
        <family val="2"/>
        <scheme val="minor"/>
      </rPr>
      <t xml:space="preserve"> to the base year, </t>
    </r>
    <r>
      <rPr>
        <i/>
        <sz val="11"/>
        <color indexed="8"/>
        <rFont val="Calibri"/>
        <family val="2"/>
      </rPr>
      <t>E</t>
    </r>
    <r>
      <rPr>
        <sz val="11"/>
        <color theme="1"/>
        <rFont val="Calibri"/>
        <family val="2"/>
        <scheme val="minor"/>
      </rPr>
      <t xml:space="preserve"> to the number of employed workers and </t>
    </r>
    <r>
      <rPr>
        <i/>
        <sz val="11"/>
        <color indexed="8"/>
        <rFont val="Calibri"/>
        <family val="2"/>
      </rPr>
      <t>l</t>
    </r>
    <r>
      <rPr>
        <sz val="11"/>
        <color theme="1"/>
        <rFont val="Calibri"/>
        <family val="2"/>
        <scheme val="minor"/>
      </rPr>
      <t xml:space="preserve"> to the labour productivity growth rate.</t>
    </r>
  </si>
  <si>
    <r>
      <t>(ix) SUM.</t>
    </r>
    <r>
      <rPr>
        <sz val="11"/>
        <color theme="1"/>
        <rFont val="Calibri"/>
        <family val="2"/>
        <scheme val="minor"/>
      </rPr>
      <t xml:space="preserve"> The Summary and Results (SUM) worksheet defines a standard format of presenting the results of the model. It is important to note that in case extra benefits are added to the costing exercise, some extra lines should be also included  in the Benefits Scenario section of the summary tables. The most important thing to keep in mind is to maintain the presentation format.</t>
    </r>
  </si>
  <si>
    <t>A color coding has been implemented to identify the main components of the Rapid Assessment Protocol:</t>
  </si>
  <si>
    <r>
      <rPr>
        <b/>
        <sz val="11"/>
        <color indexed="8"/>
        <rFont val="Calibri"/>
        <family val="2"/>
      </rPr>
      <t>(ii) Gross domestic product at constant prices (by sector composition</t>
    </r>
    <r>
      <rPr>
        <sz val="11"/>
        <color theme="1"/>
        <rFont val="Calibri"/>
        <family val="2"/>
        <scheme val="minor"/>
      </rPr>
      <t xml:space="preserve">). The GDP at constant prices is an output volume indicator expressed in terms of a reference period. </t>
    </r>
  </si>
  <si>
    <t>In the Rapid Assessment Protocol, the GDP is a product of the expected changes in the economic structure of the country. As often found in OECD modelling, the GDP can be estimated as a product of productivity and employment variables in which unemployment rates are exogenously defined. However, the logic behind such approach may be difficult to apply in low income countries where the informal economy is large and, therefore the concept of unemployment meaningless. In contrast, the macroeconomic model of the RAP is based on the projection of the real GDP growth rates of the primary, secondary and service sectors. Additionally, the model requires the user to project the GDP deflator growth rate to estimate the GDP at current prices. For simplicity, the RAP assumes that in the projection period the inflation rate is equivalent to the GDP deflator growth rate.</t>
  </si>
  <si>
    <r>
      <rPr>
        <b/>
        <sz val="11"/>
        <color indexed="8"/>
        <rFont val="Calibri"/>
        <family val="2"/>
      </rPr>
      <t>(iv) EAP</t>
    </r>
    <r>
      <rPr>
        <sz val="11"/>
        <color theme="1"/>
        <rFont val="Calibri"/>
        <family val="2"/>
        <scheme val="minor"/>
      </rPr>
      <t>. This worksheet shows the results of the Economically Active Population EAP and uses as input the data from the Population (POP) and ActivityRates (AR) worksheets.</t>
    </r>
  </si>
  <si>
    <r>
      <rPr>
        <b/>
        <sz val="11"/>
        <color indexed="8"/>
        <rFont val="Calibri"/>
        <family val="2"/>
      </rPr>
      <t>(i) Economically Active Population.</t>
    </r>
    <r>
      <rPr>
        <sz val="11"/>
        <color theme="1"/>
        <rFont val="Calibri"/>
        <family val="2"/>
        <scheme val="minor"/>
      </rPr>
      <t xml:space="preserve"> The economically active population comprises all persons of either sex aged 15 and above who are either employed or unemployed and who furnish the supply of labour for the production of goods and services during a specified time-reference period </t>
    </r>
    <r>
      <rPr>
        <sz val="11"/>
        <color indexed="12"/>
        <rFont val="Calibri"/>
        <family val="2"/>
      </rPr>
      <t>[1]</t>
    </r>
    <r>
      <rPr>
        <sz val="11"/>
        <color theme="1"/>
        <rFont val="Calibri"/>
        <family val="2"/>
        <scheme val="minor"/>
      </rPr>
      <t xml:space="preserve">. In the RAP, the Economically Active Population </t>
    </r>
    <r>
      <rPr>
        <i/>
        <sz val="11"/>
        <color indexed="8"/>
        <rFont val="Calibri"/>
        <family val="2"/>
      </rPr>
      <t>(EAP)</t>
    </r>
    <r>
      <rPr>
        <sz val="11"/>
        <color theme="1"/>
        <rFont val="Calibri"/>
        <family val="2"/>
        <scheme val="minor"/>
      </rPr>
      <t xml:space="preserve"> is equal to the product between the population (</t>
    </r>
    <r>
      <rPr>
        <i/>
        <sz val="11"/>
        <color indexed="8"/>
        <rFont val="Calibri"/>
        <family val="2"/>
      </rPr>
      <t>POP</t>
    </r>
    <r>
      <rPr>
        <sz val="11"/>
        <color theme="1"/>
        <rFont val="Calibri"/>
        <family val="2"/>
        <scheme val="minor"/>
      </rPr>
      <t>) and the activity rates (</t>
    </r>
    <r>
      <rPr>
        <i/>
        <sz val="11"/>
        <color indexed="8"/>
        <rFont val="Calibri"/>
        <family val="2"/>
      </rPr>
      <t>AR</t>
    </r>
    <r>
      <rPr>
        <sz val="11"/>
        <color theme="1"/>
        <rFont val="Calibri"/>
        <family val="2"/>
        <scheme val="minor"/>
      </rPr>
      <t>) for each sex-age group.</t>
    </r>
  </si>
  <si>
    <t>Reference population</t>
  </si>
  <si>
    <t>ELIGIBILITY CRITERIA</t>
  </si>
  <si>
    <t>COVERAGE</t>
  </si>
  <si>
    <t>COSTS</t>
  </si>
  <si>
    <t>(in millions of local currency)</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</si>
  <si>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</si>
  <si>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</si>
  <si>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</si>
  <si>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</si>
  <si>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</si>
  <si>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</si>
  <si>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</si>
  <si>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</si>
  <si>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</si>
  <si>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</si>
  <si>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</si>
  <si>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</si>
  <si>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</si>
  <si>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</si>
  <si>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</si>
  <si>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</si>
  <si>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</si>
  <si>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</si>
  <si>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</si>
  <si>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</si>
  <si>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</si>
  <si>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</si>
  <si>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</si>
  <si>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</si>
  <si>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</si>
  <si>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</si>
  <si>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</si>
  <si>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</si>
  <si>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</si>
  <si>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</si>
  <si>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</si>
  <si>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</si>
  <si>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</si>
  <si>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</si>
  <si>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</si>
  <si>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</si>
  <si>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</si>
  <si>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</si>
  <si>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</si>
  <si>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</si>
  <si>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</si>
  <si>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</si>
  <si>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</si>
  <si>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</si>
  <si>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</si>
  <si>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</si>
  <si>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</si>
  <si>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</si>
  <si>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</si>
  <si>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</si>
  <si>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</si>
  <si>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</si>
  <si>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</si>
  <si>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</si>
  <si>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</si>
  <si>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</si>
  <si>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</si>
  <si>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</si>
  <si>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</si>
  <si>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</si>
  <si>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</si>
  <si>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</si>
  <si>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</si>
  <si>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</si>
  <si>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</si>
  <si>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</si>
  <si>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</si>
  <si>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</si>
  <si>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</si>
  <si>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</si>
  <si>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</si>
  <si>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</si>
  <si>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</si>
  <si>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</si>
  <si>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</si>
  <si>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</si>
  <si>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</si>
  <si>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</si>
  <si>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</si>
  <si>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</si>
  <si>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</si>
  <si>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</si>
  <si>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</si>
  <si>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</si>
  <si>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</si>
  <si>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</si>
  <si>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</si>
  <si>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</si>
  <si>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</si>
  <si>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</si>
  <si>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</si>
  <si>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</si>
  <si>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</si>
  <si>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</si>
  <si>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</si>
  <si>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</si>
  <si>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</si>
  <si>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</si>
  <si>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</si>
  <si>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</si>
  <si>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</si>
  <si>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UN Population Prospects Male</t>
  </si>
  <si>
    <t>UN Population Prospects Female</t>
  </si>
  <si>
    <t>UN Population Prospects Total</t>
  </si>
  <si>
    <t>UN Population Prospects Multiplicator Male</t>
  </si>
  <si>
    <t>UN Population Prospects Multiplicator Female</t>
  </si>
  <si>
    <t>UN Population Prospects Multiplicator Total</t>
  </si>
  <si>
    <t>MALE LABOUR FORCE (in thousands)</t>
  </si>
  <si>
    <t>FEMALE LABOUR FORCE (in thousands)</t>
  </si>
  <si>
    <t>TOTAL LABOUR FORCE (in thousands)</t>
  </si>
  <si>
    <t>LABORSTA projection (Annual growth)</t>
  </si>
  <si>
    <t>MALE LABOUR FORCE (in percent)</t>
  </si>
  <si>
    <t>FEMALE LABOUR FORCE (in percent)</t>
  </si>
  <si>
    <t>TOTAL LABOUR FORCE (in percent)</t>
  </si>
  <si>
    <r>
      <t xml:space="preserve">LABORSTA projection (absolute figures) </t>
    </r>
    <r>
      <rPr>
        <b/>
        <sz val="14"/>
        <color indexed="10"/>
        <rFont val="Calibri"/>
        <family val="2"/>
      </rPr>
      <t>(NB: on ne prend pas cette labour force mais uniquement le taux de croissance, car cette LF est trop faible)</t>
    </r>
  </si>
  <si>
    <t>IMF statistical annex</t>
  </si>
  <si>
    <t>Poverty line urban</t>
  </si>
  <si>
    <t>Poverty line rural</t>
  </si>
  <si>
    <t>GDP deflator (percentage change)</t>
  </si>
  <si>
    <t>Employment structure (in percentage)</t>
  </si>
  <si>
    <t>Total revenue IMF</t>
  </si>
  <si>
    <t>Revenue en % du PIB (source IMF)</t>
  </si>
  <si>
    <t>Total current expenditure</t>
  </si>
  <si>
    <t>Interest payments (paid)</t>
  </si>
  <si>
    <t>On-lending</t>
  </si>
  <si>
    <t>Total expenditure IMF</t>
  </si>
  <si>
    <t>Population 60 and over</t>
  </si>
  <si>
    <t>Population 80 and over</t>
  </si>
  <si>
    <t>Population 60-79</t>
  </si>
  <si>
    <t>Pensionners (in existing schemes)</t>
  </si>
  <si>
    <t>Pensionners contributory 80+</t>
  </si>
  <si>
    <t>Pensionners contributory 60-79</t>
  </si>
  <si>
    <t>Total pensioners contributory scheme</t>
  </si>
  <si>
    <t>Pensionners noncontributory 80+</t>
  </si>
  <si>
    <t>New pensioners to fill the gap</t>
  </si>
  <si>
    <t>New pensionners 60-79</t>
  </si>
  <si>
    <t>New pensionners 80+</t>
  </si>
  <si>
    <t>People with higher pension amount 80+</t>
  </si>
  <si>
    <t>Average pension amount (monthly)</t>
  </si>
  <si>
    <t>Cost (annual in millions)</t>
  </si>
  <si>
    <t>Total cost (millions dongs)</t>
  </si>
  <si>
    <t>Cost (in % of GDP)</t>
  </si>
  <si>
    <t>Cost (in % of government budget)</t>
  </si>
  <si>
    <t>Population 65 and over</t>
  </si>
  <si>
    <t>Population 65-79</t>
  </si>
  <si>
    <t>Pensionners contributory 65-79</t>
  </si>
  <si>
    <t>Total pensioners contributory scheme (65+)</t>
  </si>
  <si>
    <t>New pensionners 65-79</t>
  </si>
  <si>
    <t>Average wage of teachers in the new schools</t>
  </si>
  <si>
    <t>We don’t calculate the cost of building additional schools, because not expensive (the communities can deal with this)</t>
  </si>
  <si>
    <t>Percent of communities with no school</t>
  </si>
  <si>
    <t>Reference population (0-15y)</t>
  </si>
  <si>
    <t>Useful for the Education part of the child benefit</t>
  </si>
  <si>
    <t>Total cost per month in thousand</t>
  </si>
  <si>
    <t>Scenario 1</t>
  </si>
  <si>
    <t>Child allowance</t>
  </si>
  <si>
    <t>Staff cost</t>
  </si>
  <si>
    <t>Meals</t>
  </si>
  <si>
    <t>Annual cost per component (in million VD)</t>
  </si>
  <si>
    <t>Annual cost per component (in percentage of GDP)</t>
  </si>
  <si>
    <t>The excluded are poor</t>
  </si>
  <si>
    <t xml:space="preserve">We take population because exiting targeted programs cover only 100 000 children </t>
  </si>
  <si>
    <t>Poverty=14.5 % population</t>
  </si>
  <si>
    <t>Child all for all (0-15) + add teachers&amp;non-staff for excluded + meal for all children in school</t>
  </si>
  <si>
    <t>Child all for poor (0-15) + add teachers&amp;non-staff for excluded + meal for all poor children in school</t>
  </si>
  <si>
    <t>Annual cost per component (in percentage of government expenditure)</t>
  </si>
  <si>
    <t>% of minimum wage</t>
  </si>
  <si>
    <t>% minimum wage for aged 0-5</t>
  </si>
  <si>
    <t>% minimum wage for aged 6-10</t>
  </si>
  <si>
    <t>% minimum wage for aged 11-15</t>
  </si>
  <si>
    <t>Population (0-5y)</t>
  </si>
  <si>
    <t>Population (6-10y)</t>
  </si>
  <si>
    <t>Population (11-15y)</t>
  </si>
  <si>
    <t>Population (6-15y)</t>
  </si>
  <si>
    <t>Eligibility criteria (Excluded children)</t>
  </si>
  <si>
    <t>Population (0-5y poor)</t>
  </si>
  <si>
    <t>Population (6-10y poor)</t>
  </si>
  <si>
    <t>Population (11-15y poor)</t>
  </si>
  <si>
    <t>Population (6-15y poor)</t>
  </si>
  <si>
    <t xml:space="preserve">Child allowance 0-5 </t>
  </si>
  <si>
    <t>Child allowance 6-10</t>
  </si>
  <si>
    <t>Child allowance 11-15</t>
  </si>
  <si>
    <t>% non-staff cost for supply side</t>
  </si>
  <si>
    <t>scenario 1- Total cost of 1 meal per day</t>
  </si>
  <si>
    <t>Employment</t>
  </si>
  <si>
    <t>Formal</t>
  </si>
  <si>
    <t>Informal</t>
  </si>
  <si>
    <t>Labour force (15-64) thousands</t>
  </si>
  <si>
    <t>Minimum wage</t>
  </si>
  <si>
    <t>Take-up rate participation</t>
  </si>
  <si>
    <t>Number of days worked (max 100 per day)</t>
  </si>
  <si>
    <t>Benefit amount (per unit and per month)</t>
  </si>
  <si>
    <t>Benefit amount (per unit and per year)</t>
  </si>
  <si>
    <t>Serverely disabled</t>
  </si>
  <si>
    <t>Reference population (0-15y poor) -- with national poverty rate</t>
  </si>
  <si>
    <t>Child monetary poverty rate</t>
  </si>
  <si>
    <t>Reference population (0-15y poor) -- with child poverty rate (Scenario 2b)</t>
  </si>
  <si>
    <t>B. TOTAL BENEFIT cost per month per component</t>
  </si>
  <si>
    <t>Cost of 1 meal per day per child (50% of estimated poverty line)</t>
  </si>
  <si>
    <t>scenario 2a - Total cost of 1 meal per day</t>
  </si>
  <si>
    <t>National child poverty rate</t>
  </si>
  <si>
    <t>Scenario 2a</t>
  </si>
  <si>
    <t>Percentage disabled in total population</t>
  </si>
  <si>
    <t>Beneficiaries from the social assistance (disabled)</t>
  </si>
  <si>
    <t>Elligible labour force (Informal - 65+ who will be covered by old age pension) able to work</t>
  </si>
  <si>
    <t>Social assistance for those unable to work (total)</t>
  </si>
  <si>
    <t>Presently covered by social assistance</t>
  </si>
  <si>
    <t>Not covered by social assistance</t>
  </si>
  <si>
    <t>Percentage of the labour force which will take up the 100 days (among people able to work)</t>
  </si>
  <si>
    <t>Total social assistance benefit for the uncovered</t>
  </si>
  <si>
    <t>Benefit in kind</t>
  </si>
  <si>
    <t>Disability social assistance</t>
  </si>
  <si>
    <t>ILSSA costing of the strategy (projections)</t>
  </si>
  <si>
    <t>ILSSA projections for the Strategy (excel file)</t>
  </si>
  <si>
    <t>Increased level for those already covered (month)</t>
  </si>
  <si>
    <t>Average number of adult per household</t>
  </si>
  <si>
    <t>Number of staff per district</t>
  </si>
  <si>
    <t>Number of districts and counties covered (over 682)</t>
  </si>
  <si>
    <t>Wage for staff (per month)</t>
  </si>
  <si>
    <t>Percentage non-staff cost</t>
  </si>
  <si>
    <t>Employment and training services (non staff cost)  - total per month</t>
  </si>
  <si>
    <t>Total benefit in kind  - total per month</t>
  </si>
  <si>
    <t>Wage (individual basis)</t>
  </si>
  <si>
    <t>Wage (household basis)</t>
  </si>
  <si>
    <t>Benefit amount (aggregate millions VD per year on individual basis for wage component)</t>
  </si>
  <si>
    <t>National statistical office - VHLSS 2008
Poverty rate by urban rural and region calculated by income (The new Government poverty lines for 2006 is 200 thousand dongs per capita per month for the rural area and 260 thousand dongs per capita per month for the urban area. These poverty lines are up dated by 2008 prices and have values of 290 for rural, 370 for urban)
http://www.gso.gov.vn/Modules/Doc_Download.aspx?DocID=11361 (access in Feb. 2011)</t>
  </si>
  <si>
    <t>IMF Revised, Apply the same average proportion for the last 5 years</t>
  </si>
  <si>
    <t>Off-budget expenditure, onlending etc.</t>
  </si>
  <si>
    <t>Bond-financed expenditure</t>
  </si>
  <si>
    <t>Interest subsidy scheme</t>
  </si>
  <si>
    <t>Plan expenditure</t>
  </si>
  <si>
    <t>Capital expenditure (investment)</t>
  </si>
  <si>
    <t>Total expenditure (sum)</t>
  </si>
  <si>
    <t>Plan revenue and grants</t>
  </si>
  <si>
    <t>Oil</t>
  </si>
  <si>
    <t>Non-oil</t>
  </si>
  <si>
    <t>Domestic</t>
  </si>
  <si>
    <t>Foreign</t>
  </si>
  <si>
    <t>IMF updated information (April 2011)</t>
  </si>
  <si>
    <t>Overall fiscal balance</t>
  </si>
  <si>
    <t>Total SUM for check (witthout contributions)</t>
  </si>
  <si>
    <t>Updated figures from IMF (April 2011)</t>
  </si>
  <si>
    <t>Primary balance</t>
  </si>
  <si>
    <t>Non-oil primary balance</t>
  </si>
  <si>
    <t>Domestic non-oil revenue</t>
  </si>
  <si>
    <t>Public and publicly guaranteed debt</t>
  </si>
  <si>
    <t>Share of domestic debt in total PPG debt (%)</t>
  </si>
  <si>
    <t>Probability among all children to be in an household  with maximum 2 children less than 15 = 72,6 percent (VHLSS2008)</t>
  </si>
  <si>
    <t>Probability among POOR children to be in an household  with maximum 2 children less than 15 =  48,8 percent (VHLSS2008)</t>
  </si>
  <si>
    <t>Probability for chilren to be in a HH with maximum 2 children</t>
  </si>
  <si>
    <t>Among all children</t>
  </si>
  <si>
    <t>Among poor children</t>
  </si>
  <si>
    <t>Hypothesis to decrease over time</t>
  </si>
  <si>
    <t>morally difficult to implement</t>
  </si>
  <si>
    <r>
      <t xml:space="preserve">Scenario 2c enlarged: Child allowance for poor </t>
    </r>
    <r>
      <rPr>
        <sz val="11"/>
        <color indexed="8"/>
        <rFont val="Calibri"/>
        <family val="2"/>
      </rPr>
      <t>children (0-15) - LIMITED to 2 children per familly + additional teachers &amp; non-staff for excluded + 1 meal for ALL poor children in school (6-15)  (national CHILD poverty rate)</t>
    </r>
  </si>
  <si>
    <t>Scenrio 2c enlarged</t>
  </si>
  <si>
    <t>2c) Children: targeted benefit in cash and in kind  LIMITED to 2 children per household(Children poverty rate - scenario 2c strict)</t>
  </si>
  <si>
    <t>2d) Children universal cash and in-kind benefit (all children below 16)</t>
  </si>
  <si>
    <t>Level of benefit (% poverty line) for new pensionners</t>
  </si>
  <si>
    <t>Level of benefit (% poverty line) for existing pensionners</t>
  </si>
  <si>
    <t>Option 4| Universal pension for all elderly not covered by the contributory pension: 65+ - Prestations à 75 pour cent du seuil de pauvreté pour les personnes ne bénéficiant pas de prestations</t>
  </si>
  <si>
    <t>Options 4 et 5 correspondent aux options  3 et 4 avec des niveaux de prestations plus faibles</t>
  </si>
  <si>
    <t>Option 5| Universal pension for all elderly aged: 65+ (75% poverty line) with reduced benefit (30%) level if receiving a pension from the contributory social insurance scheme</t>
  </si>
  <si>
    <t>Benefit amount (aggregate millions VD per year on household basis for wage component)</t>
  </si>
  <si>
    <t>As a percentage of GDP</t>
  </si>
  <si>
    <t>As a percentage of Government expenditure</t>
  </si>
  <si>
    <t>Actual</t>
  </si>
  <si>
    <t>Forecast</t>
  </si>
  <si>
    <t>2003 - 2010</t>
  </si>
  <si>
    <t>2011 - 2015</t>
  </si>
  <si>
    <t>2016 - 2020</t>
  </si>
  <si>
    <t>Annual</t>
  </si>
  <si>
    <t>A.</t>
  </si>
  <si>
    <t>State budget</t>
  </si>
  <si>
    <t>Non-State budget</t>
  </si>
  <si>
    <t>B</t>
  </si>
  <si>
    <t>BREAK-DOWN OF TOTAL BUDGET FOR SOCIAL SECURITY</t>
  </si>
  <si>
    <t>Labour market development</t>
  </si>
  <si>
    <t>Vocational training projects</t>
  </si>
  <si>
    <t>1.1.1</t>
  </si>
  <si>
    <t>Of which, budget for vocational training under Master Plan on vocational training in rural areas</t>
  </si>
  <si>
    <t>Including:</t>
  </si>
  <si>
    <t>1.1.1.1</t>
  </si>
  <si>
    <t>Vocational and professional training for labour force in rural areas, ethnic minority areas and mountaneous areas</t>
  </si>
  <si>
    <t>1.1.1.2</t>
  </si>
  <si>
    <t>Support for workers to change job</t>
  </si>
  <si>
    <t>1.1.1.3</t>
  </si>
  <si>
    <t>Support for poor districts in labour export</t>
  </si>
  <si>
    <t>National Targeted Program on Employment</t>
  </si>
  <si>
    <t>1.2.1</t>
  </si>
  <si>
    <t>Of which, National Targeted Program on Employment in rural areas</t>
  </si>
  <si>
    <t>Agriculture, forestry and aquaculture extension programs</t>
  </si>
  <si>
    <t>Compensation for interest gap of Bank for Social Policies</t>
  </si>
  <si>
    <t>Of which:</t>
  </si>
  <si>
    <t>1.4.1</t>
  </si>
  <si>
    <t>Compensation for interest gap of credits for rural households to develop production and business</t>
  </si>
  <si>
    <t>1.4.2</t>
  </si>
  <si>
    <t>Compensation for interest gap of credits for youth to participate in vocational training</t>
  </si>
  <si>
    <t>Health insurance and health care</t>
  </si>
  <si>
    <t>State budget for supporting health insurance payment</t>
  </si>
  <si>
    <t>Supporting 50% of health insurance premiums for near-poor people</t>
  </si>
  <si>
    <t>100% of premiums financed by community and society</t>
  </si>
  <si>
    <t>Compulsory social insurance</t>
  </si>
  <si>
    <t>Contributions of enterprises and employees</t>
  </si>
  <si>
    <t>Retirement pension paid by State budget</t>
  </si>
  <si>
    <t>Unemployment insurance</t>
  </si>
  <si>
    <t>Support from the State budget</t>
  </si>
  <si>
    <t>Voluntary social insurance</t>
  </si>
  <si>
    <t>Contributions of employees</t>
  </si>
  <si>
    <t>Social assistance</t>
  </si>
  <si>
    <t>6.1.1</t>
  </si>
  <si>
    <t>Regular social assistance in accordance with Decree No. 13/2010</t>
  </si>
  <si>
    <t>6.1.2</t>
  </si>
  <si>
    <t>Emergency social relief in accordance with Decree No. 13/2010</t>
  </si>
  <si>
    <t>6.1.3</t>
  </si>
  <si>
    <t>Grant of 15 kilograms of rice for the poor in border areas</t>
  </si>
  <si>
    <t>6.1.4</t>
  </si>
  <si>
    <t>National Targeted Program on Poverty Reduction</t>
  </si>
  <si>
    <t>6.1.5</t>
  </si>
  <si>
    <t>Project on building houses for poor households</t>
  </si>
  <si>
    <t>6.1.6</t>
  </si>
  <si>
    <t>School fee exemption and reduction for poor pupils</t>
  </si>
  <si>
    <t>6.1.7</t>
  </si>
  <si>
    <t>Government's support for poor households to send their children to school</t>
  </si>
  <si>
    <t>6.1.8</t>
  </si>
  <si>
    <t>Health care programs</t>
  </si>
  <si>
    <t>6.1.9</t>
  </si>
  <si>
    <t>Social houses for migrant workers</t>
  </si>
  <si>
    <t>6.1.10</t>
  </si>
  <si>
    <t>135 Program</t>
  </si>
  <si>
    <t>6.1.11</t>
  </si>
  <si>
    <t>Support in production land, residential land and fresh water in accordance with Decision No. 134</t>
  </si>
  <si>
    <t>6.1.12</t>
  </si>
  <si>
    <t>Fresh water and environmental sanitation</t>
  </si>
  <si>
    <t>6.1.13</t>
  </si>
  <si>
    <t>Migration, residential and farming settlement policies under Decisions No. 193/2006/QĐ-TTG and 33/2007/QĐ -TTg</t>
  </si>
  <si>
    <t>Budget mobilized from communities for social assistance</t>
  </si>
  <si>
    <t>Monitoring, evaluation, management and communication</t>
  </si>
  <si>
    <t>Communication</t>
  </si>
  <si>
    <t>Legal support</t>
  </si>
  <si>
    <t>Monitoring and evaluation</t>
  </si>
  <si>
    <t>Program management</t>
  </si>
  <si>
    <t>Millions dong</t>
  </si>
  <si>
    <t xml:space="preserve">TOTAL BUDGET FOR SOCIAL SECURITY </t>
  </si>
  <si>
    <t>Total budget for social security in 2004-208 and forecast by 2020</t>
  </si>
  <si>
    <t>Annual increase 2011-2015</t>
  </si>
  <si>
    <t>Annual increase 2016-2020</t>
  </si>
  <si>
    <t>TOTAL BUDGET FOR SOCIAL SECURITY  (STATUS QUO include strategy)</t>
  </si>
  <si>
    <t>Total balance as percentage of GDP (including additional provisions to complete the SPF)</t>
  </si>
  <si>
    <t>Original UN population prospects for calculation of annual growth rate for projections</t>
  </si>
  <si>
    <t>IMF Government Finance Statistics Manual - Page 49 (available until 2007)</t>
  </si>
  <si>
    <t>Average structure in 2006/2007</t>
  </si>
  <si>
    <t>Sum of 2011-2015</t>
  </si>
  <si>
    <t>Sum of 2016-2020</t>
  </si>
  <si>
    <t>Social insurance</t>
  </si>
  <si>
    <t>GDP</t>
  </si>
  <si>
    <t>Table 1b: Budget for social security over years</t>
  </si>
  <si>
    <t>Labour market policies</t>
  </si>
  <si>
    <t>Health insurance</t>
  </si>
  <si>
    <t>Total (bil. dongs)</t>
  </si>
  <si>
    <t>% of GDP</t>
  </si>
  <si>
    <t>% of State budget</t>
  </si>
  <si>
    <t>1. Total budget for social security (thousand billion)</t>
  </si>
  <si>
    <t>Annual increase 2010/2015</t>
  </si>
  <si>
    <t>Annual increase 2015-2020</t>
  </si>
  <si>
    <t>Sum 2011-2015</t>
  </si>
  <si>
    <t>Sum 2016-2020</t>
  </si>
  <si>
    <t>Total (bil. dongs) for social security</t>
  </si>
  <si>
    <t>State budget (IMF)</t>
  </si>
  <si>
    <t>State budget (National / ILSSA calculations)</t>
  </si>
  <si>
    <t>Percentage informal economy workers</t>
  </si>
  <si>
    <t>USED in GGO</t>
  </si>
  <si>
    <t>Thousands of billions VD</t>
  </si>
  <si>
    <t>Information on social budget; ILSSA calculations for the strategy (used to estimate state expenditure on social security) but considered as included in the General government budget based on IMF data</t>
  </si>
  <si>
    <t>Eligible population</t>
  </si>
  <si>
    <t>BENEFITS Parameters</t>
  </si>
  <si>
    <t>1. Child allowance per month and per child</t>
  </si>
  <si>
    <t>2. Availability of services (estimated cost per month)</t>
  </si>
  <si>
    <t>Number of children per teacher (unit)</t>
  </si>
  <si>
    <t>Number of excluded children (6-15y in thousands)</t>
  </si>
  <si>
    <t>Number of additional teachers (in thousands)</t>
  </si>
  <si>
    <t>Scenario 1 - Universal</t>
  </si>
  <si>
    <t>1. Total child allowance cost per month (thousands)</t>
  </si>
  <si>
    <t>2. Total cost of providing teachers to excluded children (per month)</t>
  </si>
  <si>
    <t>3. Total cost for meals (per month in thousands VD)</t>
  </si>
  <si>
    <t>A. BENEFIT per person per month</t>
  </si>
  <si>
    <t>C. TOTAL cost for the three components</t>
  </si>
  <si>
    <r>
      <t xml:space="preserve">Scenario 1: </t>
    </r>
    <r>
      <rPr>
        <sz val="11"/>
        <color indexed="8"/>
        <rFont val="Calibri"/>
        <family val="2"/>
      </rPr>
      <t>child all for all (0-15) + add teachers&amp;non-staff for excluded + meal for all children in school</t>
    </r>
  </si>
  <si>
    <t>Option 1| Universal pension for all elderly not covered by the contributory pension: 60+</t>
  </si>
  <si>
    <t>Cost (in % of total government budget)</t>
  </si>
  <si>
    <t>Including administrative costs</t>
  </si>
  <si>
    <t>Administrative cost as percentage of benefit cost</t>
  </si>
  <si>
    <t>Total cost (% GDP)</t>
  </si>
  <si>
    <t>Total cost (% Government budget)</t>
  </si>
  <si>
    <t>Cost extension of universal old age pension | 65+ and higher level of benefit (% GDP)</t>
  </si>
  <si>
    <t>Cost extension of universal old age pension | 65+ and higher level of benefit (% Government budget)</t>
  </si>
  <si>
    <t>2.1 Child benefit (scenario 1 - universal cash and kind )</t>
  </si>
  <si>
    <t>3. Working age income security (scenario 1 - high cost )</t>
  </si>
  <si>
    <t>Health (if 100% subsidized to be developed after sound evaluation)</t>
  </si>
  <si>
    <t>Administrative costs in addition to the benefit costs</t>
  </si>
  <si>
    <t>Uncovered elderly</t>
  </si>
  <si>
    <t>All elderly</t>
  </si>
  <si>
    <t>Scenario 1 for Elederly and targeted Child cash and kind All childen</t>
  </si>
  <si>
    <t>UNEMPLOYMENT ASSISTANCE | Holistic package including 100 hundred days employment and in-kind support (employment services + training)</t>
  </si>
  <si>
    <t>Self targeted</t>
  </si>
  <si>
    <t>PARAMETERS</t>
  </si>
  <si>
    <t>1. Wage</t>
  </si>
  <si>
    <t>2. Disability benefit (social assistance)</t>
  </si>
  <si>
    <t>3. Benefit in kind</t>
  </si>
  <si>
    <t>Independent from the number of beneficiaries</t>
  </si>
  <si>
    <t>BENEFITS per month and per component</t>
  </si>
  <si>
    <t xml:space="preserve">BENEFITS per year </t>
  </si>
  <si>
    <t>TOTAL COSTS including administrative costs</t>
  </si>
  <si>
    <t>Total cost (aggregate millions VD per year on individual basis for wage component)</t>
  </si>
  <si>
    <t>Total cost (aggregate millions VD per year on household basis for wage component)</t>
  </si>
  <si>
    <t>IMF</t>
  </si>
  <si>
    <t>ILSSA calculation</t>
  </si>
  <si>
    <t>PERCENTAGE INCREASE REQUIRED IN GOVERNMENT BUDGET</t>
  </si>
  <si>
    <t>Based on IMF data</t>
  </si>
  <si>
    <t>Based on ILSSA data</t>
  </si>
  <si>
    <t>% of State budget (National / ILSSA calculations)</t>
  </si>
  <si>
    <t>% of State budget (IMF)</t>
  </si>
  <si>
    <t>Health insurance for policy beneficiaries</t>
  </si>
  <si>
    <t>Retirement pension and support in unemployment insurance premiums</t>
  </si>
  <si>
    <t xml:space="preserve">        Regular social assistance in accordance with Decree No. 67</t>
  </si>
  <si>
    <t xml:space="preserve">        Emergency social relief in accordance with Decree No. 67</t>
  </si>
  <si>
    <t xml:space="preserve">        Other types of social assistance</t>
  </si>
  <si>
    <t>Monitoring, evaluation, communincation and management in social security</t>
  </si>
  <si>
    <t>Total State budget for social security</t>
  </si>
  <si>
    <r>
      <rPr>
        <b/>
        <sz val="14"/>
        <color indexed="62"/>
        <rFont val="Calibri"/>
        <family val="2"/>
      </rPr>
      <t xml:space="preserve">2) Some information from ILSSA - Social security budget </t>
    </r>
    <r>
      <rPr>
        <sz val="14"/>
        <color indexed="62"/>
        <rFont val="Calibri"/>
        <family val="2"/>
      </rPr>
      <t xml:space="preserve"> </t>
    </r>
    <r>
      <rPr>
        <sz val="14"/>
        <color indexed="8"/>
        <rFont val="Calibri"/>
        <family val="2"/>
      </rPr>
      <t>(as planned for the SP strategy)</t>
    </r>
  </si>
  <si>
    <t>Total State budget</t>
  </si>
  <si>
    <t>Source: ILSSA calculations</t>
  </si>
  <si>
    <t>State budget for social security programs in 2000-2008 and forecast by 2020 (ILSSA calculation) -- Billions dongs</t>
  </si>
  <si>
    <t>Source: ILSSA: Millions dongs</t>
  </si>
  <si>
    <t>GDP IMF</t>
  </si>
  <si>
    <t>2. State budget for social security (thousand billion)</t>
  </si>
  <si>
    <r>
      <t xml:space="preserve">1. Total budget for social security </t>
    </r>
    <r>
      <rPr>
        <sz val="10"/>
        <color indexed="63"/>
        <rFont val="Calibri"/>
        <family val="2"/>
      </rPr>
      <t>(% of GDP)</t>
    </r>
  </si>
  <si>
    <r>
      <t xml:space="preserve">2. State budget for social security </t>
    </r>
    <r>
      <rPr>
        <sz val="10"/>
        <color indexed="63"/>
        <rFont val="Calibri"/>
        <family val="2"/>
      </rPr>
      <t xml:space="preserve"> (% of GDP)</t>
    </r>
  </si>
  <si>
    <r>
      <t xml:space="preserve">State support as a proportion of total social security budget </t>
    </r>
    <r>
      <rPr>
        <i/>
        <sz val="10"/>
        <color indexed="63"/>
        <rFont val="Calibri"/>
        <family val="2"/>
      </rPr>
      <t>(Percentage of total social security budget)</t>
    </r>
  </si>
  <si>
    <t>2b) Children: targeted benefit in cash and in kind (Children poverty rate - scenario 2b)</t>
  </si>
  <si>
    <t>A. Cost of SPF benefits (in additional to the existing provision and planned national strategy)</t>
  </si>
  <si>
    <t>2a) Expressed as a percentage of GDP</t>
  </si>
  <si>
    <t>2a) Expressed as a percentage of Government expenditure</t>
  </si>
  <si>
    <t>2c) Composition of state budget for social security over time</t>
  </si>
  <si>
    <t>IMF Article IV. September 2010</t>
  </si>
  <si>
    <t>National statistical office</t>
  </si>
  <si>
    <t>National statistical office - VHLSS 2008</t>
  </si>
  <si>
    <t>Authors calculations (based on national VHLSS 2008 data)</t>
  </si>
  <si>
    <t>Authors calculations (based on IMF Article IV Sept 2010)</t>
  </si>
  <si>
    <t>Auto calculations</t>
  </si>
  <si>
    <t>Reference to POP (Cf. for related sources)</t>
  </si>
  <si>
    <t>Reference to EAP (Cf. for related sources)</t>
  </si>
  <si>
    <t>Auto calculation</t>
  </si>
  <si>
    <t>Sources</t>
  </si>
  <si>
    <t>World Population Prospects: the 2008 revision used only for annual rate of increase</t>
  </si>
  <si>
    <t>National source: 2009 data from the Viet Nam LFS2009 as a basis</t>
  </si>
  <si>
    <t>ILO Laborsta Economically Active Population Estimates and Projections 1980-2020 (EAPEP) 
http://laborsta.ilo.org/applv8/data/EAPEP/eapep_E.html</t>
  </si>
  <si>
    <t>Vietnam LFS 2009</t>
  </si>
  <si>
    <t>Vietnem social security insurance</t>
  </si>
  <si>
    <t>ILSSA calculations</t>
  </si>
  <si>
    <t>Source</t>
  </si>
  <si>
    <t>ILSSA calculations and intra-polation</t>
  </si>
  <si>
    <t>ILSSA calculation for the National SPS</t>
  </si>
  <si>
    <t>All children below 16 years old and poor (Use information from the 10th draft of the national SPS, Hanoi december 2010)</t>
  </si>
  <si>
    <t>All children below 16 years old (because children must be 16 to be legally employed) 
National government poverty line: National statistical office - VHLSS 2008
Poverty rate by urban rural and region calculated by income (The new Government poverty lines for 2006 is 200 thousand dongs per capita per month for the rural area and 260 thousand dongs per capita per month for the urban area. These poverty lines
are up dated by 2008 prices and have values of 290 for rural, 370 for urban)
http://www.gso.gov.vn/Modules/Doc_Download.aspx?DocID=11361 (access in Feb. 2011)</t>
  </si>
  <si>
    <t>National statistical office - VHLSS 2008
General poverty rate by urban rural and region calculated by expenditure (General poverty rate is poor people rate which is calculated by monthly average expenditure per capita and general poverty line provided by the GSO and the WB with
monthly average expenditure per capita for different years as follows: 2002: 160 thousand dongs; 2004: 173 thousand dongs; 2006 : 213 thousand dongs and 2008 : 280 thousand
dongs.)
http://www.gso.gov.vn/Modules/Doc_Download.aspx?DocID=11361 (access in Feb. 2011)</t>
  </si>
  <si>
    <t>National statistical office - VHLSS 2008
Child poverty rate based on consumption expenditure 
http://www.gso.gov.vn/Modules/Doc_Download.aspx?DocID=11361 (access in Feb. 2011) / Cf Table 9.6 Consumption expenditure child poverty and multidementional poverty rate by urban rural, region, child sex, age group and ethnic groupConsumption expenditure child poverty and multidementional poverty rate by urban rural, region, child sex, age group and ethnic group</t>
  </si>
  <si>
    <t>Option 3| Universal pension for all elderly aged: 65+ with reduced benefit level if receiving a pension from the contributory social insurance scheme</t>
  </si>
  <si>
    <t>Take up rates/ implementation phasing</t>
  </si>
  <si>
    <t>Reduced level of benefit for elderly receiving the contributory pension</t>
  </si>
  <si>
    <t>Pensioners contributory scheme (65+)</t>
  </si>
  <si>
    <t>1a) Elderly: coverage of the elderly not covered by the contributory pension</t>
  </si>
  <si>
    <t>1b) Elderly: Coverage of ALL elederly with reduced non-contributory pension level for pensioners reveicing contributory pension</t>
  </si>
  <si>
    <t>GDP ILSSA calculations</t>
  </si>
  <si>
    <t>% of GDP (IMF)</t>
  </si>
  <si>
    <t>% of GDP (ILSSA calculations)</t>
  </si>
  <si>
    <t>2.1) Composition of the the state social security budget (in percentage)</t>
  </si>
  <si>
    <r>
      <t xml:space="preserve">2.2) State budget for social security and its components  as a percentage of GDP </t>
    </r>
    <r>
      <rPr>
        <i/>
        <sz val="11"/>
        <color indexed="62"/>
        <rFont val="Calibri"/>
        <family val="2"/>
      </rPr>
      <t>(GDP based on IMF estimates)</t>
    </r>
  </si>
  <si>
    <t>2.3) Total budget for social security  (State and non state budget)</t>
  </si>
  <si>
    <t>Additional indicators</t>
  </si>
  <si>
    <r>
      <t xml:space="preserve">Total State budget for social security </t>
    </r>
    <r>
      <rPr>
        <b/>
        <i/>
        <sz val="10"/>
        <color indexed="8"/>
        <rFont val="Calibri"/>
        <family val="2"/>
      </rPr>
      <t>(based on ILSSA calculations)</t>
    </r>
  </si>
  <si>
    <t>A. TOTAL state budget STATUS Quo</t>
  </si>
  <si>
    <t xml:space="preserve">Additional necessary budget for SPF guarantees </t>
  </si>
  <si>
    <t>B. Additional social security budget for fill in the gaps</t>
  </si>
  <si>
    <t>Percentage increase in the TOTAL general governement budget</t>
  </si>
  <si>
    <r>
      <t xml:space="preserve">Percentage increase in the State social security budget </t>
    </r>
    <r>
      <rPr>
        <i/>
        <sz val="10"/>
        <color indexed="8"/>
        <rFont val="Calibri"/>
        <family val="2"/>
      </rPr>
      <t>(based on ILSSA data)</t>
    </r>
  </si>
  <si>
    <t>Banlance of general government POST SPF gaps filled</t>
  </si>
  <si>
    <t>General government fiscal balance (IMF) - STATUS QUO (if status quo included in IMF data -- to be confirmed)</t>
  </si>
  <si>
    <t>As a percentage of total general government expenditure (STATUS QUO)</t>
  </si>
  <si>
    <t>General government fiscal balance (IMF) - STATUS QUO</t>
  </si>
  <si>
    <t>State budget for social security</t>
  </si>
  <si>
    <t>As a proportion of GDP</t>
  </si>
  <si>
    <t>Total revenue IMF (projections from Article IV)</t>
  </si>
  <si>
    <t>Regular social assistance in accordance with Decree No. 67</t>
  </si>
  <si>
    <t>Emergency social relief in accordance with Decree No. 67</t>
  </si>
  <si>
    <t>Other types of social assistance</t>
  </si>
  <si>
    <t>Unit: Millions dongs</t>
  </si>
  <si>
    <r>
      <t xml:space="preserve">State budget for social security programs in 2000-2008 and forecast by 2020 (ILSSA calculation) 
</t>
    </r>
    <r>
      <rPr>
        <i/>
        <sz val="11"/>
        <color indexed="8"/>
        <rFont val="Calibri"/>
        <family val="2"/>
      </rPr>
      <t>Unit: Billions dongs</t>
    </r>
  </si>
  <si>
    <t>Take up rate able to work</t>
  </si>
  <si>
    <t>Take up rate disabled</t>
  </si>
  <si>
    <t>Population 80+</t>
  </si>
  <si>
    <t>Compulsory social insurance members (thousand people)</t>
  </si>
  <si>
    <t>Social insurance members nationwide (including compulsory and voluntary (thousand people)</t>
  </si>
  <si>
    <t>Contributors to the social insurance scheme (in thousands)</t>
  </si>
  <si>
    <t>Proportion of voluntary insurance in total</t>
  </si>
  <si>
    <t>Source: Data calculations by ILSSA</t>
  </si>
  <si>
    <t>Annual increase in the number of contributors (TOTAL)</t>
  </si>
  <si>
    <t>Annual increase in the number of contributors (Mandatory)</t>
  </si>
  <si>
    <t>Revenue past annual increase</t>
  </si>
  <si>
    <t>GDP increase (current)</t>
  </si>
  <si>
    <t xml:space="preserve">GDP constant </t>
  </si>
  <si>
    <t>Expenditure annual increase</t>
  </si>
  <si>
    <t>Non state budget on social security</t>
  </si>
  <si>
    <t>% non-state in social security budget</t>
  </si>
  <si>
    <t>Labour market policies (total)</t>
  </si>
  <si>
    <t>% GDP</t>
  </si>
  <si>
    <t>Total budget on social security (State and non-state)</t>
  </si>
  <si>
    <t>% non-state social security budget as a percentage of GDP</t>
  </si>
  <si>
    <t>% non-state social security budget as a percentage of total government expenditure (IMF)</t>
  </si>
  <si>
    <t>% State in social security budget</t>
  </si>
  <si>
    <t>% State social security budget as a percentage of GDP</t>
  </si>
  <si>
    <t>% State social security budget as a percentage of total government expenditure (IMF)</t>
  </si>
  <si>
    <t>State budget for social security (Before SPF)</t>
  </si>
  <si>
    <t>State budget for social security (Detailed and after SPF)</t>
  </si>
  <si>
    <t>3) Working age</t>
  </si>
  <si>
    <t>1) IMF: Expenditure and revenue of general government expenditure</t>
  </si>
  <si>
    <t>3) Level and composition of expenditure (as a percentage of GDP)</t>
  </si>
  <si>
    <t>B. General government expenditure (STATUS Quo)</t>
  </si>
  <si>
    <t>1) State and state expenditure on social security</t>
  </si>
  <si>
    <t>% of State budget (National ILSSA calculations)</t>
  </si>
  <si>
    <t>1) Status quo | State and non-state budget for social security</t>
  </si>
  <si>
    <t>Non state</t>
  </si>
  <si>
    <r>
      <t xml:space="preserve">2.3b) Total budget for social security  (State and non state budget) 
</t>
    </r>
    <r>
      <rPr>
        <i/>
        <sz val="12"/>
        <color indexed="62"/>
        <rFont val="Calibri"/>
        <family val="2"/>
      </rPr>
      <t>As a percentage of GDP</t>
    </r>
  </si>
  <si>
    <t xml:space="preserve">2.3a) Total budget for social security  (State and non state budget) </t>
  </si>
  <si>
    <r>
      <t xml:space="preserve">3) Detailed social budget by 5-year plan and average annual </t>
    </r>
    <r>
      <rPr>
        <sz val="11"/>
        <color indexed="62"/>
        <rFont val="Calibri"/>
        <family val="2"/>
      </rPr>
      <t>(national data. Calculation from ILSSA from the strategy)</t>
    </r>
  </si>
  <si>
    <t>4) Costing additional provisions necessary to complete the SPF and close the poverty gap</t>
  </si>
  <si>
    <r>
      <rPr>
        <b/>
        <sz val="14"/>
        <color indexed="62"/>
        <rFont val="Calibri"/>
        <family val="2"/>
      </rPr>
      <t>5) Social security budget POST SPF benefits (</t>
    </r>
    <r>
      <rPr>
        <b/>
        <sz val="12"/>
        <color indexed="62"/>
        <rFont val="Calibri"/>
        <family val="2"/>
      </rPr>
      <t xml:space="preserve">based on information from ILSSA - Social security budget </t>
    </r>
    <r>
      <rPr>
        <sz val="12"/>
        <color indexed="62"/>
        <rFont val="Calibri"/>
        <family val="2"/>
      </rPr>
      <t xml:space="preserve"> </t>
    </r>
    <r>
      <rPr>
        <sz val="12"/>
        <color indexed="8"/>
        <rFont val="Calibri"/>
        <family val="2"/>
      </rPr>
      <t>(as planned for the SP strategy)</t>
    </r>
  </si>
  <si>
    <t>State</t>
  </si>
  <si>
    <t>2) Composition of the State budget for social protection</t>
  </si>
  <si>
    <t>4) Total cost of benefit package</t>
  </si>
  <si>
    <t>4a) As a percentage of GDP</t>
  </si>
  <si>
    <t>4b) As a percentage of total government budget</t>
  </si>
  <si>
    <t xml:space="preserve">1) Total cost of the SP strategy and additional costs for the elements of the SPF as a percentage of GDP
</t>
  </si>
  <si>
    <r>
      <t xml:space="preserve">2) General government fiscal balance (IMF) - from the STATUS QUO scenario to SPF provisions 
 </t>
    </r>
    <r>
      <rPr>
        <sz val="12"/>
        <color indexed="8"/>
        <rFont val="Calibri"/>
        <family val="2"/>
      </rPr>
      <t>as a percentage of GDP</t>
    </r>
  </si>
  <si>
    <r>
      <t xml:space="preserve">3) General government fiscal balance (IMF) - from the STATUS QUO scenario to SPF provisions 
 </t>
    </r>
    <r>
      <rPr>
        <sz val="12"/>
        <color indexed="8"/>
        <rFont val="Calibri"/>
        <family val="2"/>
      </rPr>
      <t>as a percentage of General government expenditure</t>
    </r>
  </si>
  <si>
    <t>C. Social budget for social protection (STATUS Quo) - ILSSA</t>
  </si>
  <si>
    <t xml:space="preserve">D. Social budget for social protection (including SPF additional provisions) </t>
  </si>
  <si>
    <t>Selection of graphs</t>
  </si>
  <si>
    <t>GDP deflator index (base 1994)</t>
  </si>
  <si>
    <t>Labour productivity Increase</t>
  </si>
  <si>
    <t xml:space="preserve">average rate of increase past five years </t>
  </si>
  <si>
    <t xml:space="preserve">Deviation between Revenue and GDP growth </t>
  </si>
  <si>
    <t xml:space="preserve">Deviation between expenditure and GDP growth </t>
  </si>
  <si>
    <t>Treasury bill interest rate</t>
  </si>
  <si>
    <t>Diff to inflation</t>
  </si>
  <si>
    <t>GDP current</t>
  </si>
  <si>
    <t>Total general expenditure</t>
  </si>
  <si>
    <t>Denominators</t>
  </si>
  <si>
    <t>Total general government expenditure</t>
  </si>
  <si>
    <t>General government expenditure</t>
  </si>
  <si>
    <r>
      <t>Social security Contributions</t>
    </r>
    <r>
      <rPr>
        <b/>
        <i/>
        <sz val="10"/>
        <color indexed="8"/>
        <rFont val="Calibri"/>
        <family val="2"/>
      </rPr>
      <t xml:space="preserve"> </t>
    </r>
    <r>
      <rPr>
        <i/>
        <sz val="10"/>
        <color indexed="8"/>
        <rFont val="Calibri"/>
        <family val="2"/>
      </rPr>
      <t>(total from ILSSA calculations)</t>
    </r>
  </si>
  <si>
    <t>Contributions/ expenditures?</t>
  </si>
  <si>
    <r>
      <rPr>
        <b/>
        <sz val="11"/>
        <color indexed="8"/>
        <rFont val="Calibri"/>
        <family val="2"/>
      </rPr>
      <t>Health</t>
    </r>
    <r>
      <rPr>
        <sz val="11"/>
        <color theme="1"/>
        <rFont val="Calibri"/>
        <family val="2"/>
        <scheme val="minor"/>
      </rPr>
      <t xml:space="preserve">: </t>
    </r>
    <r>
      <rPr>
        <sz val="9"/>
        <color indexed="8"/>
        <rFont val="Calibri"/>
        <family val="2"/>
      </rPr>
      <t>100% of health insurance premiums paid by communities and society</t>
    </r>
  </si>
  <si>
    <t>ILSSA calculations for the budgeting of the strategy (Billions VND)</t>
  </si>
  <si>
    <t xml:space="preserve">Social security </t>
  </si>
  <si>
    <t>unemployment insurance contributions made by enterprises and employees</t>
  </si>
  <si>
    <t>Compulsory social insurance premiums paid by enterprises and employees</t>
  </si>
  <si>
    <t>Voluntary social insurance premiums paid by employees</t>
  </si>
  <si>
    <t>Contributions of employees when receiving partial support from the Government for the premiums</t>
  </si>
  <si>
    <t xml:space="preserve">Total </t>
  </si>
  <si>
    <t>Percentage contribution in GDP</t>
  </si>
  <si>
    <t>ILSSA calculations and projections for contributions</t>
  </si>
  <si>
    <r>
      <t xml:space="preserve">2.2a) State budget for social security and its components  as a percentage of GDP </t>
    </r>
    <r>
      <rPr>
        <i/>
        <sz val="11"/>
        <color indexed="62"/>
        <rFont val="Calibri"/>
        <family val="2"/>
      </rPr>
      <t>(GDP based on IMF estimates)</t>
    </r>
  </si>
  <si>
    <r>
      <t>2.2b) State budget for social security and its components  as a percentage of General government expenditure</t>
    </r>
    <r>
      <rPr>
        <sz val="11"/>
        <color indexed="62"/>
        <rFont val="Calibri"/>
        <family val="2"/>
      </rPr>
      <t xml:space="preserve"> (!! IMF data for the denominator =&gt; some indicators can be different from indicators from ILSSA)</t>
    </r>
  </si>
  <si>
    <t>Calcztated automatically from EAP</t>
  </si>
  <si>
    <t>Only informative. Not directly used for calculations</t>
  </si>
  <si>
    <t>GENERAL GOVERNMENT OPERATIONS (STATUS QUO) &amp; with SPF additional SP provisions</t>
  </si>
  <si>
    <t>1) Revenue and expenditure (General government) based on IMF Article IV projections</t>
  </si>
  <si>
    <t>2) Some information from ILSSA: Social security budget  (as planned for the SP strategy)</t>
  </si>
  <si>
    <t>3) Detailed social budget by 5-year plan and average annual (national data. Calculation from ILSSA from the strategy)</t>
  </si>
  <si>
    <t>5) Social security budget POST SPF benefits (based on information from ILSSA - Social security budget  (as planned for the SP strategy)</t>
  </si>
  <si>
    <t>6) Supplement | Tables for graphs</t>
  </si>
  <si>
    <r>
      <t xml:space="preserve">1) Revenue and expenditure (General government) based on IMF Article IV projections
</t>
    </r>
    <r>
      <rPr>
        <sz val="10"/>
        <color indexed="30"/>
        <rFont val="Calibri"/>
        <family val="2"/>
      </rPr>
      <t>See 2) below social security budget from national ILSSA calculations</t>
    </r>
  </si>
  <si>
    <t>Top</t>
  </si>
  <si>
    <t>Data for consolidation of IMF revenue side (for contributions)</t>
  </si>
  <si>
    <t/>
  </si>
  <si>
    <t>2) NEW Desagregation received from IMF in April 2011</t>
  </si>
  <si>
    <t>b) As a percentage of GDP</t>
  </si>
  <si>
    <t>b) Absolute numbers</t>
  </si>
  <si>
    <r>
      <t xml:space="preserve">4) Total cost of benefit package if taking into account </t>
    </r>
    <r>
      <rPr>
        <b/>
        <sz val="11"/>
        <color indexed="48"/>
        <rFont val="Calibri"/>
        <family val="2"/>
      </rPr>
      <t xml:space="preserve">scenario </t>
    </r>
    <r>
      <rPr>
        <b/>
        <sz val="11"/>
        <color indexed="8"/>
        <rFont val="Calibri"/>
        <family val="2"/>
      </rPr>
      <t>2 for elderly and scenario 2c for Children</t>
    </r>
  </si>
  <si>
    <r>
      <t xml:space="preserve">4) Total cost of benefit package if taking into account </t>
    </r>
    <r>
      <rPr>
        <b/>
        <sz val="11"/>
        <color indexed="48"/>
        <rFont val="Calibri"/>
        <family val="2"/>
      </rPr>
      <t xml:space="preserve">scenario </t>
    </r>
    <r>
      <rPr>
        <b/>
        <sz val="11"/>
        <color indexed="8"/>
        <rFont val="Calibri"/>
        <family val="2"/>
      </rPr>
      <t>2 for elderly and scenario 2b for Children</t>
    </r>
  </si>
  <si>
    <t>2.b Child benefit (scenario 2b- Targeted for ALL poor children cash and kind )</t>
  </si>
  <si>
    <t>2c. Child benefit (scenario 2c - targeted cash and kind) - limited to 2 children strict</t>
  </si>
  <si>
    <t>2. Child benefit (scenario 2b - targeted cash and kind) - ALL children</t>
  </si>
  <si>
    <t>2. Child benefit (scenario 2c - targeted cash and kind) - limited to 2 children</t>
  </si>
  <si>
    <t>Scenario 2 for Elederly and targeted Child cash and kind All childen</t>
  </si>
  <si>
    <t>Scenario 2 for Elederly and targeted Child cash and kind limited to 2 children</t>
  </si>
  <si>
    <t>SPF filling the gaps a)</t>
  </si>
  <si>
    <t xml:space="preserve">SPF filling the gaps b) </t>
  </si>
  <si>
    <t>Total (bil. dongs) a)</t>
  </si>
  <si>
    <t>Total (bil. dongs) b)</t>
  </si>
  <si>
    <t>% of GDP (IMF) a)</t>
  </si>
  <si>
    <t>% of GDP (IMF) b)</t>
  </si>
  <si>
    <t>% of GDP (ILSSA calculations) a)</t>
  </si>
  <si>
    <t>% of GDP (ILSSA calculations) b)</t>
  </si>
  <si>
    <t>% of State budget (IMF) a)</t>
  </si>
  <si>
    <t xml:space="preserve">% of State budget (National / ILSSA calculations) a) </t>
  </si>
  <si>
    <t xml:space="preserve">% of State budget (National / ILSSA calculations) b) </t>
  </si>
  <si>
    <t>Limited to 2 children</t>
  </si>
  <si>
    <t>IMF data on percentage of public debt as a percentage of GDP. Projections until 2015</t>
  </si>
  <si>
    <t>Total public debt as percentage of GDP</t>
  </si>
  <si>
    <t>2a) Level and composition of revenue (as a percentage of GDP)</t>
  </si>
  <si>
    <t>Employment and training services (10 staff per country and urban districts) - total per month</t>
  </si>
  <si>
    <t>Eligibility criteria (Poverty rate calculated on expenditure)</t>
  </si>
  <si>
    <t>Eligibility criteria (Poverty rate government poverty line)</t>
  </si>
  <si>
    <t>Poverty rates</t>
  </si>
  <si>
    <t>Government poverty rate</t>
  </si>
  <si>
    <t>Poverty calculater on expenditure GSO</t>
  </si>
  <si>
    <t>% of the population in rural areas</t>
  </si>
  <si>
    <t>% of the poors in rural areas</t>
  </si>
  <si>
    <t>Poverty rates total</t>
  </si>
  <si>
    <t>Rural</t>
  </si>
  <si>
    <t>Urban</t>
  </si>
  <si>
    <t>Poverty lines</t>
  </si>
  <si>
    <t>Estimated national amount for poverty line</t>
  </si>
  <si>
    <t>Rural government poverty line</t>
  </si>
  <si>
    <t>Urban government poverty line</t>
  </si>
  <si>
    <t>Estimated national poverty line</t>
  </si>
  <si>
    <r>
      <t xml:space="preserve">Benefiaries of existing programmes </t>
    </r>
    <r>
      <rPr>
        <sz val="11"/>
        <color theme="1"/>
        <rFont val="Calibri"/>
        <family val="2"/>
        <scheme val="minor"/>
      </rPr>
      <t>(thousands of persons)</t>
    </r>
  </si>
  <si>
    <r>
      <t>Target/eligible population</t>
    </r>
    <r>
      <rPr>
        <sz val="11"/>
        <color theme="1"/>
        <rFont val="Calibri"/>
        <family val="2"/>
        <scheme val="minor"/>
      </rPr>
      <t xml:space="preserve"> (thousands of persons)</t>
    </r>
  </si>
  <si>
    <t xml:space="preserve">Balance as a percentage of GDP </t>
  </si>
  <si>
    <t>General government fiscal balance</t>
  </si>
  <si>
    <t xml:space="preserve">Apply the average annual percentage change over the period 2010-2015 </t>
  </si>
  <si>
    <t>State budget as a percentage of GDP</t>
  </si>
  <si>
    <t>Additional benefits as a percentage of GDP</t>
  </si>
  <si>
    <t>Additional benefits as a general government expenditure</t>
  </si>
  <si>
    <t>Total additional cost as general government expenditure</t>
  </si>
  <si>
    <t>Total general government fiscal balance as a percentage of general government expenditure (existing deficit and additional provision)</t>
  </si>
  <si>
    <t>15-59</t>
  </si>
  <si>
    <t>15-64</t>
  </si>
  <si>
    <t>Primary Sector</t>
  </si>
  <si>
    <t>Secondary Sector</t>
  </si>
  <si>
    <t>Services</t>
  </si>
  <si>
    <t>Historical data</t>
  </si>
  <si>
    <t>GDP at current prices</t>
  </si>
  <si>
    <t>GDP at constant prices</t>
  </si>
  <si>
    <t>Labour productivity</t>
  </si>
  <si>
    <t>Projections</t>
  </si>
  <si>
    <t>(Annual percentage change)</t>
  </si>
  <si>
    <t>(In millions of local currency)</t>
  </si>
  <si>
    <t>Consumer prices</t>
  </si>
  <si>
    <t>Exchange rate (PPP)</t>
  </si>
  <si>
    <t>Average wage</t>
  </si>
  <si>
    <t>ASSUMPTIONS</t>
  </si>
  <si>
    <t>RESULTS</t>
  </si>
  <si>
    <t>Unemployment rate</t>
  </si>
  <si>
    <t>GDP per capita at constant prices</t>
  </si>
  <si>
    <t>Notes</t>
  </si>
  <si>
    <t>GDP per capita at current prices</t>
  </si>
  <si>
    <t>Age</t>
  </si>
  <si>
    <t>0-4</t>
  </si>
  <si>
    <t>5-9</t>
  </si>
  <si>
    <t>10-14</t>
  </si>
  <si>
    <t>15-19</t>
  </si>
  <si>
    <t>20-24</t>
  </si>
  <si>
    <t>25-29</t>
  </si>
  <si>
    <t>30-34</t>
  </si>
  <si>
    <t>35-39</t>
  </si>
  <si>
    <t>40-44</t>
  </si>
  <si>
    <t>45-49</t>
  </si>
  <si>
    <t>50-54</t>
  </si>
  <si>
    <t>55-59</t>
  </si>
  <si>
    <t>60-64</t>
  </si>
  <si>
    <t>Total</t>
  </si>
  <si>
    <t>LABOUR PARTICIPATION RATES</t>
  </si>
  <si>
    <t>Base year</t>
  </si>
  <si>
    <t>REVENUE</t>
  </si>
  <si>
    <t>EXPENDITURE</t>
  </si>
  <si>
    <t>CHILD BENEFIT</t>
  </si>
  <si>
    <t>Eligibility criteria (1)</t>
  </si>
  <si>
    <t>Eligibility criteria (2)</t>
  </si>
  <si>
    <t>Take-up rate</t>
  </si>
  <si>
    <t>(In local currency)</t>
  </si>
  <si>
    <t>Administrative costs</t>
  </si>
  <si>
    <t>UNIVERSAL PENSION</t>
  </si>
  <si>
    <t>65 +</t>
  </si>
  <si>
    <t>(In local currency, at current prices)</t>
  </si>
  <si>
    <t>GDP structure</t>
  </si>
  <si>
    <t>(In percent of total)</t>
  </si>
  <si>
    <t>VAT</t>
  </si>
  <si>
    <t>NATIONAL INCOME AND PRICES</t>
  </si>
  <si>
    <t>POPULATION AND LABOUR MARKET</t>
  </si>
  <si>
    <t xml:space="preserve">Minimum wage </t>
  </si>
  <si>
    <t>FEMALE POPULATION (5-year age groups, in thousands)</t>
  </si>
  <si>
    <t>MALE POPULATION (5-year age groups, in thousands)</t>
  </si>
  <si>
    <t>TOTAL POPULATION (5-year age groups, in thousands)</t>
  </si>
  <si>
    <t>MALE POPULATION (single age, in thousands)</t>
  </si>
  <si>
    <t>FEMALE POPULATION (single age, in thousands)</t>
  </si>
  <si>
    <t>TOTAL POPULATION (single age, in thousands)</t>
  </si>
  <si>
    <t>http://www.socialsecurityextension.org/gimi/gess/RessFileDownload.do?ressourceId=20140</t>
  </si>
  <si>
    <t>Total population (in thousands)</t>
  </si>
  <si>
    <t>Labour Force (in thousands)</t>
  </si>
  <si>
    <t>Employment (in thousands)</t>
  </si>
  <si>
    <t>Unemployment (in thousands)</t>
  </si>
  <si>
    <t>RAPID ASSESSMENT PROTOCOL</t>
  </si>
  <si>
    <t>Social Security Department</t>
  </si>
  <si>
    <t>INTERNATIONAL LABOUR OFFICE</t>
  </si>
  <si>
    <t>- Projection period</t>
  </si>
  <si>
    <t>- Historical data</t>
  </si>
  <si>
    <t>About Child Benefits</t>
  </si>
  <si>
    <t>About Universal Pension</t>
  </si>
  <si>
    <t>About Unemployment Assistance</t>
  </si>
  <si>
    <t>Input variables and parameters</t>
  </si>
  <si>
    <t>Intermediate results and projections</t>
  </si>
  <si>
    <t>Results</t>
  </si>
  <si>
    <t>-Population by age (single-age or 5-year age groups) and sex</t>
  </si>
  <si>
    <t>-Exchange rate (current, local currency per USD)</t>
  </si>
  <si>
    <t>-Exchange rate (PPP)</t>
  </si>
  <si>
    <t>-Real interest rate</t>
  </si>
  <si>
    <t>-Average wage (local currency)</t>
  </si>
  <si>
    <t>-Minimum wage (local currency)</t>
  </si>
  <si>
    <t>-Poverty line (local currency)</t>
  </si>
  <si>
    <t>(i) Demographic data</t>
  </si>
  <si>
    <t>(ii) Labour statistics</t>
  </si>
  <si>
    <t>-GDP deflator and its growth rate</t>
  </si>
  <si>
    <t>-Employed population by sector (primary, secondary and services)</t>
  </si>
  <si>
    <t xml:space="preserve">-GDP and its growth rates by sector (at constant and current prices) </t>
  </si>
  <si>
    <t>MACROECONOMIC FRAMEWORK</t>
  </si>
  <si>
    <t>-GDP structure by sector (in percent)</t>
  </si>
  <si>
    <t>The cells in blue refer to those the user can freely modify to perform projections and other calculations.</t>
  </si>
  <si>
    <t xml:space="preserve">The cells in red represent the results of the model. The formulas in these cells should not be modified unless otherwise stated. </t>
  </si>
  <si>
    <t>The cells in green are exclusive for the input variables and parameters that the user should provide to run the model.</t>
  </si>
  <si>
    <t>The 9 basic worksheets are:</t>
  </si>
  <si>
    <t>C. METHODOLOGY:</t>
  </si>
  <si>
    <t>D. MAIN FEATURES:</t>
  </si>
  <si>
    <t>E. MODEL STRUCTURE:</t>
  </si>
  <si>
    <t>F. DATA REQUIREMENTS AND SOURCES:</t>
  </si>
  <si>
    <t>G. INSTRUCTIONS:</t>
  </si>
  <si>
    <t>H. DEFINITIONS AND FORMULAS:</t>
  </si>
  <si>
    <r>
      <rPr>
        <b/>
        <sz val="11"/>
        <color indexed="8"/>
        <rFont val="Calibri"/>
        <family val="2"/>
      </rPr>
      <t>(iii) Gross domestic product at current prices (by sector composition).</t>
    </r>
    <r>
      <rPr>
        <sz val="11"/>
        <color theme="1"/>
        <rFont val="Calibri"/>
        <family val="2"/>
        <scheme val="minor"/>
      </rPr>
      <t xml:space="preserve"> The GDP at current prices reflects the total amount of goods and services produced in the country within a year at prices of current reporting period.</t>
    </r>
  </si>
  <si>
    <r>
      <rPr>
        <b/>
        <sz val="11"/>
        <color indexed="8"/>
        <rFont val="Calibri"/>
        <family val="2"/>
      </rPr>
      <t>(iv) GDP deflator.</t>
    </r>
    <r>
      <rPr>
        <sz val="11"/>
        <color theme="1"/>
        <rFont val="Calibri"/>
        <family val="2"/>
        <scheme val="minor"/>
      </rPr>
      <t xml:space="preserve"> The GDP deflator is a price index level of all goods and services produced in a country within a year. The GDP felator is commonly defined as the ratio of the GDP at current prices to the GDP at constant prices (prices to volume measure). In the Rapid Assessment Protocol, the GDP deflator is assumed to grow at an user-defined growth rate.</t>
    </r>
  </si>
  <si>
    <t>C. METHODOLOGY</t>
  </si>
  <si>
    <t>D. MAIN FEATURES</t>
  </si>
  <si>
    <t>E. MODEL STRUCTURE</t>
  </si>
  <si>
    <t>F. DATA REQUIREMENTS AND SOURCES</t>
  </si>
  <si>
    <t>G. INSTRUCTIONS</t>
  </si>
  <si>
    <t>H. DEFINITIONS AND FORMULAS</t>
  </si>
  <si>
    <t>Exchange rate (current, local per USD)</t>
  </si>
  <si>
    <t>DEMOGRAPHIC FRAMEWORK</t>
  </si>
  <si>
    <t>Labour market model</t>
  </si>
  <si>
    <t>Macroeconomic model</t>
  </si>
  <si>
    <t>POPULATION</t>
  </si>
  <si>
    <t>TECHNICAL GUIDE</t>
  </si>
  <si>
    <t>A. SCOPE</t>
  </si>
  <si>
    <t>B. DISCLAIMER</t>
  </si>
  <si>
    <r>
      <t xml:space="preserve">From  </t>
    </r>
    <r>
      <rPr>
        <b/>
        <sz val="11"/>
        <color theme="1"/>
        <rFont val="Calibri"/>
        <family val="2"/>
        <scheme val="minor"/>
      </rPr>
      <t xml:space="preserve">In-MT DMX line 5 </t>
    </r>
  </si>
  <si>
    <t>GDP nominal (billions)</t>
  </si>
  <si>
    <t>GDP in constant 1994 prices (billions)</t>
  </si>
  <si>
    <r>
      <t xml:space="preserve">From  </t>
    </r>
    <r>
      <rPr>
        <b/>
        <sz val="11"/>
        <color theme="1"/>
        <rFont val="Calibri"/>
        <family val="2"/>
        <scheme val="minor"/>
      </rPr>
      <t xml:space="preserve">In-MT DMX line 6 </t>
    </r>
  </si>
  <si>
    <t>Exchange rate (annual average, dong/US$)</t>
  </si>
  <si>
    <r>
      <t xml:space="preserve">From  </t>
    </r>
    <r>
      <rPr>
        <b/>
        <sz val="11"/>
        <color theme="1"/>
        <rFont val="Calibri"/>
        <family val="2"/>
        <scheme val="minor"/>
      </rPr>
      <t xml:space="preserve">In-MT DMX line 14 </t>
    </r>
  </si>
  <si>
    <t xml:space="preserve">Data from IMF file received on the </t>
  </si>
  <si>
    <t>Real GDP growth (percentage change)</t>
  </si>
  <si>
    <t xml:space="preserve">GDP deflator </t>
  </si>
  <si>
    <t>CPI (percentage change in annual average)</t>
  </si>
  <si>
    <r>
      <t xml:space="preserve">From  </t>
    </r>
    <r>
      <rPr>
        <b/>
        <sz val="11"/>
        <color theme="1"/>
        <rFont val="Calibri"/>
        <family val="2"/>
        <scheme val="minor"/>
      </rPr>
      <t>In-MT DMX line 9</t>
    </r>
  </si>
  <si>
    <r>
      <t xml:space="preserve">From  </t>
    </r>
    <r>
      <rPr>
        <b/>
        <sz val="11"/>
        <color theme="1"/>
        <rFont val="Calibri"/>
        <family val="2"/>
        <scheme val="minor"/>
      </rPr>
      <t>In-MT DMX line 10</t>
    </r>
  </si>
  <si>
    <r>
      <t xml:space="preserve">From  </t>
    </r>
    <r>
      <rPr>
        <b/>
        <sz val="11"/>
        <color theme="1"/>
        <rFont val="Calibri"/>
        <family val="2"/>
        <scheme val="minor"/>
      </rPr>
      <t>In-MT DMX line 11</t>
    </r>
    <r>
      <rPr>
        <sz val="10"/>
        <color theme="1"/>
        <rFont val="Calibri"/>
        <family val="2"/>
      </rPr>
      <t/>
    </r>
  </si>
  <si>
    <r>
      <t xml:space="preserve">From  </t>
    </r>
    <r>
      <rPr>
        <b/>
        <sz val="11"/>
        <color theme="1"/>
        <rFont val="Calibri"/>
        <family val="2"/>
        <scheme val="minor"/>
      </rPr>
      <t>In-MT DMX line 12</t>
    </r>
    <r>
      <rPr>
        <sz val="10"/>
        <color theme="1"/>
        <rFont val="Calibri"/>
        <family val="2"/>
      </rPr>
      <t/>
    </r>
  </si>
  <si>
    <t>For Government expenditure and revenue : data taken from MT_NEW</t>
  </si>
  <si>
    <t>(In billions of dong)</t>
  </si>
  <si>
    <t>Total revenue and grants 2/</t>
  </si>
  <si>
    <t>Revenue (excluding grants)</t>
  </si>
  <si>
    <t>CIT</t>
  </si>
  <si>
    <t>NRT</t>
  </si>
  <si>
    <t>PIT</t>
  </si>
  <si>
    <t>Excise (domestic)</t>
  </si>
  <si>
    <t>Imports</t>
  </si>
  <si>
    <t>Trade (tariffs and import SCT)</t>
  </si>
  <si>
    <t>Capital revenue</t>
  </si>
  <si>
    <t>Other revenue (fees and charges)</t>
  </si>
  <si>
    <t xml:space="preserve">Official expenditure </t>
  </si>
  <si>
    <t>Current 3/</t>
  </si>
  <si>
    <t>Capital</t>
  </si>
  <si>
    <t>Official fiscal balance</t>
  </si>
  <si>
    <t>Other expenditures</t>
  </si>
  <si>
    <t>Off-budget expenditure</t>
  </si>
  <si>
    <t>ODA onlending (less SF net lending)</t>
  </si>
  <si>
    <t>Interest rate subsidy cost</t>
  </si>
  <si>
    <t>Total expenditure</t>
  </si>
  <si>
    <t>Discrepancy (+ is overfinancing)</t>
  </si>
  <si>
    <t>Financing</t>
  </si>
  <si>
    <t>Foreign (net)</t>
  </si>
  <si>
    <t>Disbursements</t>
  </si>
  <si>
    <t>Budget support and project loans</t>
  </si>
  <si>
    <t>ODA for onlending (gross disbursements)</t>
  </si>
  <si>
    <t>Commercial borrowing (incl. sovereign bond iss)</t>
  </si>
  <si>
    <t>Repayments (-)</t>
  </si>
  <si>
    <t>Domestic (net)</t>
  </si>
  <si>
    <t>Treasury</t>
  </si>
  <si>
    <t>Securities</t>
  </si>
  <si>
    <t>Market-based</t>
  </si>
  <si>
    <t>T-bills</t>
  </si>
  <si>
    <t>T-bonds (incl. for off-budget spending)</t>
  </si>
  <si>
    <t>FX-denominated bonds</t>
  </si>
  <si>
    <t>Private placements (incl. with VSSF)</t>
  </si>
  <si>
    <t>Loans and advances</t>
  </si>
  <si>
    <t>from SBV</t>
  </si>
  <si>
    <t>from commercial banks</t>
  </si>
  <si>
    <t>from VSSF</t>
  </si>
  <si>
    <t>from Sinking Fund</t>
  </si>
  <si>
    <t>Drawdown of govt. deposits</t>
  </si>
  <si>
    <t>Other</t>
  </si>
  <si>
    <t>SBV (interest subsidy cost)</t>
  </si>
  <si>
    <t>Sinking Fund drawdown (net of SF loans to govt)</t>
  </si>
  <si>
    <t xml:space="preserve"> - Discrepancy again)</t>
  </si>
  <si>
    <t>Memo:</t>
  </si>
  <si>
    <t>Other public sector borrowing (VDB, SPB, etc)</t>
  </si>
  <si>
    <t>Augmented balance (incl net lending)</t>
  </si>
  <si>
    <t>Total primary spending</t>
  </si>
  <si>
    <t>Growth in real primary spending</t>
  </si>
  <si>
    <t>(In percent of GDP)</t>
  </si>
  <si>
    <t xml:space="preserve">Memo: </t>
  </si>
  <si>
    <t>Overall balance (incl. discrepancy, cash basis)</t>
  </si>
  <si>
    <t>Net lending (VDN, SPB and municipals)</t>
  </si>
  <si>
    <t>Augmented balance - incl net lending (percent of GDP)</t>
  </si>
  <si>
    <t>Total capital expenditures</t>
  </si>
  <si>
    <t>Primary balance (in percent of GDP)</t>
  </si>
  <si>
    <t>Non-oil primary balance (in percent of GDP)</t>
  </si>
  <si>
    <t>CANOPB (VND billions)</t>
  </si>
  <si>
    <t>Potential GDP (VND billions)</t>
  </si>
  <si>
    <t>Cyclically-adjusted NOPB (percent of potential GDP)</t>
  </si>
  <si>
    <t>Cyclically-adjusted NOPB (percent of GDP)</t>
  </si>
  <si>
    <t>CAB (% of potential GDP)</t>
  </si>
  <si>
    <t>CAB (% of GDP)</t>
  </si>
  <si>
    <t>NOPB to non-oil GDP</t>
  </si>
  <si>
    <t>Domestic non-oil revenue (percent of GDP)</t>
  </si>
  <si>
    <t>Domestic non-oil revenue (percent of non-oil GDP)</t>
  </si>
  <si>
    <t>inflation</t>
  </si>
  <si>
    <t>GDP growth</t>
  </si>
  <si>
    <t>Non-oil GDP growth</t>
  </si>
  <si>
    <t>Nominal GDP (in billions of dong)</t>
  </si>
  <si>
    <t>Non-oil GDP (billions of dong)</t>
  </si>
  <si>
    <t>Imports (VND billion)</t>
  </si>
  <si>
    <t>Import growth rate</t>
  </si>
  <si>
    <t>Official exchange rate</t>
  </si>
  <si>
    <t>EOP exchange rate</t>
  </si>
  <si>
    <t>Average exchange rate</t>
  </si>
  <si>
    <t>Implied interest rate</t>
  </si>
  <si>
    <t>Interest rate on foreign debt</t>
  </si>
  <si>
    <t>Interest rate on domestic debt</t>
  </si>
  <si>
    <t>Oil revenue</t>
  </si>
  <si>
    <t>Oil production (million metric tonnes)</t>
  </si>
  <si>
    <t>Oil price (US$/bbl)</t>
  </si>
  <si>
    <t>Barrels per ton</t>
  </si>
  <si>
    <t>Oil price per ton (US$)</t>
  </si>
  <si>
    <t>Oil revenue (US$ billion)</t>
  </si>
  <si>
    <t>Implied government share</t>
  </si>
  <si>
    <t>Non-oil tax elasticities</t>
  </si>
  <si>
    <t>Trade taxes + import VAT (wrt imports)</t>
  </si>
  <si>
    <t>Trade taxes + import VAT(wrt GDP)</t>
  </si>
  <si>
    <t>CIT+PIT (wrt GDP)</t>
  </si>
  <si>
    <t>Domestic VAT and excise</t>
  </si>
  <si>
    <t>Capital revenues</t>
  </si>
  <si>
    <t>Other revenue</t>
  </si>
  <si>
    <t xml:space="preserve">Sources: Data provided by the Vietnamese authorities; and IMF staff estimates and projections. </t>
  </si>
  <si>
    <t xml:space="preserve">1/ Based on IMF definition. </t>
  </si>
  <si>
    <t>2/ Revenue estimates reflect fiscal stimulus measures in 2009-10.</t>
  </si>
  <si>
    <t>3/ Budget data include the amount allocated for contingency.</t>
  </si>
  <si>
    <t>Total PPG debt (VND bn)</t>
  </si>
  <si>
    <t>External (VND bn)</t>
  </si>
  <si>
    <t>Domestic  (VND bn)</t>
  </si>
  <si>
    <t xml:space="preserve">Total PPG debt </t>
  </si>
  <si>
    <t xml:space="preserve">External </t>
  </si>
  <si>
    <t xml:space="preserve">Domestic  </t>
  </si>
  <si>
    <t>Domestic share</t>
  </si>
  <si>
    <t>% of revenues</t>
  </si>
  <si>
    <t>Interest payments</t>
  </si>
  <si>
    <t>foreign</t>
  </si>
  <si>
    <t>domestic</t>
  </si>
  <si>
    <t>foreign effective interest rate</t>
  </si>
  <si>
    <t>domestic effective interest rate</t>
  </si>
  <si>
    <t>of whiich: interest</t>
  </si>
  <si>
    <t>1) NEW desagregation based on available data provided in April 2011</t>
  </si>
  <si>
    <t>Expenditure | Original desagregation updated based on old structure and new data received from IMF</t>
  </si>
  <si>
    <t>Domestic non-oil revenue (percent of revenue)</t>
  </si>
  <si>
    <t>Domestic non-oil revenue (percentage of GDP)</t>
  </si>
  <si>
    <t>Roadmap for eligible age reduction</t>
  </si>
  <si>
    <t>Population 77 and over</t>
  </si>
  <si>
    <t>Population 70 and over</t>
  </si>
  <si>
    <t>Population 75 and over</t>
  </si>
  <si>
    <t>Population 77-79</t>
  </si>
  <si>
    <t>Population 75-79</t>
  </si>
  <si>
    <t>Population 70-79</t>
  </si>
  <si>
    <t>Population above eligible age</t>
  </si>
  <si>
    <t>Pensionners contributory 77-79</t>
  </si>
  <si>
    <t>Total pensioners contributory scheme (77+)</t>
  </si>
  <si>
    <t>Pensionners contributory 75-79</t>
  </si>
  <si>
    <t>Total pensioners contributory scheme (75+)</t>
  </si>
  <si>
    <t>Pensionners contributory 70-79</t>
  </si>
  <si>
    <t>Total pensioners contributory scheme (70+)</t>
  </si>
  <si>
    <t>Total pensiones contributory according eligible age</t>
  </si>
  <si>
    <t>New pensionners eligible age to 79</t>
  </si>
  <si>
    <t>Population above eligible age and below 80</t>
  </si>
  <si>
    <t>Total pensiones contributory between eligible age and 80</t>
  </si>
  <si>
    <t>Pensioners contributory scheme (eligible age +)</t>
  </si>
  <si>
    <t>New pensionners eligible age -79</t>
  </si>
  <si>
    <t>1a. Old age  pension for uncovered (65+ as an objective in 2020)</t>
  </si>
  <si>
    <t>1b. Old age universal pension (65+ as an objective in 2020)</t>
  </si>
  <si>
    <t>Estimated proportion of elderly above retirement age covered by thhe contributory pension</t>
  </si>
  <si>
    <t>Option 2| Old age pension for all elderly not covered by the contributory pension: 65+</t>
  </si>
  <si>
    <t>Personal income tax (PIT)</t>
  </si>
  <si>
    <t>Corporate income tax (CIT)</t>
  </si>
  <si>
    <t>Administrative</t>
  </si>
  <si>
    <t>Economic</t>
  </si>
  <si>
    <t>Social</t>
  </si>
  <si>
    <t>Training</t>
  </si>
  <si>
    <t>Science and technology</t>
  </si>
  <si>
    <t>Culture and information</t>
  </si>
  <si>
    <t>Radio and TV</t>
  </si>
  <si>
    <t>Sport</t>
  </si>
  <si>
    <t>Population and family planning</t>
  </si>
  <si>
    <t>Defense</t>
  </si>
  <si>
    <t>Security</t>
  </si>
  <si>
    <t xml:space="preserve">Salary reform </t>
  </si>
  <si>
    <t>Oil subsidies</t>
  </si>
  <si>
    <t>Average structure 2005/2008</t>
  </si>
  <si>
    <t>Average structure 2005/2011</t>
  </si>
  <si>
    <t>Nominal labour productivity increase</t>
  </si>
  <si>
    <t>Status-quo summary Government sheet (working)</t>
  </si>
  <si>
    <t>Expenditure without interest payment</t>
  </si>
  <si>
    <t>Current expenditure without interest payment</t>
  </si>
  <si>
    <t>Interest payment</t>
  </si>
  <si>
    <t>Income</t>
  </si>
  <si>
    <t>Secondary balance</t>
  </si>
  <si>
    <t>Debt</t>
  </si>
  <si>
    <t>Original</t>
  </si>
  <si>
    <t>Modified interest payment</t>
  </si>
  <si>
    <t>Investment expenditure</t>
  </si>
  <si>
    <t>Check</t>
  </si>
  <si>
    <t>New numbers</t>
  </si>
  <si>
    <t>Backword engeneering interest rates</t>
  </si>
  <si>
    <t>Memo</t>
  </si>
  <si>
    <t>Debt / GDP</t>
  </si>
  <si>
    <t>GDP (nominal, billions)</t>
  </si>
  <si>
    <t>Additional payments from social protection</t>
  </si>
  <si>
    <t>Additional benefits</t>
  </si>
  <si>
    <t>Working age</t>
  </si>
  <si>
    <t>Defcit / GDP</t>
  </si>
  <si>
    <t>Difference in interest payment</t>
  </si>
  <si>
    <t xml:space="preserve"> </t>
  </si>
  <si>
    <t>Changed from 3 to 3,7</t>
  </si>
  <si>
    <t>Changed the reference population for the calculation of the total number of disabled. Apply the 3,7 percent to the population aged 15-64. As a result significant increase in the number of disabled and then the total cost of the benefit provided</t>
  </si>
  <si>
    <t>Interest payments (paid total)</t>
  </si>
  <si>
    <t>(1) original interest payment of the status-quo situation</t>
  </si>
  <si>
    <t>(2) additional interest payment due to increase in debts</t>
  </si>
  <si>
    <t>Interest payments (in case of status quo situation)</t>
  </si>
  <si>
    <t>This is the first scenario commented in the word document</t>
  </si>
  <si>
    <t>this 20 percent is based on VHLSS 2008 results and number of elderly receiving the pension merit</t>
  </si>
  <si>
    <t>Total balance including additional interest payments</t>
  </si>
  <si>
    <t>additional interest payments</t>
  </si>
  <si>
    <t>Additional interest payment be benefits as a percentage of GDP</t>
  </si>
  <si>
    <t>Interest payment post benefit</t>
  </si>
  <si>
    <t>Additional interest payments to be taken into account</t>
  </si>
  <si>
    <t>Additional interest payments to be taken into account (% of GDP)</t>
  </si>
  <si>
    <t>Additional interest payments</t>
  </si>
  <si>
    <r>
      <t xml:space="preserve">NEW </t>
    </r>
    <r>
      <rPr>
        <b/>
        <i/>
        <sz val="11"/>
        <color indexed="8"/>
        <rFont val="Calibri"/>
        <family val="2"/>
      </rPr>
      <t>Scenario 2b  - Targeted to the poor (national child poverty rate) and limited to 2 children per household</t>
    </r>
  </si>
  <si>
    <t>Scenario 2a  - Targeted to the poor (national child poverty rate)</t>
  </si>
  <si>
    <t>scenario ex2a - Total cost of 1 meal per day</t>
  </si>
  <si>
    <t>scenario 2b - Total cost of 1 meal per day (limited to 2 children= morally difficult to implement)</t>
  </si>
  <si>
    <r>
      <t xml:space="preserve">Scenario ex2a: </t>
    </r>
    <r>
      <rPr>
        <sz val="11"/>
        <color indexed="8"/>
        <rFont val="Calibri"/>
        <family val="2"/>
      </rPr>
      <t>child all for poor (0-15) + additional teachers &amp; non-staff for excluded + 1 meal for all poor children in school (national poverty rate)</t>
    </r>
  </si>
  <si>
    <r>
      <t xml:space="preserve">Scenario 2a: </t>
    </r>
    <r>
      <rPr>
        <sz val="11"/>
        <color indexed="8"/>
        <rFont val="Calibri"/>
        <family val="2"/>
      </rPr>
      <t>child all for poor (0-15) + additional teachers &amp; non-staff for excluded + 1 meal for all poor children in school (6-15)  (national CHILD poverty rate)</t>
    </r>
  </si>
  <si>
    <r>
      <t xml:space="preserve">Scenario 2b strict: Child allowance for poor </t>
    </r>
    <r>
      <rPr>
        <sz val="11"/>
        <color indexed="8"/>
        <rFont val="Calibri"/>
        <family val="2"/>
      </rPr>
      <t>children (0-15) - LIMITED to 2 children per familly + additional teachers &amp; non-staff for excluded + 1 meal for poor children in school (6-15) - LIMITED to 2 children (national CHILD poverty rate)</t>
    </r>
  </si>
  <si>
    <t>Scenario ex2a  - Targeted to the poor (national poverty line)</t>
  </si>
  <si>
    <t>Scenario ex2a</t>
  </si>
  <si>
    <t>Scenrio 2b strict</t>
  </si>
  <si>
    <t>Old age pension for uncovered + Child benefit for all poor children + 100 days guarantee for the working age</t>
  </si>
  <si>
    <t>Old age pension for all elederly (with reduced benefits for pensioners from contributory scheme)  + Child benefit for all poor children + 100 days guarantee for the working age</t>
  </si>
  <si>
    <t>Additional expenditure (on benefits)</t>
  </si>
  <si>
    <t>NEW Eypenditure total</t>
  </si>
  <si>
    <t>For reference: expenditure if STATUS QUO</t>
  </si>
  <si>
    <r>
      <rPr>
        <b/>
        <sz val="16"/>
        <color indexed="8"/>
        <rFont val="Calibri"/>
        <family val="2"/>
      </rPr>
      <t xml:space="preserve">Expenditure </t>
    </r>
    <r>
      <rPr>
        <b/>
        <sz val="14"/>
        <color indexed="8"/>
        <rFont val="Calibri"/>
        <family val="2"/>
      </rPr>
      <t>| Original desagregation updated based on old structure and new data received from IMF</t>
    </r>
  </si>
  <si>
    <t xml:space="preserve">Year </t>
  </si>
  <si>
    <t>Total current expenditure base secnario</t>
  </si>
  <si>
    <t>Total revenue - base scenario</t>
  </si>
  <si>
    <t>Additional expenditure closing the gap</t>
  </si>
  <si>
    <t>Addtional Revenue</t>
  </si>
  <si>
    <t>value added tax</t>
  </si>
  <si>
    <t>Deficit base scenario</t>
  </si>
  <si>
    <t>Deficit new scenario</t>
  </si>
  <si>
    <t>Personal income tax</t>
  </si>
  <si>
    <t>Population 78 and over</t>
  </si>
  <si>
    <t>Population 76 and over</t>
  </si>
  <si>
    <t>Population 74 and over</t>
  </si>
  <si>
    <t>Population 72 and over</t>
  </si>
  <si>
    <t>Population 68 and over</t>
  </si>
  <si>
    <t>Population 66 and over</t>
  </si>
  <si>
    <t>Population 78-79</t>
  </si>
  <si>
    <t>Population 76-79</t>
  </si>
  <si>
    <t>Population 74-79</t>
  </si>
  <si>
    <t>Population 72-79</t>
  </si>
  <si>
    <t>Population 68-79</t>
  </si>
  <si>
    <t>Population 66-79</t>
  </si>
  <si>
    <t>Pensionners contributory 78-79</t>
  </si>
  <si>
    <t>Total pensioners contributory scheme (78+)</t>
  </si>
  <si>
    <t>Pensionners contributory 76-79</t>
  </si>
  <si>
    <t>Total pensioners contributory scheme (76+)</t>
  </si>
  <si>
    <t>Pensionners contributory 74-79</t>
  </si>
  <si>
    <t>Total pensioners contributory scheme (74+)</t>
  </si>
  <si>
    <t>Pensionners contributory 72-79</t>
  </si>
  <si>
    <t>Total pensioners contributory scheme (72+)</t>
  </si>
  <si>
    <t>Pensionners contributory 68-79</t>
  </si>
  <si>
    <t>Total pensioners contributory scheme (68+)</t>
  </si>
  <si>
    <t>Pensionners contributory 66-79</t>
  </si>
  <si>
    <t>Total pensioners contributory scheme (66+)</t>
  </si>
  <si>
    <t>Indexed on average wage</t>
  </si>
  <si>
    <t>Child all poor</t>
  </si>
  <si>
    <t>Pension for uncovered</t>
  </si>
  <si>
    <t>Universal pension</t>
  </si>
  <si>
    <t>Targeted child limited to 2 children</t>
  </si>
  <si>
    <t>Scenario 1. Old-age  pension for uncovered (65+ as an objective in 2020)</t>
  </si>
  <si>
    <t>Scenario 2. Old-age universal pension (65+ as an objective in 2020)</t>
  </si>
  <si>
    <t>Scenario 2a. Child benefit (targeted for all poor children cash and kind )</t>
  </si>
  <si>
    <t>Scenario 2b. Child benefit (targeted cash and kind) but limited to 2 children)</t>
  </si>
  <si>
    <t>3. Working-age income security (scenario 1 - high cost )</t>
  </si>
  <si>
    <t>1a. Old-age  pension for uncovered (65+ as an objective in 2020)</t>
  </si>
  <si>
    <t>1b. Old-age universal pension (65+ as an objective in 2020)</t>
  </si>
  <si>
    <t>2.b Child benefit (scenario 2b- targeted for all poor children cash and kind )</t>
  </si>
  <si>
    <t>Balance of general government POST SPF gaps filled</t>
  </si>
  <si>
    <t>Working-age income security</t>
  </si>
  <si>
    <t>Scenario 2b. Child benefit (targeted cash and kind) but limited to 2 children</t>
  </si>
  <si>
    <t>Scenario 1. Old-age  pension for elderly not covered by contributory scheme (65+ as an objective in 2020)</t>
  </si>
  <si>
    <t>Additional interest payments ("expensive scenario")</t>
  </si>
  <si>
    <t>Additional interest payments ("modest scenario")</t>
  </si>
  <si>
    <t>Additional interest payments ("intermediate scenario")</t>
  </si>
  <si>
    <t>General government fiscal balance (IMF) - status quo</t>
  </si>
  <si>
    <t>New pensioners eligible age -79</t>
  </si>
  <si>
    <t>New pensioners 80+</t>
  </si>
  <si>
    <t>2) Scenario 2a. Child benefit (targeted for all poor children cash and kind )</t>
  </si>
  <si>
    <t>Working age income security (scenario 1 - high cost )</t>
  </si>
  <si>
    <t>Scenario 2b Child benefit (targeted cash and kind) but limited to 2 children</t>
  </si>
  <si>
    <t>Scenario 2 for elederly and targeted Child cash and kind All childen</t>
  </si>
  <si>
    <t>Scenario 2 for elederly and targeted child cash and kind limited to 2 children</t>
  </si>
  <si>
    <t>New pensioners eligible age to 79</t>
  </si>
  <si>
    <t>Non-staff cost (50% wage costs)</t>
  </si>
  <si>
    <t>Total cost (staff+Non-staff) by teacher</t>
  </si>
  <si>
    <t>Non-staff cost</t>
  </si>
</sst>
</file>

<file path=xl/styles.xml><?xml version="1.0" encoding="utf-8"?>
<styleSheet xmlns="http://schemas.openxmlformats.org/spreadsheetml/2006/main">
  <numFmts count="17">
    <numFmt numFmtId="44" formatCode="_-&quot;£&quot;* #,##0.00_-;\-&quot;£&quot;* #,##0.00_-;_-&quot;£&quot;* &quot;-&quot;??_-;_-@_-"/>
    <numFmt numFmtId="164" formatCode="0.0"/>
    <numFmt numFmtId="165" formatCode="#,##0.0"/>
    <numFmt numFmtId="166" formatCode="#,##0.0_ ;\-#,##0.0\ "/>
    <numFmt numFmtId="167" formatCode="0.000"/>
    <numFmt numFmtId="168" formatCode="[$-409]m/d/yy\ h:mm\ AM/PM;@"/>
    <numFmt numFmtId="169" formatCode="#\ ###\ ###\ ##0;\-#\ ###\ ###\ ##0;0"/>
    <numFmt numFmtId="170" formatCode="#,###,###,###"/>
    <numFmt numFmtId="171" formatCode="#,###,###,###.00"/>
    <numFmt numFmtId="172" formatCode="#,###,###,###.0"/>
    <numFmt numFmtId="173" formatCode="###\ ###\ ###\ ###"/>
    <numFmt numFmtId="174" formatCode="###,###,###,##0"/>
    <numFmt numFmtId="175" formatCode="#,##0.000"/>
    <numFmt numFmtId="176" formatCode="0.0%"/>
    <numFmt numFmtId="177" formatCode="#,##0.0000"/>
    <numFmt numFmtId="178" formatCode="0.0000000000"/>
    <numFmt numFmtId="179" formatCode="0.0000"/>
  </numFmts>
  <fonts count="155">
    <font>
      <sz val="11"/>
      <color theme="1"/>
      <name val="Calibri"/>
      <family val="2"/>
      <scheme val="minor"/>
    </font>
    <font>
      <sz val="10"/>
      <color theme="1"/>
      <name val="Calibri"/>
      <family val="2"/>
    </font>
    <font>
      <sz val="11"/>
      <name val="Calibri"/>
      <family val="2"/>
    </font>
    <font>
      <sz val="11"/>
      <color indexed="8"/>
      <name val="Calibri"/>
      <family val="2"/>
    </font>
    <font>
      <sz val="11"/>
      <name val="Calibri"/>
      <family val="2"/>
    </font>
    <font>
      <sz val="11"/>
      <color indexed="8"/>
      <name val="Calibri"/>
      <family val="2"/>
    </font>
    <font>
      <sz val="11"/>
      <color indexed="8"/>
      <name val="Calibri"/>
      <family val="2"/>
    </font>
    <font>
      <sz val="11"/>
      <color indexed="8"/>
      <name val="Calibri"/>
      <family val="2"/>
    </font>
    <font>
      <b/>
      <sz val="11"/>
      <color indexed="8"/>
      <name val="Calibri"/>
      <family val="2"/>
    </font>
    <font>
      <i/>
      <sz val="11"/>
      <color indexed="8"/>
      <name val="Calibri"/>
      <family val="2"/>
    </font>
    <font>
      <b/>
      <sz val="13"/>
      <color indexed="8"/>
      <name val="Calibri"/>
      <family val="2"/>
    </font>
    <font>
      <sz val="10"/>
      <color indexed="8"/>
      <name val="Calibri"/>
      <family val="2"/>
    </font>
    <font>
      <i/>
      <sz val="10"/>
      <color indexed="8"/>
      <name val="Calibri"/>
      <family val="2"/>
    </font>
    <font>
      <sz val="11"/>
      <name val="Calibri"/>
      <family val="2"/>
    </font>
    <font>
      <b/>
      <sz val="11"/>
      <color indexed="30"/>
      <name val="Calibri"/>
      <family val="2"/>
    </font>
    <font>
      <b/>
      <sz val="11"/>
      <name val="Calibri"/>
      <family val="2"/>
    </font>
    <font>
      <u/>
      <sz val="11"/>
      <color indexed="8"/>
      <name val="Calibri"/>
      <family val="2"/>
    </font>
    <font>
      <b/>
      <sz val="20"/>
      <color indexed="8"/>
      <name val="Calibri"/>
      <family val="2"/>
    </font>
    <font>
      <sz val="14"/>
      <color indexed="8"/>
      <name val="Calibri"/>
      <family val="2"/>
    </font>
    <font>
      <sz val="16"/>
      <color indexed="8"/>
      <name val="Calibri"/>
      <family val="2"/>
    </font>
    <font>
      <u/>
      <sz val="11"/>
      <color indexed="12"/>
      <name val="Calibri"/>
      <family val="2"/>
    </font>
    <font>
      <b/>
      <sz val="16"/>
      <color indexed="8"/>
      <name val="Calibri"/>
      <family val="2"/>
    </font>
    <font>
      <sz val="11"/>
      <color indexed="12"/>
      <name val="Calibri"/>
      <family val="2"/>
    </font>
    <font>
      <sz val="11"/>
      <color indexed="12"/>
      <name val="Calibri"/>
      <family val="2"/>
    </font>
    <font>
      <sz val="8"/>
      <name val="Calibri"/>
      <family val="2"/>
    </font>
    <font>
      <sz val="9"/>
      <name val="Arial"/>
      <family val="2"/>
    </font>
    <font>
      <b/>
      <sz val="9"/>
      <name val="Arial"/>
      <family val="2"/>
    </font>
    <font>
      <b/>
      <sz val="12"/>
      <color indexed="8"/>
      <name val="Calibri"/>
      <family val="2"/>
    </font>
    <font>
      <sz val="10"/>
      <color indexed="8"/>
      <name val="Times New Roman"/>
      <family val="1"/>
    </font>
    <font>
      <sz val="10"/>
      <name val="Times New Roman"/>
      <family val="1"/>
    </font>
    <font>
      <b/>
      <sz val="14"/>
      <color indexed="8"/>
      <name val="Calibri"/>
      <family val="2"/>
    </font>
    <font>
      <b/>
      <sz val="14"/>
      <color indexed="10"/>
      <name val="Calibri"/>
      <family val="2"/>
    </font>
    <font>
      <sz val="8"/>
      <color indexed="81"/>
      <name val="Tahoma"/>
      <family val="2"/>
    </font>
    <font>
      <b/>
      <sz val="8"/>
      <color indexed="81"/>
      <name val="Tahoma"/>
      <family val="2"/>
    </font>
    <font>
      <b/>
      <i/>
      <sz val="11"/>
      <color indexed="8"/>
      <name val="Calibri"/>
      <family val="2"/>
    </font>
    <font>
      <b/>
      <sz val="11"/>
      <color indexed="8"/>
      <name val="Calibri"/>
      <family val="2"/>
    </font>
    <font>
      <b/>
      <i/>
      <sz val="11"/>
      <color indexed="8"/>
      <name val="Calibri"/>
      <family val="2"/>
    </font>
    <font>
      <sz val="11"/>
      <color indexed="8"/>
      <name val="Calibri"/>
      <family val="2"/>
    </font>
    <font>
      <b/>
      <sz val="10"/>
      <name val="Calibri"/>
      <family val="2"/>
    </font>
    <font>
      <sz val="10"/>
      <name val="Calibri"/>
      <family val="2"/>
    </font>
    <font>
      <b/>
      <i/>
      <sz val="10"/>
      <name val="Calibri"/>
      <family val="2"/>
    </font>
    <font>
      <b/>
      <sz val="11"/>
      <color indexed="8"/>
      <name val="Calibri"/>
      <family val="2"/>
    </font>
    <font>
      <sz val="12"/>
      <color indexed="8"/>
      <name val="Calibri"/>
      <family val="2"/>
    </font>
    <font>
      <b/>
      <sz val="12"/>
      <color indexed="30"/>
      <name val="Calibri"/>
      <family val="2"/>
    </font>
    <font>
      <sz val="10"/>
      <color indexed="8"/>
      <name val="Calibri"/>
      <family val="2"/>
    </font>
    <font>
      <b/>
      <sz val="10"/>
      <color indexed="8"/>
      <name val="Calibri"/>
      <family val="2"/>
    </font>
    <font>
      <b/>
      <sz val="12"/>
      <color indexed="8"/>
      <name val="Calibri"/>
      <family val="2"/>
    </font>
    <font>
      <b/>
      <sz val="10"/>
      <color indexed="8"/>
      <name val="Calibri"/>
      <family val="2"/>
    </font>
    <font>
      <b/>
      <i/>
      <sz val="10"/>
      <color indexed="8"/>
      <name val="Calibri"/>
      <family val="2"/>
    </font>
    <font>
      <sz val="10"/>
      <color indexed="48"/>
      <name val="Calibri"/>
      <family val="2"/>
    </font>
    <font>
      <i/>
      <sz val="10"/>
      <name val="Calibri"/>
      <family val="2"/>
    </font>
    <font>
      <i/>
      <sz val="10"/>
      <color indexed="8"/>
      <name val="Calibri"/>
      <family val="2"/>
    </font>
    <font>
      <sz val="9"/>
      <color indexed="8"/>
      <name val="Calibri"/>
      <family val="2"/>
    </font>
    <font>
      <b/>
      <sz val="9"/>
      <color indexed="8"/>
      <name val="Calibri"/>
      <family val="2"/>
    </font>
    <font>
      <sz val="9"/>
      <color indexed="8"/>
      <name val="Calibri"/>
      <family val="2"/>
    </font>
    <font>
      <b/>
      <i/>
      <sz val="9"/>
      <color indexed="8"/>
      <name val="Calibri"/>
      <family val="2"/>
    </font>
    <font>
      <b/>
      <sz val="14"/>
      <color indexed="56"/>
      <name val="Calibri"/>
      <family val="2"/>
    </font>
    <font>
      <b/>
      <sz val="14"/>
      <color indexed="8"/>
      <name val="Calibri"/>
      <family val="2"/>
    </font>
    <font>
      <b/>
      <sz val="11"/>
      <color indexed="8"/>
      <name val="Calibri"/>
      <family val="2"/>
    </font>
    <font>
      <sz val="11"/>
      <color indexed="9"/>
      <name val="Calibri"/>
      <family val="2"/>
    </font>
    <font>
      <sz val="10"/>
      <color indexed="30"/>
      <name val="Calibri"/>
      <family val="2"/>
    </font>
    <font>
      <b/>
      <sz val="14"/>
      <color indexed="62"/>
      <name val="Calibri"/>
      <family val="2"/>
    </font>
    <font>
      <sz val="14"/>
      <color indexed="62"/>
      <name val="Calibri"/>
      <family val="2"/>
    </font>
    <font>
      <sz val="8"/>
      <color indexed="8"/>
      <name val="Calibri"/>
      <family val="2"/>
    </font>
    <font>
      <i/>
      <sz val="8"/>
      <color indexed="8"/>
      <name val="Calibri"/>
      <family val="2"/>
    </font>
    <font>
      <i/>
      <sz val="8"/>
      <name val="Calibri"/>
      <family val="2"/>
    </font>
    <font>
      <b/>
      <sz val="11"/>
      <color indexed="62"/>
      <name val="Calibri"/>
      <family val="2"/>
    </font>
    <font>
      <sz val="11"/>
      <color indexed="62"/>
      <name val="Calibri"/>
      <family val="2"/>
    </font>
    <font>
      <i/>
      <sz val="11"/>
      <color indexed="62"/>
      <name val="Calibri"/>
      <family val="2"/>
    </font>
    <font>
      <b/>
      <sz val="12"/>
      <color indexed="62"/>
      <name val="Calibri"/>
      <family val="2"/>
    </font>
    <font>
      <i/>
      <sz val="10"/>
      <color indexed="62"/>
      <name val="Calibri"/>
      <family val="2"/>
    </font>
    <font>
      <sz val="10"/>
      <color indexed="62"/>
      <name val="Calibri"/>
      <family val="2"/>
    </font>
    <font>
      <i/>
      <sz val="10"/>
      <color indexed="62"/>
      <name val="Calibri"/>
      <family val="2"/>
    </font>
    <font>
      <b/>
      <sz val="10"/>
      <color indexed="62"/>
      <name val="Calibri"/>
      <family val="2"/>
    </font>
    <font>
      <b/>
      <sz val="9"/>
      <color indexed="62"/>
      <name val="Calibri"/>
      <family val="2"/>
    </font>
    <font>
      <b/>
      <i/>
      <sz val="11"/>
      <color indexed="9"/>
      <name val="Calibri"/>
      <family val="2"/>
    </font>
    <font>
      <b/>
      <sz val="11"/>
      <color indexed="9"/>
      <name val="Calibri"/>
      <family val="2"/>
    </font>
    <font>
      <sz val="10"/>
      <color indexed="56"/>
      <name val="Calibri"/>
      <family val="2"/>
    </font>
    <font>
      <b/>
      <sz val="11"/>
      <color indexed="62"/>
      <name val="Calibri"/>
      <family val="2"/>
    </font>
    <font>
      <sz val="11"/>
      <color indexed="8"/>
      <name val="Calibri"/>
      <family val="2"/>
    </font>
    <font>
      <b/>
      <i/>
      <sz val="12"/>
      <color indexed="62"/>
      <name val="Calibri"/>
      <family val="2"/>
    </font>
    <font>
      <i/>
      <sz val="12"/>
      <color indexed="8"/>
      <name val="Calibri"/>
      <family val="2"/>
    </font>
    <font>
      <b/>
      <i/>
      <sz val="12"/>
      <name val="Calibri"/>
      <family val="2"/>
    </font>
    <font>
      <b/>
      <sz val="12"/>
      <name val="Calibri"/>
      <family val="2"/>
    </font>
    <font>
      <i/>
      <sz val="9"/>
      <name val="Calibri"/>
      <family val="2"/>
    </font>
    <font>
      <b/>
      <sz val="9"/>
      <name val="Calibri"/>
      <family val="2"/>
    </font>
    <font>
      <sz val="9"/>
      <name val="Calibri"/>
      <family val="2"/>
    </font>
    <font>
      <b/>
      <sz val="12"/>
      <color indexed="10"/>
      <name val="Calibri"/>
      <family val="2"/>
    </font>
    <font>
      <i/>
      <sz val="10"/>
      <color indexed="10"/>
      <name val="Calibri"/>
      <family val="2"/>
    </font>
    <font>
      <b/>
      <sz val="10"/>
      <color indexed="10"/>
      <name val="Calibri"/>
      <family val="2"/>
    </font>
    <font>
      <sz val="11"/>
      <color indexed="10"/>
      <name val="Calibri"/>
      <family val="2"/>
    </font>
    <font>
      <sz val="10"/>
      <color indexed="10"/>
      <name val="Calibri"/>
      <family val="2"/>
    </font>
    <font>
      <sz val="12"/>
      <color indexed="10"/>
      <name val="Calibri"/>
      <family val="2"/>
    </font>
    <font>
      <sz val="12"/>
      <color indexed="62"/>
      <name val="Calibri"/>
      <family val="2"/>
    </font>
    <font>
      <b/>
      <sz val="14"/>
      <color indexed="8"/>
      <name val="Calibri"/>
      <family val="2"/>
    </font>
    <font>
      <i/>
      <sz val="12"/>
      <color indexed="62"/>
      <name val="Calibri"/>
      <family val="2"/>
    </font>
    <font>
      <b/>
      <sz val="16"/>
      <color indexed="62"/>
      <name val="Calibri"/>
      <family val="2"/>
    </font>
    <font>
      <b/>
      <sz val="12"/>
      <color indexed="8"/>
      <name val="Calibri"/>
      <family val="2"/>
    </font>
    <font>
      <sz val="12"/>
      <color indexed="8"/>
      <name val="Calibri"/>
      <family val="2"/>
    </font>
    <font>
      <sz val="16"/>
      <color indexed="62"/>
      <name val="Calibri"/>
      <family val="2"/>
    </font>
    <font>
      <sz val="10"/>
      <color indexed="8"/>
      <name val="Calibri"/>
      <family val="2"/>
    </font>
    <font>
      <b/>
      <sz val="11"/>
      <color indexed="56"/>
      <name val="Calibri"/>
      <family val="2"/>
    </font>
    <font>
      <sz val="11"/>
      <color indexed="8"/>
      <name val="Calibri"/>
      <family val="2"/>
    </font>
    <font>
      <sz val="11"/>
      <color indexed="56"/>
      <name val="Calibri"/>
      <family val="2"/>
    </font>
    <font>
      <sz val="14"/>
      <color indexed="62"/>
      <name val="Calibri"/>
      <family val="2"/>
    </font>
    <font>
      <b/>
      <sz val="11"/>
      <color indexed="18"/>
      <name val="Calibri"/>
      <family val="2"/>
    </font>
    <font>
      <sz val="9"/>
      <color indexed="8"/>
      <name val="Calibri"/>
      <family val="2"/>
    </font>
    <font>
      <sz val="8"/>
      <color indexed="8"/>
      <name val="Calibri"/>
      <family val="2"/>
    </font>
    <font>
      <b/>
      <sz val="12"/>
      <color indexed="8"/>
      <name val="Calibri"/>
      <family val="2"/>
    </font>
    <font>
      <b/>
      <sz val="12"/>
      <name val="Arial"/>
      <family val="2"/>
    </font>
    <font>
      <u/>
      <sz val="12"/>
      <color indexed="12"/>
      <name val="Calibri"/>
      <family val="2"/>
    </font>
    <font>
      <sz val="12"/>
      <color indexed="9"/>
      <name val="Calibri"/>
      <family val="2"/>
    </font>
    <font>
      <u/>
      <sz val="11"/>
      <color indexed="12"/>
      <name val="Calibri"/>
      <family val="2"/>
    </font>
    <font>
      <b/>
      <sz val="18"/>
      <color indexed="23"/>
      <name val="Calibri"/>
      <family val="2"/>
    </font>
    <font>
      <sz val="11"/>
      <color indexed="23"/>
      <name val="Calibri"/>
      <family val="2"/>
    </font>
    <font>
      <sz val="11"/>
      <color indexed="23"/>
      <name val="Calibri"/>
      <family val="2"/>
    </font>
    <font>
      <b/>
      <sz val="16"/>
      <color indexed="23"/>
      <name val="Calibri"/>
      <family val="2"/>
    </font>
    <font>
      <sz val="11"/>
      <color indexed="8"/>
      <name val="Calibri"/>
      <family val="2"/>
    </font>
    <font>
      <sz val="10"/>
      <color indexed="63"/>
      <name val="Calibri"/>
      <family val="2"/>
    </font>
    <font>
      <b/>
      <sz val="10"/>
      <color indexed="63"/>
      <name val="Calibri"/>
      <family val="2"/>
    </font>
    <font>
      <b/>
      <i/>
      <sz val="10"/>
      <color indexed="63"/>
      <name val="Calibri"/>
      <family val="2"/>
    </font>
    <font>
      <i/>
      <sz val="10"/>
      <color indexed="63"/>
      <name val="Calibri"/>
      <family val="2"/>
    </font>
    <font>
      <b/>
      <sz val="12"/>
      <color indexed="63"/>
      <name val="Calibri"/>
      <family val="2"/>
    </font>
    <font>
      <i/>
      <sz val="11"/>
      <color indexed="8"/>
      <name val="Calibri"/>
      <family val="2"/>
    </font>
    <font>
      <sz val="8"/>
      <color indexed="8"/>
      <name val="Calibri"/>
      <family val="2"/>
    </font>
    <font>
      <u/>
      <sz val="8"/>
      <color indexed="12"/>
      <name val="Calibri"/>
      <family val="2"/>
    </font>
    <font>
      <b/>
      <sz val="11"/>
      <color indexed="48"/>
      <name val="Calibri"/>
      <family val="2"/>
    </font>
    <font>
      <b/>
      <sz val="11"/>
      <color indexed="8"/>
      <name val="Calibri"/>
      <family val="2"/>
    </font>
    <font>
      <b/>
      <i/>
      <sz val="11"/>
      <name val="Calibri"/>
      <family val="2"/>
    </font>
    <font>
      <sz val="11"/>
      <color indexed="48"/>
      <name val="Calibri"/>
      <family val="2"/>
    </font>
    <font>
      <sz val="11"/>
      <color indexed="8"/>
      <name val="Calibri"/>
      <family val="2"/>
    </font>
    <font>
      <b/>
      <i/>
      <sz val="11"/>
      <color indexed="48"/>
      <name val="Calibri"/>
      <family val="2"/>
    </font>
    <font>
      <u/>
      <sz val="8.25"/>
      <color theme="10"/>
      <name val="Calibri"/>
      <family val="2"/>
    </font>
    <font>
      <b/>
      <sz val="11"/>
      <color theme="1"/>
      <name val="Calibri"/>
      <family val="2"/>
      <scheme val="minor"/>
    </font>
    <font>
      <sz val="8"/>
      <name val="Arial"/>
      <family val="2"/>
    </font>
    <font>
      <sz val="11"/>
      <color theme="1"/>
      <name val="Calibri"/>
      <family val="2"/>
      <scheme val="minor"/>
    </font>
    <font>
      <b/>
      <sz val="9"/>
      <color indexed="81"/>
      <name val="Tahoma"/>
      <family val="2"/>
    </font>
    <font>
      <sz val="9"/>
      <color indexed="81"/>
      <name val="Tahoma"/>
      <family val="2"/>
    </font>
    <font>
      <b/>
      <sz val="12"/>
      <color indexed="81"/>
      <name val="Tahoma"/>
      <family val="2"/>
    </font>
    <font>
      <sz val="12"/>
      <color indexed="81"/>
      <name val="Tahoma"/>
      <family val="2"/>
    </font>
    <font>
      <b/>
      <sz val="11"/>
      <color indexed="81"/>
      <name val="Tahoma"/>
      <family val="2"/>
    </font>
    <font>
      <sz val="11"/>
      <color indexed="81"/>
      <name val="Tahoma"/>
      <family val="2"/>
    </font>
    <font>
      <b/>
      <sz val="10"/>
      <color indexed="81"/>
      <name val="Tahoma"/>
      <family val="2"/>
    </font>
    <font>
      <sz val="10"/>
      <color indexed="81"/>
      <name val="Tahoma"/>
      <family val="2"/>
    </font>
    <font>
      <b/>
      <sz val="14"/>
      <color indexed="81"/>
      <name val="Tahoma"/>
      <family val="2"/>
    </font>
    <font>
      <sz val="14"/>
      <color indexed="81"/>
      <name val="Tahoma"/>
      <family val="2"/>
    </font>
    <font>
      <sz val="10"/>
      <name val="Arial"/>
      <family val="2"/>
    </font>
    <font>
      <b/>
      <i/>
      <sz val="10"/>
      <name val="Arial"/>
      <family val="2"/>
    </font>
    <font>
      <sz val="10"/>
      <color rgb="FFFF0000"/>
      <name val="Arial"/>
      <family val="2"/>
    </font>
    <font>
      <i/>
      <sz val="10"/>
      <name val="Arial"/>
      <family val="2"/>
    </font>
    <font>
      <sz val="10"/>
      <color theme="0"/>
      <name val="Arial"/>
      <family val="2"/>
    </font>
    <font>
      <b/>
      <sz val="10"/>
      <name val="Arial"/>
      <family val="2"/>
    </font>
    <font>
      <sz val="10"/>
      <color rgb="FF00B050"/>
      <name val="Arial"/>
      <family val="2"/>
    </font>
    <font>
      <sz val="10"/>
      <color theme="6" tint="-0.499984740745262"/>
      <name val="Arial"/>
      <family val="2"/>
    </font>
    <font>
      <b/>
      <i/>
      <sz val="12"/>
      <color indexed="8"/>
      <name val="Calibri"/>
      <family val="2"/>
    </font>
  </fonts>
  <fills count="28">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31"/>
        <bgColor indexed="64"/>
      </patternFill>
    </fill>
    <fill>
      <patternFill patternType="solid">
        <fgColor indexed="62"/>
        <bgColor indexed="64"/>
      </patternFill>
    </fill>
    <fill>
      <patternFill patternType="solid">
        <fgColor indexed="29"/>
        <bgColor indexed="64"/>
      </patternFill>
    </fill>
    <fill>
      <patternFill patternType="solid">
        <fgColor indexed="22"/>
        <bgColor indexed="64"/>
      </patternFill>
    </fill>
    <fill>
      <patternFill patternType="solid">
        <fgColor indexed="45"/>
        <bgColor indexed="64"/>
      </patternFill>
    </fill>
    <fill>
      <patternFill patternType="solid">
        <fgColor indexed="44"/>
        <bgColor indexed="64"/>
      </patternFill>
    </fill>
    <fill>
      <patternFill patternType="solid">
        <fgColor indexed="1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0.249977111117893"/>
        <bgColor indexed="64"/>
      </patternFill>
    </fill>
  </fills>
  <borders count="74">
    <border>
      <left/>
      <right/>
      <top/>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ck">
        <color indexed="6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bottom style="thin">
        <color indexed="4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medium">
        <color indexed="60"/>
      </top>
      <bottom style="hair">
        <color indexed="64"/>
      </bottom>
      <diagonal/>
    </border>
    <border>
      <left/>
      <right/>
      <top style="hair">
        <color indexed="64"/>
      </top>
      <bottom style="medium">
        <color indexed="60"/>
      </bottom>
      <diagonal/>
    </border>
    <border>
      <left/>
      <right style="medium">
        <color indexed="60"/>
      </right>
      <top/>
      <bottom/>
      <diagonal/>
    </border>
    <border>
      <left/>
      <right style="medium">
        <color indexed="60"/>
      </right>
      <top/>
      <bottom style="medium">
        <color indexed="60"/>
      </bottom>
      <diagonal/>
    </border>
    <border>
      <left style="medium">
        <color indexed="44"/>
      </left>
      <right/>
      <top style="medium">
        <color indexed="44"/>
      </top>
      <bottom/>
      <diagonal/>
    </border>
    <border>
      <left/>
      <right/>
      <top style="medium">
        <color indexed="44"/>
      </top>
      <bottom/>
      <diagonal/>
    </border>
    <border>
      <left/>
      <right style="medium">
        <color indexed="44"/>
      </right>
      <top style="medium">
        <color indexed="44"/>
      </top>
      <bottom/>
      <diagonal/>
    </border>
    <border>
      <left style="medium">
        <color indexed="44"/>
      </left>
      <right/>
      <top/>
      <bottom/>
      <diagonal/>
    </border>
    <border>
      <left/>
      <right style="medium">
        <color indexed="44"/>
      </right>
      <top/>
      <bottom/>
      <diagonal/>
    </border>
    <border>
      <left style="medium">
        <color indexed="44"/>
      </left>
      <right/>
      <top/>
      <bottom style="medium">
        <color indexed="44"/>
      </bottom>
      <diagonal/>
    </border>
    <border>
      <left/>
      <right/>
      <top/>
      <bottom style="medium">
        <color indexed="44"/>
      </bottom>
      <diagonal/>
    </border>
    <border>
      <left/>
      <right style="medium">
        <color indexed="44"/>
      </right>
      <top/>
      <bottom style="medium">
        <color indexed="44"/>
      </bottom>
      <diagonal/>
    </border>
    <border>
      <left style="thin">
        <color indexed="31"/>
      </left>
      <right style="thin">
        <color indexed="31"/>
      </right>
      <top style="thin">
        <color indexed="31"/>
      </top>
      <bottom/>
      <diagonal/>
    </border>
    <border>
      <left style="thin">
        <color indexed="31"/>
      </left>
      <right style="thin">
        <color indexed="31"/>
      </right>
      <top/>
      <bottom/>
      <diagonal/>
    </border>
    <border>
      <left style="thin">
        <color indexed="31"/>
      </left>
      <right style="thin">
        <color indexed="31"/>
      </right>
      <top/>
      <bottom style="thin">
        <color indexed="31"/>
      </bottom>
      <diagonal/>
    </border>
    <border>
      <left style="medium">
        <color indexed="60"/>
      </left>
      <right/>
      <top/>
      <bottom/>
      <diagonal/>
    </border>
    <border>
      <left style="medium">
        <color indexed="31"/>
      </left>
      <right/>
      <top/>
      <bottom/>
      <diagonal/>
    </border>
    <border>
      <left/>
      <right style="medium">
        <color indexed="31"/>
      </right>
      <top/>
      <bottom/>
      <diagonal/>
    </border>
    <border>
      <left style="medium">
        <color indexed="31"/>
      </left>
      <right/>
      <top/>
      <bottom style="medium">
        <color indexed="31"/>
      </bottom>
      <diagonal/>
    </border>
    <border>
      <left/>
      <right/>
      <top/>
      <bottom style="medium">
        <color indexed="31"/>
      </bottom>
      <diagonal/>
    </border>
    <border>
      <left/>
      <right style="medium">
        <color indexed="31"/>
      </right>
      <top/>
      <bottom style="medium">
        <color indexed="3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0"/>
      </left>
      <right/>
      <top/>
      <bottom style="medium">
        <color indexed="60"/>
      </bottom>
      <diagonal/>
    </border>
    <border>
      <left/>
      <right/>
      <top style="thick">
        <color indexed="44"/>
      </top>
      <bottom style="hair">
        <color indexed="64"/>
      </bottom>
      <diagonal/>
    </border>
    <border>
      <left/>
      <right style="thick">
        <color indexed="44"/>
      </right>
      <top style="thick">
        <color indexed="44"/>
      </top>
      <bottom style="hair">
        <color indexed="64"/>
      </bottom>
      <diagonal/>
    </border>
    <border>
      <left/>
      <right style="thick">
        <color indexed="44"/>
      </right>
      <top style="hair">
        <color indexed="64"/>
      </top>
      <bottom style="hair">
        <color indexed="64"/>
      </bottom>
      <diagonal/>
    </border>
    <border>
      <left style="medium">
        <color indexed="50"/>
      </left>
      <right/>
      <top style="medium">
        <color indexed="50"/>
      </top>
      <bottom/>
      <diagonal/>
    </border>
    <border>
      <left/>
      <right/>
      <top style="medium">
        <color indexed="50"/>
      </top>
      <bottom/>
      <diagonal/>
    </border>
    <border>
      <left/>
      <right style="medium">
        <color indexed="50"/>
      </right>
      <top style="medium">
        <color indexed="50"/>
      </top>
      <bottom/>
      <diagonal/>
    </border>
    <border>
      <left style="medium">
        <color indexed="50"/>
      </left>
      <right/>
      <top/>
      <bottom/>
      <diagonal/>
    </border>
    <border>
      <left/>
      <right style="medium">
        <color indexed="50"/>
      </right>
      <top/>
      <bottom/>
      <diagonal/>
    </border>
    <border>
      <left style="medium">
        <color indexed="50"/>
      </left>
      <right/>
      <top/>
      <bottom style="medium">
        <color indexed="50"/>
      </bottom>
      <diagonal/>
    </border>
    <border>
      <left/>
      <right/>
      <top/>
      <bottom style="medium">
        <color indexed="50"/>
      </bottom>
      <diagonal/>
    </border>
    <border>
      <left/>
      <right style="medium">
        <color indexed="50"/>
      </right>
      <top/>
      <bottom style="medium">
        <color indexed="50"/>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style="medium">
        <color indexed="30"/>
      </left>
      <right/>
      <top/>
      <bottom/>
      <diagonal/>
    </border>
    <border>
      <left/>
      <right style="medium">
        <color indexed="30"/>
      </right>
      <top/>
      <bottom/>
      <diagonal/>
    </border>
    <border>
      <left style="medium">
        <color indexed="30"/>
      </left>
      <right/>
      <top/>
      <bottom style="medium">
        <color indexed="30"/>
      </bottom>
      <diagonal/>
    </border>
    <border>
      <left/>
      <right style="medium">
        <color indexed="30"/>
      </right>
      <top/>
      <bottom style="medium">
        <color indexed="30"/>
      </bottom>
      <diagonal/>
    </border>
    <border>
      <left/>
      <right style="thin">
        <color indexed="64"/>
      </right>
      <top style="thin">
        <color indexed="64"/>
      </top>
      <bottom style="thin">
        <color indexed="64"/>
      </bottom>
      <diagonal/>
    </border>
    <border>
      <left style="medium">
        <color indexed="60"/>
      </left>
      <right style="medium">
        <color indexed="60"/>
      </right>
      <top style="medium">
        <color indexed="60"/>
      </top>
      <bottom style="medium">
        <color indexed="60"/>
      </bottom>
      <diagonal/>
    </border>
    <border>
      <left style="thin">
        <color indexed="8"/>
      </left>
      <right/>
      <top/>
      <bottom/>
      <diagonal/>
    </border>
    <border>
      <left/>
      <right/>
      <top/>
      <bottom style="medium">
        <color indexed="60"/>
      </bottom>
      <diagonal/>
    </border>
    <border>
      <left/>
      <right/>
      <top style="medium">
        <color indexed="60"/>
      </top>
      <bottom/>
      <diagonal/>
    </border>
    <border>
      <left/>
      <right/>
      <top style="thin">
        <color auto="1"/>
      </top>
      <bottom/>
      <diagonal/>
    </border>
    <border>
      <left/>
      <right/>
      <top/>
      <bottom style="thin">
        <color auto="1"/>
      </bottom>
      <diagonal/>
    </border>
  </borders>
  <cellStyleXfs count="4">
    <xf numFmtId="0" fontId="0" fillId="0" borderId="0"/>
    <xf numFmtId="0" fontId="132" fillId="0" borderId="0" applyNumberFormat="0" applyFill="0" applyBorder="0" applyAlignment="0" applyProtection="0">
      <alignment vertical="top"/>
      <protection locked="0"/>
    </xf>
    <xf numFmtId="44" fontId="79" fillId="0" borderId="0" applyFont="0" applyFill="0" applyBorder="0" applyAlignment="0" applyProtection="0"/>
    <xf numFmtId="9" fontId="135" fillId="0" borderId="0" applyFont="0" applyFill="0" applyBorder="0" applyAlignment="0" applyProtection="0"/>
  </cellStyleXfs>
  <cellXfs count="1542">
    <xf numFmtId="0" fontId="0" fillId="0" borderId="0" xfId="0"/>
    <xf numFmtId="0" fontId="0" fillId="0" borderId="0" xfId="0" applyAlignment="1">
      <alignment horizontal="left" indent="1"/>
    </xf>
    <xf numFmtId="166" fontId="13" fillId="2" borderId="0" xfId="0" applyNumberFormat="1" applyFont="1" applyFill="1" applyAlignment="1">
      <alignment horizontal="right"/>
    </xf>
    <xf numFmtId="166" fontId="0" fillId="2" borderId="2" xfId="0" applyNumberFormat="1" applyFill="1" applyBorder="1"/>
    <xf numFmtId="165" fontId="0" fillId="2" borderId="0" xfId="0" applyNumberFormat="1" applyFill="1" applyBorder="1"/>
    <xf numFmtId="165" fontId="0" fillId="2" borderId="2" xfId="0" applyNumberFormat="1" applyFill="1" applyBorder="1"/>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xf numFmtId="0" fontId="8" fillId="3" borderId="4" xfId="0" applyFont="1" applyFill="1" applyBorder="1" applyAlignment="1">
      <alignment horizontal="left" indent="1"/>
    </xf>
    <xf numFmtId="0" fontId="0" fillId="3" borderId="0" xfId="0" applyFill="1"/>
    <xf numFmtId="0" fontId="0" fillId="3" borderId="0" xfId="0" applyFill="1" applyBorder="1"/>
    <xf numFmtId="0" fontId="0" fillId="3" borderId="0" xfId="0" applyFill="1" applyAlignment="1">
      <alignment horizontal="left" indent="1"/>
    </xf>
    <xf numFmtId="165" fontId="0" fillId="2" borderId="6" xfId="0" applyNumberFormat="1" applyFill="1" applyBorder="1"/>
    <xf numFmtId="165" fontId="0" fillId="2" borderId="4" xfId="0" applyNumberFormat="1" applyFill="1" applyBorder="1"/>
    <xf numFmtId="0" fontId="30" fillId="4" borderId="0" xfId="0" applyFont="1" applyFill="1"/>
    <xf numFmtId="0" fontId="0" fillId="4" borderId="0" xfId="0" applyFill="1"/>
    <xf numFmtId="0" fontId="10" fillId="4" borderId="0" xfId="0" applyFont="1" applyFill="1"/>
    <xf numFmtId="0" fontId="0" fillId="4" borderId="6" xfId="0" applyFill="1" applyBorder="1"/>
    <xf numFmtId="0" fontId="8" fillId="4" borderId="4" xfId="0" applyFont="1" applyFill="1" applyBorder="1" applyAlignment="1">
      <alignment horizontal="left" inden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49" fontId="0" fillId="4" borderId="0" xfId="0" applyNumberFormat="1" applyFill="1" applyAlignment="1">
      <alignment horizontal="left" indent="1"/>
    </xf>
    <xf numFmtId="49" fontId="0" fillId="4" borderId="7" xfId="0" applyNumberFormat="1" applyFill="1" applyBorder="1" applyAlignment="1">
      <alignment horizontal="left" indent="1"/>
    </xf>
    <xf numFmtId="0" fontId="0" fillId="4" borderId="8" xfId="0" applyFill="1" applyBorder="1"/>
    <xf numFmtId="0" fontId="0" fillId="4" borderId="0" xfId="0" applyFill="1" applyAlignment="1">
      <alignment horizontal="left" indent="1"/>
    </xf>
    <xf numFmtId="0" fontId="0" fillId="4" borderId="6" xfId="0" applyFill="1" applyBorder="1" applyAlignment="1">
      <alignment wrapText="1"/>
    </xf>
    <xf numFmtId="0" fontId="0" fillId="4" borderId="6" xfId="0" applyFill="1" applyBorder="1" applyAlignment="1">
      <alignment horizontal="center" vertical="center" wrapText="1"/>
    </xf>
    <xf numFmtId="0" fontId="0" fillId="4" borderId="10" xfId="0" applyFill="1" applyBorder="1" applyAlignment="1">
      <alignment horizontal="center" vertical="center" wrapText="1"/>
    </xf>
    <xf numFmtId="0" fontId="10" fillId="4" borderId="6" xfId="0" applyFont="1" applyFill="1" applyBorder="1" applyAlignment="1">
      <alignment horizontal="center" vertical="center" wrapText="1"/>
    </xf>
    <xf numFmtId="0" fontId="0" fillId="4" borderId="0" xfId="0" applyFill="1" applyBorder="1" applyAlignment="1">
      <alignment wrapText="1"/>
    </xf>
    <xf numFmtId="0" fontId="8" fillId="4" borderId="0" xfId="0" applyFont="1" applyFill="1" applyAlignment="1">
      <alignment wrapText="1"/>
    </xf>
    <xf numFmtId="0" fontId="0" fillId="4" borderId="12" xfId="0" applyFill="1" applyBorder="1" applyAlignment="1">
      <alignment wrapText="1"/>
    </xf>
    <xf numFmtId="0" fontId="0" fillId="4" borderId="0" xfId="0" applyFill="1" applyAlignment="1">
      <alignment wrapText="1"/>
    </xf>
    <xf numFmtId="0" fontId="0" fillId="4" borderId="0" xfId="0" applyFill="1" applyAlignment="1">
      <alignment horizontal="left" wrapText="1"/>
    </xf>
    <xf numFmtId="0" fontId="0" fillId="4" borderId="0" xfId="0" applyFill="1" applyBorder="1" applyAlignment="1">
      <alignment horizontal="center" vertical="center" wrapText="1"/>
    </xf>
    <xf numFmtId="0" fontId="0" fillId="4" borderId="12" xfId="0" applyFill="1" applyBorder="1" applyAlignment="1">
      <alignment horizontal="center" vertical="center" wrapText="1"/>
    </xf>
    <xf numFmtId="0" fontId="10" fillId="4" borderId="0" xfId="0" applyFont="1" applyFill="1" applyBorder="1" applyAlignment="1">
      <alignment horizontal="center" vertical="center" wrapText="1"/>
    </xf>
    <xf numFmtId="0" fontId="8" fillId="4" borderId="0" xfId="0" applyFont="1" applyFill="1" applyBorder="1" applyAlignment="1">
      <alignment wrapText="1"/>
    </xf>
    <xf numFmtId="1" fontId="0" fillId="4" borderId="0" xfId="0" applyNumberFormat="1" applyFill="1" applyBorder="1" applyAlignment="1">
      <alignment wrapText="1"/>
    </xf>
    <xf numFmtId="0" fontId="0" fillId="4" borderId="0" xfId="0" applyFill="1" applyBorder="1" applyAlignment="1">
      <alignment horizontal="left" wrapText="1"/>
    </xf>
    <xf numFmtId="0" fontId="35" fillId="4" borderId="0" xfId="0" applyFont="1" applyFill="1" applyBorder="1" applyAlignment="1">
      <alignment horizontal="left" wrapText="1"/>
    </xf>
    <xf numFmtId="0" fontId="35" fillId="4" borderId="0" xfId="0" applyFont="1" applyFill="1" applyBorder="1" applyAlignment="1">
      <alignment wrapText="1"/>
    </xf>
    <xf numFmtId="0" fontId="35" fillId="4" borderId="12" xfId="0" applyFont="1" applyFill="1" applyBorder="1" applyAlignment="1">
      <alignment wrapText="1"/>
    </xf>
    <xf numFmtId="0" fontId="35" fillId="4" borderId="0" xfId="0" applyFont="1" applyFill="1" applyAlignment="1">
      <alignment wrapText="1"/>
    </xf>
    <xf numFmtId="0" fontId="0" fillId="4" borderId="0" xfId="0" applyFill="1" applyBorder="1" applyAlignment="1">
      <alignment horizontal="left" wrapText="1" indent="1"/>
    </xf>
    <xf numFmtId="0" fontId="36" fillId="4" borderId="0" xfId="0" applyFont="1" applyFill="1" applyBorder="1" applyAlignment="1">
      <alignment horizontal="left" wrapText="1"/>
    </xf>
    <xf numFmtId="2" fontId="0" fillId="4" borderId="0" xfId="0" applyNumberFormat="1" applyFill="1" applyBorder="1" applyAlignment="1">
      <alignment wrapText="1"/>
    </xf>
    <xf numFmtId="2" fontId="0" fillId="4" borderId="12" xfId="0" applyNumberFormat="1" applyFill="1" applyBorder="1" applyAlignment="1">
      <alignment wrapText="1"/>
    </xf>
    <xf numFmtId="0" fontId="8" fillId="4" borderId="0" xfId="0" applyFont="1" applyFill="1" applyBorder="1" applyAlignment="1">
      <alignment horizontal="left" wrapText="1"/>
    </xf>
    <xf numFmtId="0" fontId="37" fillId="4" borderId="0" xfId="0" applyFont="1" applyFill="1" applyAlignment="1" applyProtection="1">
      <protection locked="0"/>
    </xf>
    <xf numFmtId="0" fontId="37" fillId="4" borderId="0" xfId="0" applyFont="1" applyFill="1" applyAlignment="1"/>
    <xf numFmtId="0" fontId="37" fillId="4" borderId="0" xfId="0" applyFont="1" applyFill="1" applyBorder="1" applyAlignment="1" applyProtection="1">
      <protection locked="0"/>
    </xf>
    <xf numFmtId="0" fontId="41" fillId="4" borderId="0" xfId="0" applyFont="1" applyFill="1" applyAlignment="1" applyProtection="1">
      <protection locked="0"/>
    </xf>
    <xf numFmtId="0" fontId="42" fillId="4" borderId="0" xfId="0" applyFont="1" applyFill="1" applyProtection="1">
      <protection locked="0"/>
    </xf>
    <xf numFmtId="0" fontId="42" fillId="4" borderId="9" xfId="0" applyFont="1" applyFill="1" applyBorder="1" applyProtection="1">
      <protection locked="0"/>
    </xf>
    <xf numFmtId="0" fontId="42" fillId="4" borderId="6" xfId="0" applyFont="1" applyFill="1" applyBorder="1" applyProtection="1">
      <protection locked="0"/>
    </xf>
    <xf numFmtId="0" fontId="42" fillId="4" borderId="10" xfId="0" applyFont="1" applyFill="1" applyBorder="1" applyProtection="1">
      <protection locked="0"/>
    </xf>
    <xf numFmtId="0" fontId="27" fillId="4" borderId="0" xfId="0" applyFont="1" applyFill="1" applyProtection="1">
      <protection locked="0"/>
    </xf>
    <xf numFmtId="0" fontId="44" fillId="4" borderId="0" xfId="0" applyFont="1" applyFill="1" applyProtection="1">
      <protection locked="0"/>
    </xf>
    <xf numFmtId="0" fontId="44" fillId="4" borderId="0" xfId="0" applyFont="1" applyFill="1" applyBorder="1" applyProtection="1">
      <protection locked="0"/>
    </xf>
    <xf numFmtId="0" fontId="46" fillId="4" borderId="0" xfId="0" applyFont="1" applyFill="1" applyProtection="1">
      <protection locked="0"/>
    </xf>
    <xf numFmtId="0" fontId="42" fillId="4" borderId="0" xfId="0" applyFont="1" applyFill="1"/>
    <xf numFmtId="49" fontId="27" fillId="4" borderId="0" xfId="0" applyNumberFormat="1" applyFont="1" applyFill="1"/>
    <xf numFmtId="49" fontId="42" fillId="4" borderId="0" xfId="0" applyNumberFormat="1" applyFont="1" applyFill="1"/>
    <xf numFmtId="0" fontId="42" fillId="4" borderId="0" xfId="0" applyNumberFormat="1" applyFont="1" applyFill="1" applyAlignment="1">
      <alignment horizontal="right"/>
    </xf>
    <xf numFmtId="0" fontId="47" fillId="4" borderId="0" xfId="0" applyFont="1" applyFill="1" applyProtection="1">
      <protection locked="0"/>
    </xf>
    <xf numFmtId="0" fontId="47" fillId="4" borderId="0" xfId="0" applyFont="1" applyFill="1" applyBorder="1" applyProtection="1">
      <protection locked="0"/>
    </xf>
    <xf numFmtId="0" fontId="27" fillId="4" borderId="0" xfId="0" applyFont="1" applyFill="1" applyAlignment="1" applyProtection="1">
      <alignment wrapText="1"/>
      <protection locked="0"/>
    </xf>
    <xf numFmtId="0" fontId="42" fillId="4" borderId="0" xfId="0" applyFont="1" applyFill="1" applyAlignment="1" applyProtection="1">
      <alignment wrapText="1"/>
      <protection locked="0"/>
    </xf>
    <xf numFmtId="0" fontId="47" fillId="4" borderId="0" xfId="0" applyFont="1" applyFill="1" applyAlignment="1" applyProtection="1">
      <alignment wrapText="1"/>
      <protection locked="0"/>
    </xf>
    <xf numFmtId="0" fontId="44" fillId="4" borderId="0" xfId="0" applyFont="1" applyFill="1" applyAlignment="1" applyProtection="1">
      <alignment horizontal="left" wrapText="1"/>
      <protection locked="0"/>
    </xf>
    <xf numFmtId="0" fontId="44" fillId="4" borderId="0" xfId="0" applyFont="1" applyFill="1" applyAlignment="1" applyProtection="1">
      <alignment wrapText="1"/>
      <protection locked="0"/>
    </xf>
    <xf numFmtId="0" fontId="0" fillId="4" borderId="0" xfId="0" applyFill="1" applyBorder="1"/>
    <xf numFmtId="0" fontId="0" fillId="4" borderId="7" xfId="0" applyFill="1" applyBorder="1"/>
    <xf numFmtId="0" fontId="132" fillId="4" borderId="0" xfId="1" applyFill="1" applyAlignment="1" applyProtection="1"/>
    <xf numFmtId="0" fontId="0" fillId="4" borderId="2" xfId="0" applyFill="1" applyBorder="1"/>
    <xf numFmtId="49" fontId="10" fillId="4" borderId="0" xfId="0" applyNumberFormat="1" applyFont="1" applyFill="1"/>
    <xf numFmtId="0" fontId="27" fillId="4" borderId="0" xfId="0" applyFont="1" applyFill="1"/>
    <xf numFmtId="0" fontId="26" fillId="4" borderId="0" xfId="0" applyFont="1" applyFill="1" applyBorder="1" applyAlignment="1">
      <alignment horizontal="left"/>
    </xf>
    <xf numFmtId="169" fontId="0" fillId="4" borderId="0" xfId="0" applyNumberFormat="1" applyFill="1"/>
    <xf numFmtId="2" fontId="25" fillId="4" borderId="0" xfId="0" applyNumberFormat="1" applyFont="1" applyFill="1" applyAlignment="1">
      <alignment horizontal="right"/>
    </xf>
    <xf numFmtId="167" fontId="25" fillId="4" borderId="0" xfId="0" applyNumberFormat="1" applyFont="1" applyFill="1" applyAlignment="1">
      <alignment horizontal="right"/>
    </xf>
    <xf numFmtId="0" fontId="21" fillId="4" borderId="0" xfId="0" applyFont="1" applyFill="1"/>
    <xf numFmtId="0" fontId="21" fillId="4" borderId="0" xfId="0" applyFont="1" applyFill="1" applyBorder="1"/>
    <xf numFmtId="0" fontId="10" fillId="4" borderId="0" xfId="0" applyFont="1" applyFill="1" applyBorder="1"/>
    <xf numFmtId="0" fontId="26" fillId="4" borderId="0" xfId="0" quotePrefix="1" applyFont="1" applyFill="1" applyBorder="1" applyAlignment="1">
      <alignment horizontal="left"/>
    </xf>
    <xf numFmtId="169" fontId="25" fillId="4" borderId="0" xfId="0" applyNumberFormat="1" applyFont="1" applyFill="1" applyBorder="1" applyAlignment="1">
      <alignment horizontal="right"/>
    </xf>
    <xf numFmtId="169" fontId="0" fillId="4" borderId="0" xfId="0" applyNumberFormat="1" applyFill="1" applyBorder="1"/>
    <xf numFmtId="0" fontId="8" fillId="4" borderId="0" xfId="0" applyFont="1" applyFill="1" applyBorder="1"/>
    <xf numFmtId="0" fontId="30" fillId="4" borderId="0" xfId="0" applyFont="1" applyFill="1" applyBorder="1"/>
    <xf numFmtId="0" fontId="48" fillId="4" borderId="0" xfId="0" applyFont="1" applyFill="1" applyAlignment="1" applyProtection="1">
      <alignment wrapText="1"/>
      <protection locked="0"/>
    </xf>
    <xf numFmtId="0" fontId="48" fillId="4" borderId="0" xfId="0" applyFont="1" applyFill="1" applyProtection="1">
      <protection locked="0"/>
    </xf>
    <xf numFmtId="0" fontId="45" fillId="4" borderId="7" xfId="0" applyFont="1" applyFill="1" applyBorder="1" applyAlignment="1" applyProtection="1">
      <alignment horizontal="left" wrapText="1"/>
      <protection locked="0"/>
    </xf>
    <xf numFmtId="171" fontId="48" fillId="4" borderId="0" xfId="0" applyNumberFormat="1" applyFont="1" applyFill="1" applyAlignment="1" applyProtection="1">
      <alignment horizontal="right"/>
      <protection locked="0"/>
    </xf>
    <xf numFmtId="1" fontId="49" fillId="4" borderId="0" xfId="0" applyNumberFormat="1" applyFont="1" applyFill="1" applyBorder="1" applyProtection="1">
      <protection locked="0"/>
    </xf>
    <xf numFmtId="1" fontId="44" fillId="4" borderId="0" xfId="0" applyNumberFormat="1" applyFont="1" applyFill="1" applyProtection="1">
      <protection locked="0"/>
    </xf>
    <xf numFmtId="0" fontId="45" fillId="4" borderId="0" xfId="0" applyFont="1" applyFill="1" applyAlignment="1" applyProtection="1">
      <alignment wrapText="1"/>
      <protection locked="0"/>
    </xf>
    <xf numFmtId="0" fontId="51" fillId="4" borderId="0" xfId="0" applyFont="1" applyFill="1" applyProtection="1">
      <protection locked="0"/>
    </xf>
    <xf numFmtId="0" fontId="38" fillId="4" borderId="13" xfId="0" applyNumberFormat="1" applyFont="1" applyFill="1" applyBorder="1" applyAlignment="1">
      <alignment wrapText="1"/>
    </xf>
    <xf numFmtId="1" fontId="38" fillId="4" borderId="13" xfId="0" applyNumberFormat="1" applyFont="1" applyFill="1" applyBorder="1" applyAlignment="1">
      <alignment wrapText="1"/>
    </xf>
    <xf numFmtId="1" fontId="38" fillId="4" borderId="14" xfId="0" applyNumberFormat="1" applyFont="1" applyFill="1" applyBorder="1" applyAlignment="1">
      <alignment wrapText="1"/>
    </xf>
    <xf numFmtId="0" fontId="39" fillId="4" borderId="13" xfId="0" applyNumberFormat="1" applyFont="1" applyFill="1" applyBorder="1" applyAlignment="1">
      <alignment horizontal="left" wrapText="1" indent="2"/>
    </xf>
    <xf numFmtId="1" fontId="39" fillId="4" borderId="13" xfId="0" applyNumberFormat="1" applyFont="1" applyFill="1" applyBorder="1" applyAlignment="1">
      <alignment horizontal="left" wrapText="1" indent="1"/>
    </xf>
    <xf numFmtId="1" fontId="39" fillId="4" borderId="14" xfId="0" applyNumberFormat="1" applyFont="1" applyFill="1" applyBorder="1" applyAlignment="1">
      <alignment horizontal="left" wrapText="1" indent="1"/>
    </xf>
    <xf numFmtId="0" fontId="44" fillId="4" borderId="0" xfId="0" applyFont="1" applyFill="1" applyAlignment="1" applyProtection="1">
      <alignment horizontal="left" indent="1"/>
      <protection locked="0"/>
    </xf>
    <xf numFmtId="0" fontId="39" fillId="4" borderId="13" xfId="0" applyNumberFormat="1" applyFont="1" applyFill="1" applyBorder="1" applyAlignment="1">
      <alignment horizontal="left" wrapText="1" indent="1"/>
    </xf>
    <xf numFmtId="0" fontId="44" fillId="4" borderId="0" xfId="0" applyFont="1" applyFill="1" applyAlignment="1" applyProtection="1">
      <alignment horizontal="left" indent="2"/>
      <protection locked="0"/>
    </xf>
    <xf numFmtId="1" fontId="39" fillId="4" borderId="13" xfId="0" applyNumberFormat="1" applyFont="1" applyFill="1" applyBorder="1" applyAlignment="1">
      <alignment wrapText="1"/>
    </xf>
    <xf numFmtId="1" fontId="39" fillId="4" borderId="14" xfId="0" applyNumberFormat="1" applyFont="1" applyFill="1" applyBorder="1" applyAlignment="1">
      <alignment wrapText="1"/>
    </xf>
    <xf numFmtId="0" fontId="39" fillId="4" borderId="13" xfId="0" applyNumberFormat="1" applyFont="1" applyFill="1" applyBorder="1" applyAlignment="1">
      <alignment wrapText="1"/>
    </xf>
    <xf numFmtId="0" fontId="44" fillId="4" borderId="13" xfId="0" applyFont="1" applyFill="1" applyBorder="1" applyProtection="1">
      <protection locked="0"/>
    </xf>
    <xf numFmtId="0" fontId="51" fillId="4" borderId="13" xfId="0" applyFont="1" applyFill="1" applyBorder="1" applyProtection="1">
      <protection locked="0"/>
    </xf>
    <xf numFmtId="1" fontId="50" fillId="4" borderId="13" xfId="0" applyNumberFormat="1" applyFont="1" applyFill="1" applyBorder="1" applyAlignment="1">
      <alignment wrapText="1"/>
    </xf>
    <xf numFmtId="1" fontId="50" fillId="4" borderId="14" xfId="0" applyNumberFormat="1" applyFont="1" applyFill="1" applyBorder="1" applyAlignment="1">
      <alignment wrapText="1"/>
    </xf>
    <xf numFmtId="0" fontId="44" fillId="4" borderId="15" xfId="0" applyFont="1" applyFill="1" applyBorder="1" applyProtection="1">
      <protection locked="0"/>
    </xf>
    <xf numFmtId="1" fontId="38" fillId="4" borderId="15" xfId="0" applyNumberFormat="1" applyFont="1" applyFill="1" applyBorder="1" applyAlignment="1">
      <alignment wrapText="1"/>
    </xf>
    <xf numFmtId="1" fontId="38" fillId="4" borderId="16" xfId="0" applyNumberFormat="1" applyFont="1" applyFill="1" applyBorder="1" applyAlignment="1">
      <alignment wrapText="1"/>
    </xf>
    <xf numFmtId="2" fontId="44" fillId="4" borderId="0" xfId="0" applyNumberFormat="1" applyFont="1" applyFill="1" applyProtection="1">
      <protection locked="0"/>
    </xf>
    <xf numFmtId="171" fontId="44" fillId="4" borderId="0" xfId="0" applyNumberFormat="1" applyFont="1" applyFill="1" applyAlignment="1" applyProtection="1">
      <alignment horizontal="right"/>
      <protection locked="0"/>
    </xf>
    <xf numFmtId="0" fontId="37" fillId="4" borderId="0" xfId="0" applyFont="1" applyFill="1" applyBorder="1" applyAlignment="1"/>
    <xf numFmtId="0" fontId="41" fillId="4" borderId="0" xfId="0" applyFont="1" applyFill="1" applyBorder="1" applyAlignment="1" applyProtection="1">
      <protection locked="0"/>
    </xf>
    <xf numFmtId="0" fontId="50" fillId="4" borderId="13" xfId="0" applyNumberFormat="1" applyFont="1" applyFill="1" applyBorder="1" applyAlignment="1">
      <alignment wrapText="1"/>
    </xf>
    <xf numFmtId="0" fontId="40" fillId="4" borderId="13" xfId="0" applyNumberFormat="1" applyFont="1" applyFill="1" applyBorder="1" applyAlignment="1">
      <alignment wrapText="1"/>
    </xf>
    <xf numFmtId="1" fontId="47" fillId="4" borderId="0" xfId="0" applyNumberFormat="1" applyFont="1" applyFill="1" applyProtection="1">
      <protection locked="0"/>
    </xf>
    <xf numFmtId="0" fontId="50" fillId="4" borderId="17" xfId="0" applyNumberFormat="1" applyFont="1" applyFill="1" applyBorder="1" applyAlignment="1">
      <alignment wrapText="1"/>
    </xf>
    <xf numFmtId="1" fontId="39" fillId="4" borderId="17" xfId="0" applyNumberFormat="1" applyFont="1" applyFill="1" applyBorder="1" applyAlignment="1">
      <alignment wrapText="1"/>
    </xf>
    <xf numFmtId="0" fontId="38" fillId="4" borderId="18" xfId="0" applyNumberFormat="1" applyFont="1" applyFill="1" applyBorder="1" applyAlignment="1">
      <alignment wrapText="1"/>
    </xf>
    <xf numFmtId="0" fontId="50" fillId="4" borderId="15" xfId="0" applyNumberFormat="1" applyFont="1" applyFill="1" applyBorder="1" applyAlignment="1">
      <alignment wrapText="1"/>
    </xf>
    <xf numFmtId="0" fontId="0" fillId="4" borderId="0" xfId="0" applyFont="1" applyFill="1" applyBorder="1" applyAlignment="1">
      <alignment horizontal="left" indent="1"/>
    </xf>
    <xf numFmtId="0" fontId="11" fillId="4" borderId="0" xfId="0" applyFont="1" applyFill="1" applyAlignment="1">
      <alignment horizontal="left" indent="1"/>
    </xf>
    <xf numFmtId="0" fontId="11" fillId="4" borderId="0" xfId="0" applyFont="1" applyFill="1"/>
    <xf numFmtId="0" fontId="8" fillId="4" borderId="6" xfId="0" applyFont="1" applyFill="1" applyBorder="1" applyAlignment="1">
      <alignment horizontal="left" indent="1"/>
    </xf>
    <xf numFmtId="2" fontId="0" fillId="4" borderId="6" xfId="0" applyNumberFormat="1" applyFill="1" applyBorder="1"/>
    <xf numFmtId="0" fontId="0" fillId="4" borderId="0" xfId="0" applyFont="1" applyFill="1" applyBorder="1" applyAlignment="1">
      <alignment horizontal="left" indent="2"/>
    </xf>
    <xf numFmtId="2" fontId="0" fillId="4" borderId="0" xfId="0" applyNumberFormat="1" applyFill="1" applyBorder="1"/>
    <xf numFmtId="0" fontId="0" fillId="4" borderId="4" xfId="0" applyFont="1" applyFill="1" applyBorder="1" applyAlignment="1">
      <alignment horizontal="left" indent="2"/>
    </xf>
    <xf numFmtId="0" fontId="0" fillId="4" borderId="4" xfId="0" applyFill="1" applyBorder="1"/>
    <xf numFmtId="2" fontId="0" fillId="4" borderId="4" xfId="0" applyNumberFormat="1" applyFill="1" applyBorder="1"/>
    <xf numFmtId="165" fontId="0" fillId="4" borderId="0" xfId="0" applyNumberFormat="1" applyFill="1" applyBorder="1"/>
    <xf numFmtId="0" fontId="8" fillId="4" borderId="0" xfId="0" applyFont="1" applyFill="1"/>
    <xf numFmtId="0" fontId="0" fillId="4" borderId="11" xfId="0" applyFill="1" applyBorder="1" applyAlignment="1">
      <alignment horizontal="left" indent="1"/>
    </xf>
    <xf numFmtId="0" fontId="0" fillId="4" borderId="0" xfId="0" applyFill="1" applyBorder="1" applyAlignment="1">
      <alignment horizontal="left" indent="1"/>
    </xf>
    <xf numFmtId="164" fontId="0" fillId="4" borderId="0" xfId="0" applyNumberFormat="1" applyFill="1" applyBorder="1"/>
    <xf numFmtId="49" fontId="8" fillId="4" borderId="0" xfId="0" applyNumberFormat="1" applyFont="1" applyFill="1"/>
    <xf numFmtId="49" fontId="0" fillId="4" borderId="0" xfId="0" applyNumberFormat="1" applyFill="1"/>
    <xf numFmtId="0" fontId="0" fillId="4" borderId="0" xfId="0" applyNumberFormat="1" applyFill="1" applyAlignment="1">
      <alignment horizontal="right"/>
    </xf>
    <xf numFmtId="0" fontId="0" fillId="4" borderId="0" xfId="0" applyFill="1" applyAlignment="1">
      <alignment horizontal="left"/>
    </xf>
    <xf numFmtId="0" fontId="9" fillId="4" borderId="0" xfId="0" applyFont="1" applyFill="1" applyAlignment="1">
      <alignment horizontal="left"/>
    </xf>
    <xf numFmtId="2" fontId="0" fillId="4" borderId="0" xfId="0" applyNumberFormat="1" applyFill="1" applyAlignment="1">
      <alignment horizontal="left" indent="1"/>
    </xf>
    <xf numFmtId="0" fontId="0" fillId="4" borderId="4" xfId="0" applyFill="1" applyBorder="1" applyAlignment="1">
      <alignment horizontal="left" indent="1"/>
    </xf>
    <xf numFmtId="2" fontId="0" fillId="4" borderId="0" xfId="0" applyNumberFormat="1" applyFill="1"/>
    <xf numFmtId="0" fontId="10" fillId="4" borderId="0" xfId="0" applyFont="1" applyFill="1" applyBorder="1" applyAlignment="1">
      <alignment horizontal="center" vertical="center"/>
    </xf>
    <xf numFmtId="1" fontId="0" fillId="4" borderId="0" xfId="0" applyNumberFormat="1" applyFill="1" applyBorder="1"/>
    <xf numFmtId="0" fontId="6" fillId="4" borderId="0" xfId="0" applyFont="1" applyFill="1" applyBorder="1"/>
    <xf numFmtId="1" fontId="8" fillId="4" borderId="0" xfId="0" applyNumberFormat="1" applyFont="1" applyFill="1" applyBorder="1"/>
    <xf numFmtId="0" fontId="0" fillId="4" borderId="0" xfId="0" applyFill="1" applyAlignment="1">
      <alignment horizontal="left" vertical="center"/>
    </xf>
    <xf numFmtId="0" fontId="0" fillId="4" borderId="0" xfId="0" applyFill="1" applyBorder="1" applyAlignment="1">
      <alignment horizontal="left" vertical="center"/>
    </xf>
    <xf numFmtId="0" fontId="35" fillId="4" borderId="0" xfId="0" applyFont="1" applyFill="1" applyBorder="1"/>
    <xf numFmtId="0" fontId="36" fillId="4" borderId="0" xfId="0" applyFont="1" applyFill="1" applyBorder="1"/>
    <xf numFmtId="0" fontId="21" fillId="4" borderId="0" xfId="0" applyFont="1" applyFill="1" applyBorder="1" applyAlignment="1">
      <alignment wrapText="1"/>
    </xf>
    <xf numFmtId="0" fontId="14" fillId="4" borderId="0" xfId="0" applyFont="1" applyFill="1" applyBorder="1" applyAlignment="1">
      <alignment wrapText="1"/>
    </xf>
    <xf numFmtId="0" fontId="10" fillId="4" borderId="0" xfId="0" applyFont="1" applyFill="1" applyBorder="1" applyAlignment="1">
      <alignment wrapText="1"/>
    </xf>
    <xf numFmtId="0" fontId="0" fillId="4" borderId="4" xfId="0" applyFill="1" applyBorder="1" applyAlignment="1">
      <alignment horizontal="left" wrapText="1"/>
    </xf>
    <xf numFmtId="0" fontId="6" fillId="4" borderId="0" xfId="0" applyFont="1" applyFill="1" applyBorder="1" applyAlignment="1">
      <alignment wrapText="1"/>
    </xf>
    <xf numFmtId="0" fontId="36" fillId="4" borderId="0" xfId="0" applyFont="1" applyFill="1" applyBorder="1" applyAlignment="1">
      <alignment wrapText="1"/>
    </xf>
    <xf numFmtId="0" fontId="6" fillId="4" borderId="0" xfId="0" applyFont="1" applyFill="1" applyBorder="1" applyAlignment="1">
      <alignment horizontal="left" wrapText="1"/>
    </xf>
    <xf numFmtId="0" fontId="34" fillId="4" borderId="0" xfId="0" applyFont="1" applyFill="1" applyBorder="1" applyAlignment="1">
      <alignment wrapText="1"/>
    </xf>
    <xf numFmtId="0" fontId="9" fillId="4" borderId="0" xfId="0" applyFont="1" applyFill="1" applyBorder="1" applyAlignment="1">
      <alignment wrapText="1"/>
    </xf>
    <xf numFmtId="0" fontId="8" fillId="5" borderId="0" xfId="0" applyFont="1" applyFill="1" applyBorder="1" applyAlignment="1">
      <alignment wrapText="1"/>
    </xf>
    <xf numFmtId="0" fontId="8" fillId="4" borderId="6" xfId="0" applyFont="1" applyFill="1" applyBorder="1" applyAlignment="1">
      <alignment wrapText="1"/>
    </xf>
    <xf numFmtId="0" fontId="8" fillId="4" borderId="4" xfId="0" applyFont="1" applyFill="1" applyBorder="1" applyAlignment="1">
      <alignment wrapText="1"/>
    </xf>
    <xf numFmtId="0" fontId="8" fillId="4" borderId="4" xfId="0" applyFont="1" applyFill="1" applyBorder="1"/>
    <xf numFmtId="0" fontId="8" fillId="5" borderId="0" xfId="0" applyFont="1" applyFill="1" applyBorder="1" applyAlignment="1">
      <alignment horizontal="left" wrapText="1"/>
    </xf>
    <xf numFmtId="167" fontId="0" fillId="4" borderId="0" xfId="0" applyNumberFormat="1" applyFill="1"/>
    <xf numFmtId="0" fontId="7" fillId="4" borderId="0" xfId="0" applyFont="1" applyFill="1"/>
    <xf numFmtId="0" fontId="35" fillId="4" borderId="0" xfId="0" applyFont="1" applyFill="1"/>
    <xf numFmtId="0" fontId="27" fillId="4" borderId="6" xfId="0" applyFont="1" applyFill="1" applyBorder="1"/>
    <xf numFmtId="164" fontId="35" fillId="4" borderId="4" xfId="0" applyNumberFormat="1" applyFont="1" applyFill="1" applyBorder="1"/>
    <xf numFmtId="0" fontId="35" fillId="4" borderId="4" xfId="0" applyFont="1" applyFill="1" applyBorder="1" applyAlignment="1">
      <alignment horizontal="left" vertical="center"/>
    </xf>
    <xf numFmtId="0" fontId="35" fillId="4" borderId="0" xfId="0" applyFont="1" applyFill="1" applyAlignment="1">
      <alignment horizontal="left" vertical="center"/>
    </xf>
    <xf numFmtId="0" fontId="14" fillId="4" borderId="0" xfId="0" applyFont="1" applyFill="1" applyAlignment="1">
      <alignment wrapText="1"/>
    </xf>
    <xf numFmtId="0" fontId="10" fillId="4" borderId="0" xfId="0" applyFont="1" applyFill="1" applyAlignment="1">
      <alignment wrapText="1"/>
    </xf>
    <xf numFmtId="0" fontId="56" fillId="4" borderId="0" xfId="0" applyFont="1" applyFill="1" applyBorder="1" applyAlignment="1">
      <alignment wrapText="1"/>
    </xf>
    <xf numFmtId="0" fontId="34" fillId="4" borderId="4" xfId="0" applyFont="1" applyFill="1" applyBorder="1" applyAlignment="1">
      <alignment wrapText="1"/>
    </xf>
    <xf numFmtId="0" fontId="7" fillId="4" borderId="19" xfId="0" applyFont="1" applyFill="1" applyBorder="1" applyAlignment="1">
      <alignment wrapText="1"/>
    </xf>
    <xf numFmtId="0" fontId="34" fillId="4" borderId="19" xfId="0" applyFont="1" applyFill="1" applyBorder="1" applyAlignment="1">
      <alignment wrapText="1"/>
    </xf>
    <xf numFmtId="0" fontId="34" fillId="4" borderId="6" xfId="0" applyFont="1" applyFill="1" applyBorder="1" applyAlignment="1">
      <alignment wrapText="1"/>
    </xf>
    <xf numFmtId="0" fontId="35" fillId="4" borderId="4" xfId="0" applyFont="1" applyFill="1" applyBorder="1" applyAlignment="1">
      <alignment wrapText="1"/>
    </xf>
    <xf numFmtId="0" fontId="0" fillId="4" borderId="4" xfId="0" applyFill="1" applyBorder="1" applyAlignment="1">
      <alignment wrapText="1"/>
    </xf>
    <xf numFmtId="0" fontId="51" fillId="4" borderId="0" xfId="0" applyFont="1" applyFill="1" applyAlignment="1" applyProtection="1">
      <alignment wrapText="1"/>
      <protection locked="0"/>
    </xf>
    <xf numFmtId="0" fontId="9" fillId="4" borderId="0" xfId="0" applyFont="1" applyFill="1" applyAlignment="1">
      <alignment horizontal="left" wrapText="1"/>
    </xf>
    <xf numFmtId="0" fontId="0" fillId="4" borderId="10" xfId="0" applyFill="1" applyBorder="1" applyAlignment="1">
      <alignment wrapText="1"/>
    </xf>
    <xf numFmtId="0" fontId="0" fillId="4" borderId="5" xfId="0" applyFill="1" applyBorder="1" applyAlignment="1">
      <alignment wrapText="1"/>
    </xf>
    <xf numFmtId="0" fontId="0" fillId="4" borderId="6" xfId="0" applyFill="1" applyBorder="1" applyAlignment="1">
      <alignment horizontal="left" wrapText="1"/>
    </xf>
    <xf numFmtId="0" fontId="0" fillId="4" borderId="4" xfId="0" applyFill="1" applyBorder="1" applyAlignment="1">
      <alignment horizontal="left" wrapText="1" indent="1"/>
    </xf>
    <xf numFmtId="0" fontId="0" fillId="5" borderId="0" xfId="0" applyFill="1" applyAlignment="1">
      <alignment horizontal="left" wrapText="1"/>
    </xf>
    <xf numFmtId="2" fontId="0" fillId="5" borderId="0" xfId="0" applyNumberFormat="1" applyFill="1" applyBorder="1" applyAlignment="1">
      <alignment wrapText="1"/>
    </xf>
    <xf numFmtId="2" fontId="0" fillId="5" borderId="12" xfId="0" applyNumberFormat="1" applyFill="1" applyBorder="1" applyAlignment="1">
      <alignment wrapText="1"/>
    </xf>
    <xf numFmtId="0" fontId="47" fillId="4" borderId="6" xfId="0" applyFont="1" applyFill="1" applyBorder="1" applyAlignment="1" applyProtection="1">
      <alignment wrapText="1"/>
      <protection locked="0"/>
    </xf>
    <xf numFmtId="0" fontId="44" fillId="4" borderId="6" xfId="0" applyFont="1" applyFill="1" applyBorder="1" applyProtection="1">
      <protection locked="0"/>
    </xf>
    <xf numFmtId="0" fontId="47" fillId="4" borderId="0" xfId="0" applyFont="1" applyFill="1" applyBorder="1" applyAlignment="1" applyProtection="1">
      <alignment wrapText="1"/>
      <protection locked="0"/>
    </xf>
    <xf numFmtId="0" fontId="44" fillId="4" borderId="0" xfId="0" applyFont="1" applyFill="1" applyBorder="1" applyAlignment="1" applyProtection="1">
      <alignment horizontal="left" wrapText="1" indent="1"/>
      <protection locked="0"/>
    </xf>
    <xf numFmtId="1" fontId="44" fillId="4" borderId="0" xfId="0" applyNumberFormat="1" applyFont="1" applyFill="1" applyBorder="1" applyProtection="1">
      <protection locked="0"/>
    </xf>
    <xf numFmtId="0" fontId="47" fillId="4" borderId="0" xfId="0" applyFont="1" applyFill="1" applyBorder="1" applyAlignment="1" applyProtection="1">
      <alignment horizontal="left" wrapText="1" indent="1"/>
      <protection locked="0"/>
    </xf>
    <xf numFmtId="164" fontId="0" fillId="4" borderId="0" xfId="0" applyNumberFormat="1" applyFill="1" applyBorder="1" applyAlignment="1">
      <alignment vertical="center"/>
    </xf>
    <xf numFmtId="0" fontId="0" fillId="4" borderId="0" xfId="0" applyFill="1" applyBorder="1" applyAlignment="1"/>
    <xf numFmtId="0" fontId="10" fillId="4" borderId="20" xfId="0" applyFont="1" applyFill="1" applyBorder="1" applyAlignment="1">
      <alignment horizontal="center" vertical="center" wrapText="1"/>
    </xf>
    <xf numFmtId="0" fontId="0" fillId="4" borderId="21"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wrapText="1"/>
    </xf>
    <xf numFmtId="0" fontId="0" fillId="4" borderId="20" xfId="0" applyFill="1" applyBorder="1" applyAlignment="1">
      <alignment wrapText="1"/>
    </xf>
    <xf numFmtId="1" fontId="0" fillId="4" borderId="21" xfId="0" applyNumberFormat="1" applyFill="1" applyBorder="1" applyAlignment="1">
      <alignment wrapText="1"/>
    </xf>
    <xf numFmtId="0" fontId="0" fillId="4" borderId="22" xfId="0" applyFill="1" applyBorder="1" applyAlignment="1">
      <alignment wrapText="1"/>
    </xf>
    <xf numFmtId="0" fontId="35" fillId="4" borderId="21" xfId="0" applyFont="1" applyFill="1" applyBorder="1" applyAlignment="1">
      <alignment wrapText="1"/>
    </xf>
    <xf numFmtId="0" fontId="0" fillId="4" borderId="21" xfId="0" applyFill="1" applyBorder="1" applyAlignment="1">
      <alignment vertical="center"/>
    </xf>
    <xf numFmtId="1" fontId="0" fillId="5" borderId="21" xfId="0" applyNumberFormat="1" applyFill="1" applyBorder="1" applyAlignment="1">
      <alignment wrapText="1"/>
    </xf>
    <xf numFmtId="2" fontId="0" fillId="4" borderId="21" xfId="0" applyNumberFormat="1" applyFill="1" applyBorder="1" applyAlignment="1">
      <alignment wrapText="1"/>
    </xf>
    <xf numFmtId="2" fontId="0" fillId="5" borderId="21" xfId="0" applyNumberFormat="1" applyFill="1" applyBorder="1" applyAlignment="1">
      <alignment wrapText="1"/>
    </xf>
    <xf numFmtId="0" fontId="0" fillId="4" borderId="12" xfId="0" applyFill="1" applyBorder="1" applyAlignment="1">
      <alignment vertical="center"/>
    </xf>
    <xf numFmtId="1" fontId="0" fillId="4" borderId="0" xfId="0" applyNumberFormat="1" applyFill="1" applyBorder="1" applyAlignment="1">
      <alignment horizontal="right" vertical="center" wrapText="1"/>
    </xf>
    <xf numFmtId="1" fontId="0" fillId="4" borderId="12" xfId="0" applyNumberFormat="1" applyFill="1" applyBorder="1" applyAlignment="1">
      <alignment horizontal="right" vertical="center" wrapText="1"/>
    </xf>
    <xf numFmtId="1" fontId="0" fillId="4" borderId="21" xfId="0" applyNumberFormat="1" applyFill="1" applyBorder="1" applyAlignment="1">
      <alignment vertical="center"/>
    </xf>
    <xf numFmtId="1" fontId="0" fillId="4" borderId="12" xfId="0" applyNumberFormat="1" applyFill="1" applyBorder="1" applyAlignment="1">
      <alignment vertical="center"/>
    </xf>
    <xf numFmtId="1" fontId="0" fillId="4" borderId="0" xfId="0" applyNumberFormat="1" applyFill="1" applyBorder="1" applyAlignment="1">
      <alignment vertical="center"/>
    </xf>
    <xf numFmtId="0" fontId="47" fillId="4" borderId="4" xfId="0" applyFont="1" applyFill="1" applyBorder="1" applyAlignment="1" applyProtection="1">
      <alignment horizontal="right" vertical="center"/>
      <protection locked="0"/>
    </xf>
    <xf numFmtId="165" fontId="0" fillId="4" borderId="0" xfId="0" applyNumberFormat="1" applyFill="1"/>
    <xf numFmtId="166" fontId="0" fillId="4" borderId="0" xfId="0" applyNumberFormat="1" applyFill="1"/>
    <xf numFmtId="0" fontId="50" fillId="4" borderId="23" xfId="0" applyNumberFormat="1" applyFont="1" applyFill="1" applyBorder="1" applyAlignment="1">
      <alignment wrapText="1"/>
    </xf>
    <xf numFmtId="0" fontId="11" fillId="4" borderId="0" xfId="0" applyFont="1" applyFill="1" applyProtection="1">
      <protection locked="0"/>
    </xf>
    <xf numFmtId="0" fontId="11" fillId="4" borderId="0" xfId="0" applyFont="1" applyFill="1" applyAlignment="1" applyProtection="1">
      <alignment wrapText="1"/>
      <protection locked="0"/>
    </xf>
    <xf numFmtId="0" fontId="11" fillId="4" borderId="0" xfId="0" applyFont="1" applyFill="1" applyBorder="1" applyProtection="1">
      <protection locked="0"/>
    </xf>
    <xf numFmtId="1" fontId="11" fillId="4" borderId="6" xfId="0" applyNumberFormat="1" applyFont="1" applyFill="1" applyBorder="1" applyAlignment="1" applyProtection="1">
      <alignment wrapText="1"/>
      <protection locked="0"/>
    </xf>
    <xf numFmtId="1" fontId="11" fillId="4" borderId="0" xfId="0" applyNumberFormat="1" applyFont="1" applyFill="1" applyBorder="1" applyAlignment="1" applyProtection="1">
      <alignment wrapText="1"/>
      <protection locked="0"/>
    </xf>
    <xf numFmtId="1" fontId="63" fillId="4" borderId="0" xfId="0" applyNumberFormat="1" applyFont="1" applyFill="1" applyBorder="1" applyAlignment="1" applyProtection="1">
      <alignment wrapText="1"/>
      <protection locked="0"/>
    </xf>
    <xf numFmtId="0" fontId="6" fillId="4" borderId="0" xfId="0" applyFont="1" applyFill="1" applyAlignment="1" applyProtection="1">
      <protection locked="0"/>
    </xf>
    <xf numFmtId="1" fontId="11" fillId="4" borderId="0" xfId="0" applyNumberFormat="1" applyFont="1" applyFill="1" applyProtection="1">
      <protection locked="0"/>
    </xf>
    <xf numFmtId="0" fontId="45" fillId="4" borderId="0" xfId="0" applyFont="1" applyFill="1" applyProtection="1">
      <protection locked="0"/>
    </xf>
    <xf numFmtId="1" fontId="45" fillId="4" borderId="0" xfId="0" applyNumberFormat="1" applyFont="1" applyFill="1" applyProtection="1">
      <protection locked="0"/>
    </xf>
    <xf numFmtId="1" fontId="39" fillId="2" borderId="13" xfId="0" applyNumberFormat="1" applyFont="1" applyFill="1" applyBorder="1" applyAlignment="1">
      <alignment wrapText="1"/>
    </xf>
    <xf numFmtId="0" fontId="50" fillId="4" borderId="24" xfId="0" applyNumberFormat="1" applyFont="1" applyFill="1" applyBorder="1" applyAlignment="1">
      <alignment wrapText="1"/>
    </xf>
    <xf numFmtId="0" fontId="50" fillId="4" borderId="25" xfId="0" applyNumberFormat="1" applyFont="1" applyFill="1" applyBorder="1" applyAlignment="1">
      <alignment wrapText="1"/>
    </xf>
    <xf numFmtId="0" fontId="40" fillId="4" borderId="25" xfId="0" applyNumberFormat="1" applyFont="1" applyFill="1" applyBorder="1" applyAlignment="1">
      <alignment wrapText="1"/>
    </xf>
    <xf numFmtId="0" fontId="64" fillId="4" borderId="0" xfId="0" applyFont="1" applyFill="1" applyProtection="1">
      <protection locked="0"/>
    </xf>
    <xf numFmtId="1" fontId="64" fillId="4" borderId="0" xfId="0" applyNumberFormat="1" applyFont="1" applyFill="1" applyProtection="1">
      <protection locked="0"/>
    </xf>
    <xf numFmtId="0" fontId="37" fillId="4" borderId="0" xfId="0" applyFont="1" applyFill="1" applyAlignment="1" applyProtection="1">
      <alignment horizontal="right"/>
      <protection locked="0"/>
    </xf>
    <xf numFmtId="0" fontId="46" fillId="4" borderId="0" xfId="0" applyFont="1" applyFill="1" applyAlignment="1" applyProtection="1">
      <alignment horizontal="right"/>
      <protection locked="0"/>
    </xf>
    <xf numFmtId="0" fontId="40" fillId="4" borderId="7" xfId="0" applyNumberFormat="1" applyFont="1" applyFill="1" applyBorder="1" applyAlignment="1">
      <alignment wrapText="1"/>
    </xf>
    <xf numFmtId="0" fontId="8" fillId="4" borderId="0" xfId="0" applyFont="1" applyFill="1" applyAlignment="1" applyProtection="1">
      <protection locked="0"/>
    </xf>
    <xf numFmtId="0" fontId="51" fillId="4" borderId="0" xfId="0" applyFont="1" applyFill="1" applyBorder="1" applyProtection="1">
      <protection locked="0"/>
    </xf>
    <xf numFmtId="0" fontId="50" fillId="4" borderId="0" xfId="0" applyNumberFormat="1" applyFont="1" applyFill="1" applyBorder="1" applyAlignment="1">
      <alignment wrapText="1"/>
    </xf>
    <xf numFmtId="1" fontId="39" fillId="4" borderId="0" xfId="0" applyNumberFormat="1" applyFont="1" applyFill="1" applyBorder="1" applyAlignment="1">
      <alignment wrapText="1"/>
    </xf>
    <xf numFmtId="0" fontId="70" fillId="4" borderId="0" xfId="0" applyFont="1" applyFill="1" applyProtection="1">
      <protection locked="0"/>
    </xf>
    <xf numFmtId="0" fontId="0" fillId="4" borderId="2" xfId="0" applyFill="1" applyBorder="1" applyAlignment="1">
      <alignment horizontal="left" indent="1"/>
    </xf>
    <xf numFmtId="0" fontId="45" fillId="4" borderId="0" xfId="0" applyFont="1" applyFill="1" applyBorder="1" applyAlignment="1" applyProtection="1">
      <alignment wrapText="1"/>
      <protection locked="0"/>
    </xf>
    <xf numFmtId="0" fontId="11" fillId="4" borderId="0" xfId="0" applyFont="1" applyFill="1" applyBorder="1" applyAlignment="1" applyProtection="1">
      <alignment horizontal="left" wrapText="1" indent="1"/>
      <protection locked="0"/>
    </xf>
    <xf numFmtId="0" fontId="45" fillId="4" borderId="0" xfId="0" applyFont="1" applyFill="1" applyBorder="1" applyAlignment="1" applyProtection="1">
      <alignment horizontal="left" wrapText="1"/>
      <protection locked="0"/>
    </xf>
    <xf numFmtId="0" fontId="72" fillId="4" borderId="0" xfId="0" applyFont="1" applyFill="1" applyBorder="1" applyProtection="1">
      <protection locked="0"/>
    </xf>
    <xf numFmtId="0" fontId="72" fillId="4" borderId="0" xfId="0" applyFont="1" applyFill="1" applyProtection="1">
      <protection locked="0"/>
    </xf>
    <xf numFmtId="2" fontId="47" fillId="4" borderId="0" xfId="0" applyNumberFormat="1" applyFont="1" applyFill="1" applyBorder="1" applyProtection="1">
      <protection locked="0"/>
    </xf>
    <xf numFmtId="2" fontId="72" fillId="4" borderId="0" xfId="0" applyNumberFormat="1" applyFont="1" applyFill="1" applyBorder="1" applyProtection="1">
      <protection locked="0"/>
    </xf>
    <xf numFmtId="2" fontId="44" fillId="4" borderId="0" xfId="0" applyNumberFormat="1" applyFont="1" applyFill="1" applyBorder="1" applyProtection="1">
      <protection locked="0"/>
    </xf>
    <xf numFmtId="2" fontId="44" fillId="4" borderId="4" xfId="0" applyNumberFormat="1" applyFont="1" applyFill="1" applyBorder="1" applyProtection="1">
      <protection locked="0"/>
    </xf>
    <xf numFmtId="0" fontId="75" fillId="6" borderId="0" xfId="0" applyFont="1" applyFill="1" applyBorder="1" applyAlignment="1">
      <alignment horizontal="left" wrapText="1"/>
    </xf>
    <xf numFmtId="1" fontId="76" fillId="6" borderId="21" xfId="0" applyNumberFormat="1" applyFont="1" applyFill="1" applyBorder="1"/>
    <xf numFmtId="1" fontId="76" fillId="6" borderId="0" xfId="0" applyNumberFormat="1" applyFont="1" applyFill="1" applyBorder="1"/>
    <xf numFmtId="1" fontId="76" fillId="6" borderId="12" xfId="0" applyNumberFormat="1" applyFont="1" applyFill="1" applyBorder="1"/>
    <xf numFmtId="0" fontId="59" fillId="6" borderId="0" xfId="0" applyFont="1" applyFill="1" applyBorder="1" applyAlignment="1">
      <alignment wrapText="1"/>
    </xf>
    <xf numFmtId="0" fontId="44" fillId="4" borderId="26" xfId="0" applyFont="1" applyFill="1" applyBorder="1" applyProtection="1">
      <protection locked="0"/>
    </xf>
    <xf numFmtId="0" fontId="44" fillId="4" borderId="27" xfId="0" applyFont="1" applyFill="1" applyBorder="1" applyProtection="1">
      <protection locked="0"/>
    </xf>
    <xf numFmtId="1" fontId="64" fillId="4" borderId="0" xfId="0" applyNumberFormat="1" applyFont="1" applyFill="1" applyBorder="1" applyAlignment="1" applyProtection="1">
      <alignment horizontal="left" wrapText="1" indent="1"/>
      <protection locked="0"/>
    </xf>
    <xf numFmtId="0" fontId="77" fillId="4" borderId="0" xfId="0" applyFont="1" applyFill="1" applyBorder="1" applyAlignment="1">
      <alignment wrapText="1"/>
    </xf>
    <xf numFmtId="0" fontId="11" fillId="4" borderId="0" xfId="0" applyFont="1" applyFill="1" applyBorder="1"/>
    <xf numFmtId="167" fontId="0" fillId="4" borderId="0" xfId="0" applyNumberFormat="1" applyFill="1" applyAlignment="1">
      <alignment horizontal="right"/>
    </xf>
    <xf numFmtId="0" fontId="78" fillId="4" borderId="4" xfId="0" applyFont="1" applyFill="1" applyBorder="1" applyAlignment="1">
      <alignment horizontal="left" wrapText="1"/>
    </xf>
    <xf numFmtId="0" fontId="0" fillId="4" borderId="0" xfId="0" applyFont="1" applyFill="1"/>
    <xf numFmtId="0" fontId="8" fillId="4" borderId="0" xfId="0" applyFont="1" applyFill="1" applyBorder="1" applyAlignment="1">
      <alignment horizontal="left" indent="1"/>
    </xf>
    <xf numFmtId="0" fontId="12" fillId="4" borderId="0" xfId="0" applyFont="1" applyFill="1" applyProtection="1">
      <protection locked="0"/>
    </xf>
    <xf numFmtId="0" fontId="9" fillId="4" borderId="0" xfId="0" applyFont="1" applyFill="1" applyAlignment="1" applyProtection="1">
      <protection locked="0"/>
    </xf>
    <xf numFmtId="1" fontId="12" fillId="4" borderId="0" xfId="0" applyNumberFormat="1" applyFont="1" applyFill="1" applyProtection="1">
      <protection locked="0"/>
    </xf>
    <xf numFmtId="0" fontId="81" fillId="4" borderId="0" xfId="0" applyFont="1" applyFill="1" applyProtection="1">
      <protection locked="0"/>
    </xf>
    <xf numFmtId="0" fontId="38" fillId="7" borderId="17" xfId="0" applyNumberFormat="1" applyFont="1" applyFill="1" applyBorder="1" applyAlignment="1">
      <alignment wrapText="1"/>
    </xf>
    <xf numFmtId="1" fontId="38" fillId="7" borderId="17" xfId="0" applyNumberFormat="1" applyFont="1" applyFill="1" applyBorder="1" applyAlignment="1">
      <alignment wrapText="1"/>
    </xf>
    <xf numFmtId="0" fontId="52" fillId="4" borderId="0" xfId="0" applyFont="1" applyFill="1" applyProtection="1">
      <protection locked="0"/>
    </xf>
    <xf numFmtId="0" fontId="52" fillId="4" borderId="0" xfId="0" applyFont="1" applyFill="1" applyAlignment="1" applyProtection="1">
      <protection locked="0"/>
    </xf>
    <xf numFmtId="1" fontId="52" fillId="4" borderId="0" xfId="0" applyNumberFormat="1" applyFont="1" applyFill="1" applyProtection="1">
      <protection locked="0"/>
    </xf>
    <xf numFmtId="0" fontId="87" fillId="4" borderId="0" xfId="0" applyNumberFormat="1" applyFont="1" applyFill="1" applyBorder="1" applyAlignment="1">
      <alignment wrapText="1"/>
    </xf>
    <xf numFmtId="0" fontId="88" fillId="4" borderId="0" xfId="0" applyNumberFormat="1" applyFont="1" applyFill="1" applyBorder="1" applyAlignment="1">
      <alignment wrapText="1"/>
    </xf>
    <xf numFmtId="1" fontId="89" fillId="4" borderId="0" xfId="0" applyNumberFormat="1" applyFont="1" applyFill="1" applyBorder="1" applyAlignment="1">
      <alignment wrapText="1"/>
    </xf>
    <xf numFmtId="0" fontId="88" fillId="4" borderId="0" xfId="0" applyFont="1" applyFill="1" applyProtection="1">
      <protection locked="0"/>
    </xf>
    <xf numFmtId="0" fontId="90" fillId="4" borderId="0" xfId="0" applyFont="1" applyFill="1" applyAlignment="1" applyProtection="1">
      <protection locked="0"/>
    </xf>
    <xf numFmtId="1" fontId="91" fillId="4" borderId="0" xfId="0" applyNumberFormat="1" applyFont="1" applyFill="1" applyProtection="1">
      <protection locked="0"/>
    </xf>
    <xf numFmtId="0" fontId="92" fillId="4" borderId="0" xfId="0" applyFont="1" applyFill="1" applyProtection="1">
      <protection locked="0"/>
    </xf>
    <xf numFmtId="0" fontId="84" fillId="4" borderId="13" xfId="0" applyNumberFormat="1" applyFont="1" applyFill="1" applyBorder="1" applyAlignment="1">
      <alignment horizontal="left" wrapText="1" indent="2"/>
    </xf>
    <xf numFmtId="44" fontId="0" fillId="4" borderId="0" xfId="2" applyFont="1" applyFill="1"/>
    <xf numFmtId="1" fontId="51" fillId="4" borderId="0" xfId="0" applyNumberFormat="1" applyFont="1" applyFill="1" applyProtection="1">
      <protection locked="0"/>
    </xf>
    <xf numFmtId="0" fontId="27" fillId="4" borderId="0" xfId="0" applyFont="1" applyFill="1" applyBorder="1" applyAlignment="1" applyProtection="1">
      <alignment wrapText="1"/>
      <protection locked="0"/>
    </xf>
    <xf numFmtId="0" fontId="42" fillId="4" borderId="0" xfId="0" applyFont="1" applyFill="1" applyBorder="1" applyAlignment="1" applyProtection="1">
      <alignment wrapText="1"/>
      <protection locked="0"/>
    </xf>
    <xf numFmtId="0" fontId="43" fillId="4" borderId="0" xfId="0" applyFont="1" applyFill="1" applyBorder="1" applyAlignment="1" applyProtection="1">
      <alignment wrapText="1"/>
      <protection locked="0"/>
    </xf>
    <xf numFmtId="0" fontId="48" fillId="4" borderId="0" xfId="0" applyFont="1" applyFill="1" applyBorder="1" applyAlignment="1" applyProtection="1">
      <alignment wrapText="1"/>
      <protection locked="0"/>
    </xf>
    <xf numFmtId="0" fontId="44" fillId="4" borderId="0" xfId="0" applyFont="1" applyFill="1" applyBorder="1" applyAlignment="1" applyProtection="1">
      <alignment wrapText="1"/>
      <protection locked="0"/>
    </xf>
    <xf numFmtId="1" fontId="44" fillId="4" borderId="0" xfId="0" applyNumberFormat="1" applyFont="1" applyFill="1" applyBorder="1" applyAlignment="1" applyProtection="1">
      <alignment horizontal="left" wrapText="1"/>
      <protection locked="0"/>
    </xf>
    <xf numFmtId="1" fontId="44" fillId="4" borderId="0" xfId="0" applyNumberFormat="1" applyFont="1" applyFill="1" applyBorder="1" applyAlignment="1" applyProtection="1">
      <alignment horizontal="left" wrapText="1" indent="1"/>
      <protection locked="0"/>
    </xf>
    <xf numFmtId="1" fontId="44" fillId="4" borderId="0" xfId="0" applyNumberFormat="1" applyFont="1" applyFill="1" applyBorder="1" applyAlignment="1" applyProtection="1">
      <alignment horizontal="left" wrapText="1" indent="2"/>
      <protection locked="0"/>
    </xf>
    <xf numFmtId="0" fontId="45" fillId="4" borderId="6" xfId="0" applyFont="1" applyFill="1" applyBorder="1" applyAlignment="1" applyProtection="1">
      <alignment wrapText="1"/>
      <protection locked="0"/>
    </xf>
    <xf numFmtId="0" fontId="45" fillId="4" borderId="4" xfId="0" applyFont="1" applyFill="1" applyBorder="1" applyAlignment="1" applyProtection="1">
      <alignment horizontal="left" wrapText="1"/>
      <protection locked="0"/>
    </xf>
    <xf numFmtId="0" fontId="11" fillId="4" borderId="0" xfId="0" applyFont="1" applyFill="1" applyBorder="1" applyAlignment="1" applyProtection="1">
      <alignment wrapText="1"/>
      <protection locked="0"/>
    </xf>
    <xf numFmtId="0" fontId="57" fillId="4" borderId="0" xfId="0" applyFont="1" applyFill="1" applyBorder="1" applyAlignment="1" applyProtection="1">
      <alignment wrapText="1"/>
      <protection locked="0"/>
    </xf>
    <xf numFmtId="0" fontId="45" fillId="4" borderId="7" xfId="0" applyFont="1" applyFill="1" applyBorder="1" applyAlignment="1" applyProtection="1">
      <alignment wrapText="1"/>
      <protection locked="0"/>
    </xf>
    <xf numFmtId="0" fontId="30" fillId="4" borderId="0" xfId="0" applyFont="1" applyFill="1" applyBorder="1" applyAlignment="1" applyProtection="1">
      <alignment wrapText="1"/>
      <protection locked="0"/>
    </xf>
    <xf numFmtId="1" fontId="11" fillId="4" borderId="4" xfId="0" applyNumberFormat="1" applyFont="1" applyFill="1" applyBorder="1" applyAlignment="1" applyProtection="1">
      <alignment wrapText="1"/>
      <protection locked="0"/>
    </xf>
    <xf numFmtId="0" fontId="38" fillId="4" borderId="23" xfId="0" applyNumberFormat="1" applyFont="1" applyFill="1" applyBorder="1" applyAlignment="1">
      <alignment wrapText="1"/>
    </xf>
    <xf numFmtId="0" fontId="66" fillId="4" borderId="17" xfId="0" applyNumberFormat="1" applyFont="1" applyFill="1" applyBorder="1" applyAlignment="1">
      <alignment wrapText="1"/>
    </xf>
    <xf numFmtId="0" fontId="80" fillId="4" borderId="13" xfId="0" applyNumberFormat="1" applyFont="1" applyFill="1" applyBorder="1" applyAlignment="1">
      <alignment wrapText="1"/>
    </xf>
    <xf numFmtId="0" fontId="40" fillId="4" borderId="6" xfId="0" applyNumberFormat="1" applyFont="1" applyFill="1" applyBorder="1" applyAlignment="1">
      <alignment wrapText="1"/>
    </xf>
    <xf numFmtId="1" fontId="50" fillId="4" borderId="18" xfId="0" applyNumberFormat="1" applyFont="1" applyFill="1" applyBorder="1" applyAlignment="1">
      <alignment wrapText="1"/>
    </xf>
    <xf numFmtId="0" fontId="69" fillId="4" borderId="17" xfId="0" applyNumberFormat="1" applyFont="1" applyFill="1" applyBorder="1" applyAlignment="1">
      <alignment wrapText="1"/>
    </xf>
    <xf numFmtId="0" fontId="39" fillId="4" borderId="13" xfId="0" applyNumberFormat="1" applyFont="1" applyFill="1" applyBorder="1" applyAlignment="1">
      <alignment horizontal="left" wrapText="1"/>
    </xf>
    <xf numFmtId="0" fontId="38" fillId="4" borderId="15" xfId="0" applyNumberFormat="1" applyFont="1" applyFill="1" applyBorder="1" applyAlignment="1">
      <alignment wrapText="1"/>
    </xf>
    <xf numFmtId="0" fontId="70" fillId="4" borderId="0" xfId="0" applyFont="1" applyFill="1" applyBorder="1" applyAlignment="1" applyProtection="1">
      <alignment wrapText="1"/>
      <protection locked="0"/>
    </xf>
    <xf numFmtId="0" fontId="51" fillId="4" borderId="0" xfId="0" applyFont="1" applyFill="1" applyBorder="1" applyAlignment="1" applyProtection="1">
      <alignment wrapText="1"/>
      <protection locked="0"/>
    </xf>
    <xf numFmtId="0" fontId="71" fillId="4" borderId="0" xfId="0" applyFont="1" applyFill="1" applyBorder="1" applyAlignment="1" applyProtection="1">
      <alignment horizontal="left" wrapText="1" indent="2"/>
      <protection locked="0"/>
    </xf>
    <xf numFmtId="0" fontId="50" fillId="4" borderId="13" xfId="0" applyNumberFormat="1" applyFont="1" applyFill="1" applyBorder="1" applyAlignment="1">
      <alignment horizontal="left" wrapText="1" indent="2"/>
    </xf>
    <xf numFmtId="0" fontId="50" fillId="4" borderId="13" xfId="0" applyNumberFormat="1" applyFont="1" applyFill="1" applyBorder="1" applyAlignment="1">
      <alignment horizontal="left" wrapText="1" indent="1"/>
    </xf>
    <xf numFmtId="0" fontId="50" fillId="4" borderId="23" xfId="0" applyNumberFormat="1" applyFont="1" applyFill="1" applyBorder="1" applyAlignment="1">
      <alignment horizontal="left" wrapText="1" indent="1"/>
    </xf>
    <xf numFmtId="0" fontId="83" fillId="7" borderId="17" xfId="0" applyNumberFormat="1" applyFont="1" applyFill="1" applyBorder="1" applyAlignment="1">
      <alignment wrapText="1"/>
    </xf>
    <xf numFmtId="0" fontId="38" fillId="4" borderId="13" xfId="0" applyNumberFormat="1" applyFont="1" applyFill="1" applyBorder="1" applyAlignment="1">
      <alignment horizontal="left" wrapText="1" indent="1"/>
    </xf>
    <xf numFmtId="0" fontId="40" fillId="4" borderId="13" xfId="0" applyNumberFormat="1" applyFont="1" applyFill="1" applyBorder="1" applyAlignment="1">
      <alignment horizontal="left" wrapText="1" indent="1"/>
    </xf>
    <xf numFmtId="0" fontId="40" fillId="4" borderId="23" xfId="0" applyNumberFormat="1" applyFont="1" applyFill="1" applyBorder="1" applyAlignment="1">
      <alignment horizontal="left" wrapText="1" indent="1"/>
    </xf>
    <xf numFmtId="0" fontId="96" fillId="4" borderId="0" xfId="0" applyFont="1" applyFill="1" applyBorder="1" applyAlignment="1" applyProtection="1">
      <alignment wrapText="1"/>
      <protection locked="0"/>
    </xf>
    <xf numFmtId="1" fontId="52" fillId="4" borderId="0" xfId="0" applyNumberFormat="1" applyFont="1" applyFill="1" applyBorder="1" applyAlignment="1" applyProtection="1">
      <alignment wrapText="1"/>
      <protection locked="0"/>
    </xf>
    <xf numFmtId="0" fontId="86" fillId="4" borderId="0" xfId="0" applyNumberFormat="1" applyFont="1" applyFill="1" applyBorder="1" applyAlignment="1">
      <alignment wrapText="1"/>
    </xf>
    <xf numFmtId="0" fontId="86" fillId="4" borderId="6" xfId="0" applyNumberFormat="1" applyFont="1" applyFill="1" applyBorder="1" applyAlignment="1">
      <alignment wrapText="1"/>
    </xf>
    <xf numFmtId="0" fontId="99" fillId="4" borderId="0" xfId="0" applyFont="1" applyFill="1"/>
    <xf numFmtId="0" fontId="91" fillId="4" borderId="0" xfId="0" applyFont="1" applyFill="1" applyProtection="1">
      <protection locked="0"/>
    </xf>
    <xf numFmtId="164" fontId="0" fillId="4" borderId="0" xfId="0" applyNumberFormat="1" applyFill="1"/>
    <xf numFmtId="3" fontId="44" fillId="4" borderId="0" xfId="0" applyNumberFormat="1" applyFont="1" applyFill="1" applyProtection="1">
      <protection locked="0"/>
    </xf>
    <xf numFmtId="49" fontId="8" fillId="4" borderId="0" xfId="0" applyNumberFormat="1" applyFont="1" applyFill="1" applyBorder="1"/>
    <xf numFmtId="49" fontId="0" fillId="4" borderId="0" xfId="0" applyNumberFormat="1" applyFill="1" applyBorder="1"/>
    <xf numFmtId="0" fontId="0" fillId="4" borderId="0" xfId="0" applyNumberFormat="1" applyFill="1" applyBorder="1" applyAlignment="1">
      <alignment horizontal="right"/>
    </xf>
    <xf numFmtId="0" fontId="101" fillId="4" borderId="0" xfId="0" applyFont="1" applyFill="1" applyBorder="1" applyAlignment="1">
      <alignment wrapText="1"/>
    </xf>
    <xf numFmtId="0" fontId="102" fillId="4" borderId="0" xfId="0" applyFont="1" applyFill="1" applyBorder="1"/>
    <xf numFmtId="0" fontId="103" fillId="4" borderId="0" xfId="0" applyFont="1" applyFill="1" applyBorder="1" applyAlignment="1">
      <alignment wrapText="1"/>
    </xf>
    <xf numFmtId="49" fontId="8" fillId="4" borderId="0" xfId="0" applyNumberFormat="1" applyFont="1" applyFill="1" applyAlignment="1">
      <alignment wrapText="1"/>
    </xf>
    <xf numFmtId="49" fontId="0" fillId="4" borderId="0" xfId="0" applyNumberFormat="1" applyFill="1" applyAlignment="1">
      <alignment wrapText="1"/>
    </xf>
    <xf numFmtId="0" fontId="0" fillId="4" borderId="0" xfId="0" applyNumberFormat="1" applyFill="1" applyAlignment="1">
      <alignment horizontal="right" wrapText="1"/>
    </xf>
    <xf numFmtId="3" fontId="0" fillId="4" borderId="21" xfId="0" applyNumberFormat="1" applyFill="1" applyBorder="1" applyAlignment="1">
      <alignment horizontal="center" vertical="center" wrapText="1"/>
    </xf>
    <xf numFmtId="3" fontId="0" fillId="4" borderId="0" xfId="0" applyNumberFormat="1" applyFill="1" applyBorder="1" applyAlignment="1">
      <alignment horizontal="center" vertical="center" wrapText="1"/>
    </xf>
    <xf numFmtId="3" fontId="0" fillId="4" borderId="12" xfId="0" applyNumberFormat="1" applyFill="1" applyBorder="1" applyAlignment="1">
      <alignment horizontal="center" vertical="center" wrapText="1"/>
    </xf>
    <xf numFmtId="1" fontId="63" fillId="4" borderId="0" xfId="0" applyNumberFormat="1" applyFont="1" applyFill="1" applyBorder="1" applyAlignment="1" applyProtection="1">
      <alignment horizontal="left" wrapText="1" indent="1"/>
      <protection locked="0"/>
    </xf>
    <xf numFmtId="0" fontId="104" fillId="4" borderId="0" xfId="0" applyFont="1" applyFill="1" applyBorder="1" applyAlignment="1" applyProtection="1">
      <alignment wrapText="1"/>
      <protection locked="0"/>
    </xf>
    <xf numFmtId="0" fontId="105" fillId="4" borderId="0" xfId="0" applyFont="1" applyFill="1" applyAlignment="1">
      <alignment wrapText="1"/>
    </xf>
    <xf numFmtId="1" fontId="0" fillId="4" borderId="6" xfId="0" applyNumberFormat="1" applyFill="1" applyBorder="1" applyAlignment="1">
      <alignment wrapText="1"/>
    </xf>
    <xf numFmtId="0" fontId="107" fillId="4" borderId="6" xfId="0" applyFont="1" applyFill="1" applyBorder="1" applyAlignment="1">
      <alignment wrapText="1"/>
    </xf>
    <xf numFmtId="0" fontId="58" fillId="4" borderId="0" xfId="0" applyFont="1" applyFill="1" applyBorder="1" applyAlignment="1">
      <alignment wrapText="1"/>
    </xf>
    <xf numFmtId="1" fontId="58" fillId="4" borderId="0" xfId="0" applyNumberFormat="1" applyFont="1" applyFill="1" applyBorder="1" applyAlignment="1">
      <alignment wrapText="1"/>
    </xf>
    <xf numFmtId="0" fontId="106" fillId="4" borderId="4" xfId="0" applyFont="1" applyFill="1" applyBorder="1" applyAlignment="1">
      <alignment horizontal="left" wrapText="1" indent="1"/>
    </xf>
    <xf numFmtId="1" fontId="0" fillId="4" borderId="4" xfId="0" applyNumberFormat="1" applyFill="1" applyBorder="1" applyAlignment="1">
      <alignment wrapText="1"/>
    </xf>
    <xf numFmtId="0" fontId="106" fillId="4" borderId="0" xfId="0" applyFont="1" applyFill="1" applyAlignment="1">
      <alignment horizontal="left" wrapText="1" indent="1"/>
    </xf>
    <xf numFmtId="1" fontId="0" fillId="4" borderId="0" xfId="0" applyNumberFormat="1" applyFill="1" applyAlignment="1">
      <alignment wrapText="1"/>
    </xf>
    <xf numFmtId="0" fontId="58" fillId="4" borderId="7" xfId="0" applyFont="1" applyFill="1" applyBorder="1" applyAlignment="1">
      <alignment wrapText="1"/>
    </xf>
    <xf numFmtId="1" fontId="58" fillId="4" borderId="7" xfId="0" applyNumberFormat="1" applyFont="1" applyFill="1" applyBorder="1" applyAlignment="1">
      <alignment wrapText="1"/>
    </xf>
    <xf numFmtId="0" fontId="71" fillId="4" borderId="0" xfId="0" applyFont="1" applyFill="1" applyBorder="1" applyAlignment="1" applyProtection="1">
      <alignment wrapText="1"/>
      <protection locked="0"/>
    </xf>
    <xf numFmtId="0" fontId="27" fillId="4" borderId="4" xfId="0" applyFont="1" applyFill="1" applyBorder="1" applyAlignment="1" applyProtection="1">
      <alignment wrapText="1"/>
      <protection locked="0"/>
    </xf>
    <xf numFmtId="0" fontId="0" fillId="4" borderId="28" xfId="0" applyFill="1" applyBorder="1"/>
    <xf numFmtId="0" fontId="0" fillId="4" borderId="29" xfId="0" applyFill="1" applyBorder="1"/>
    <xf numFmtId="0" fontId="0" fillId="4" borderId="30" xfId="0" applyFill="1" applyBorder="1"/>
    <xf numFmtId="0" fontId="0" fillId="4" borderId="31" xfId="0" applyFill="1" applyBorder="1"/>
    <xf numFmtId="0" fontId="94" fillId="4" borderId="0" xfId="0" applyFont="1" applyFill="1" applyBorder="1"/>
    <xf numFmtId="0" fontId="0" fillId="4" borderId="32" xfId="0" applyFill="1" applyBorder="1"/>
    <xf numFmtId="44" fontId="58" fillId="4" borderId="0" xfId="2" applyFont="1" applyFill="1" applyBorder="1"/>
    <xf numFmtId="44" fontId="0" fillId="4" borderId="31" xfId="2" applyFont="1" applyFill="1" applyBorder="1"/>
    <xf numFmtId="44" fontId="0" fillId="4" borderId="0" xfId="2" applyFont="1" applyFill="1" applyBorder="1"/>
    <xf numFmtId="44" fontId="0" fillId="4" borderId="32" xfId="2" applyFont="1" applyFill="1" applyBorder="1"/>
    <xf numFmtId="0" fontId="58" fillId="4" borderId="0" xfId="0" applyFont="1" applyFill="1" applyBorder="1"/>
    <xf numFmtId="0" fontId="0" fillId="4" borderId="33" xfId="0" applyFill="1" applyBorder="1"/>
    <xf numFmtId="0" fontId="0" fillId="4" borderId="34" xfId="0" applyFill="1" applyBorder="1"/>
    <xf numFmtId="0" fontId="0" fillId="4" borderId="35" xfId="0" applyFill="1" applyBorder="1"/>
    <xf numFmtId="44" fontId="58" fillId="4" borderId="0" xfId="2" applyFont="1" applyFill="1" applyBorder="1" applyAlignment="1"/>
    <xf numFmtId="0" fontId="80" fillId="4" borderId="17" xfId="0" applyNumberFormat="1" applyFont="1" applyFill="1" applyBorder="1" applyAlignment="1">
      <alignment wrapText="1"/>
    </xf>
    <xf numFmtId="0" fontId="28" fillId="4" borderId="0" xfId="0" quotePrefix="1" applyFont="1" applyFill="1" applyBorder="1" applyAlignment="1">
      <alignment horizontal="left" indent="1"/>
    </xf>
    <xf numFmtId="0" fontId="29" fillId="4" borderId="0" xfId="0" applyFont="1" applyFill="1"/>
    <xf numFmtId="0" fontId="28" fillId="4" borderId="0" xfId="0" applyFont="1" applyFill="1" applyBorder="1" applyAlignment="1">
      <alignment horizontal="left" indent="1"/>
    </xf>
    <xf numFmtId="0" fontId="0" fillId="4" borderId="7" xfId="0" applyFill="1" applyBorder="1" applyAlignment="1">
      <alignment horizontal="left" indent="1"/>
    </xf>
    <xf numFmtId="0" fontId="0" fillId="4" borderId="0" xfId="0" applyFill="1" applyAlignment="1">
      <alignment horizontal="right"/>
    </xf>
    <xf numFmtId="168" fontId="0" fillId="4" borderId="0" xfId="0" applyNumberFormat="1" applyFill="1"/>
    <xf numFmtId="0" fontId="108" fillId="7" borderId="0" xfId="0" applyFont="1" applyFill="1" applyAlignment="1">
      <alignment horizontal="right"/>
    </xf>
    <xf numFmtId="1" fontId="109" fillId="7" borderId="0" xfId="0" applyNumberFormat="1" applyFont="1" applyFill="1" applyAlignment="1">
      <alignment horizontal="right"/>
    </xf>
    <xf numFmtId="0" fontId="104" fillId="4" borderId="0" xfId="0" applyFont="1" applyFill="1" applyAlignment="1" applyProtection="1">
      <protection locked="0"/>
    </xf>
    <xf numFmtId="0" fontId="6" fillId="4" borderId="36" xfId="0" applyFont="1" applyFill="1" applyBorder="1" applyAlignment="1" applyProtection="1">
      <alignment wrapText="1"/>
      <protection locked="0"/>
    </xf>
    <xf numFmtId="0" fontId="112" fillId="4" borderId="37" xfId="1" applyFont="1" applyFill="1" applyBorder="1" applyAlignment="1" applyProtection="1">
      <alignment wrapText="1"/>
      <protection locked="0"/>
    </xf>
    <xf numFmtId="0" fontId="6" fillId="4" borderId="38" xfId="0" applyFont="1" applyFill="1" applyBorder="1" applyAlignment="1" applyProtection="1">
      <alignment wrapText="1"/>
      <protection locked="0"/>
    </xf>
    <xf numFmtId="0" fontId="84" fillId="4" borderId="23" xfId="0" applyNumberFormat="1" applyFont="1" applyFill="1" applyBorder="1" applyAlignment="1">
      <alignment horizontal="left" wrapText="1" indent="2"/>
    </xf>
    <xf numFmtId="0" fontId="45" fillId="4" borderId="6" xfId="0" applyFont="1" applyFill="1" applyBorder="1" applyAlignment="1" applyProtection="1">
      <alignment horizontal="left" wrapText="1"/>
      <protection locked="0"/>
    </xf>
    <xf numFmtId="0" fontId="76" fillId="4" borderId="26" xfId="0" applyFont="1" applyFill="1" applyBorder="1" applyProtection="1">
      <protection locked="0"/>
    </xf>
    <xf numFmtId="0" fontId="11" fillId="4" borderId="4" xfId="0" applyFont="1" applyFill="1" applyBorder="1" applyAlignment="1" applyProtection="1">
      <alignment wrapText="1"/>
      <protection locked="0"/>
    </xf>
    <xf numFmtId="0" fontId="42" fillId="4" borderId="0" xfId="0" applyFont="1" applyFill="1" applyAlignment="1">
      <alignment wrapText="1"/>
    </xf>
    <xf numFmtId="0" fontId="91" fillId="4" borderId="0" xfId="0" applyFont="1" applyFill="1" applyAlignment="1" applyProtection="1">
      <alignment wrapText="1"/>
      <protection locked="0"/>
    </xf>
    <xf numFmtId="0" fontId="44" fillId="4" borderId="39" xfId="0" applyFont="1" applyFill="1" applyBorder="1" applyAlignment="1" applyProtection="1">
      <alignment wrapText="1"/>
      <protection locked="0"/>
    </xf>
    <xf numFmtId="0" fontId="44" fillId="4" borderId="7" xfId="0" applyFont="1" applyFill="1" applyBorder="1" applyAlignment="1" applyProtection="1">
      <alignment wrapText="1"/>
      <protection locked="0"/>
    </xf>
    <xf numFmtId="0" fontId="11" fillId="4" borderId="6" xfId="0" applyFont="1" applyFill="1" applyBorder="1" applyAlignment="1" applyProtection="1">
      <alignment wrapText="1"/>
      <protection locked="0"/>
    </xf>
    <xf numFmtId="0" fontId="64" fillId="4" borderId="0" xfId="0" applyFont="1" applyFill="1" applyAlignment="1" applyProtection="1">
      <alignment wrapText="1"/>
      <protection locked="0"/>
    </xf>
    <xf numFmtId="0" fontId="51" fillId="4" borderId="7" xfId="0" applyFont="1" applyFill="1" applyBorder="1" applyAlignment="1" applyProtection="1">
      <alignment wrapText="1"/>
      <protection locked="0"/>
    </xf>
    <xf numFmtId="1" fontId="51" fillId="4" borderId="6" xfId="0" applyNumberFormat="1" applyFont="1" applyFill="1" applyBorder="1" applyAlignment="1" applyProtection="1">
      <alignment wrapText="1"/>
      <protection locked="0"/>
    </xf>
    <xf numFmtId="0" fontId="51" fillId="4" borderId="4" xfId="0" applyFont="1" applyFill="1" applyBorder="1" applyAlignment="1" applyProtection="1">
      <alignment wrapText="1"/>
      <protection locked="0"/>
    </xf>
    <xf numFmtId="0" fontId="48" fillId="4" borderId="4" xfId="0" applyFont="1" applyFill="1" applyBorder="1" applyAlignment="1" applyProtection="1">
      <alignment wrapText="1"/>
      <protection locked="0"/>
    </xf>
    <xf numFmtId="0" fontId="70" fillId="4" borderId="0" xfId="0" applyFont="1" applyFill="1" applyAlignment="1" applyProtection="1">
      <alignment wrapText="1"/>
      <protection locked="0"/>
    </xf>
    <xf numFmtId="0" fontId="47" fillId="4" borderId="7" xfId="0" applyFont="1" applyFill="1" applyBorder="1" applyAlignment="1" applyProtection="1">
      <alignment wrapText="1"/>
      <protection locked="0"/>
    </xf>
    <xf numFmtId="0" fontId="44" fillId="4" borderId="6" xfId="0" applyFont="1" applyFill="1" applyBorder="1" applyAlignment="1" applyProtection="1">
      <alignment wrapText="1"/>
      <protection locked="0"/>
    </xf>
    <xf numFmtId="0" fontId="72" fillId="4" borderId="0" xfId="0" applyFont="1" applyFill="1" applyBorder="1" applyAlignment="1" applyProtection="1">
      <alignment wrapText="1"/>
      <protection locked="0"/>
    </xf>
    <xf numFmtId="0" fontId="44" fillId="4" borderId="4" xfId="0" applyFont="1" applyFill="1" applyBorder="1" applyAlignment="1" applyProtection="1">
      <alignment wrapText="1"/>
      <protection locked="0"/>
    </xf>
    <xf numFmtId="0" fontId="12" fillId="4" borderId="0" xfId="0" applyFont="1" applyFill="1" applyAlignment="1" applyProtection="1">
      <alignment wrapText="1"/>
      <protection locked="0"/>
    </xf>
    <xf numFmtId="0" fontId="52" fillId="4" borderId="0" xfId="0" applyFont="1" applyFill="1" applyAlignment="1" applyProtection="1">
      <alignment wrapText="1"/>
      <protection locked="0"/>
    </xf>
    <xf numFmtId="0" fontId="88" fillId="4" borderId="0" xfId="0" applyFont="1" applyFill="1" applyAlignment="1" applyProtection="1">
      <alignment wrapText="1"/>
      <protection locked="0"/>
    </xf>
    <xf numFmtId="170" fontId="39" fillId="2" borderId="13" xfId="0" applyNumberFormat="1" applyFont="1" applyFill="1" applyBorder="1" applyAlignment="1">
      <alignment wrapText="1"/>
    </xf>
    <xf numFmtId="0" fontId="0" fillId="4" borderId="40" xfId="0" applyFill="1" applyBorder="1"/>
    <xf numFmtId="0" fontId="0" fillId="4" borderId="41" xfId="0" applyFill="1" applyBorder="1"/>
    <xf numFmtId="0" fontId="0" fillId="4" borderId="42" xfId="0" applyFill="1" applyBorder="1"/>
    <xf numFmtId="0" fontId="0" fillId="4" borderId="43" xfId="0" applyFill="1" applyBorder="1"/>
    <xf numFmtId="0" fontId="0" fillId="4" borderId="44" xfId="0" applyFill="1" applyBorder="1"/>
    <xf numFmtId="0" fontId="0" fillId="3" borderId="6" xfId="0" applyFill="1" applyBorder="1" applyAlignment="1">
      <alignment wrapText="1"/>
    </xf>
    <xf numFmtId="0" fontId="10" fillId="3" borderId="4" xfId="0" applyFont="1" applyFill="1" applyBorder="1" applyAlignment="1">
      <alignment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8" fillId="4" borderId="0" xfId="0" applyFont="1" applyFill="1" applyAlignment="1">
      <alignment horizontal="left" wrapText="1"/>
    </xf>
    <xf numFmtId="0" fontId="0" fillId="5" borderId="0" xfId="0" applyFill="1" applyBorder="1" applyAlignment="1">
      <alignment wrapText="1"/>
    </xf>
    <xf numFmtId="0" fontId="9" fillId="3" borderId="0" xfId="0" applyFont="1" applyFill="1" applyAlignment="1">
      <alignment horizontal="center" wrapText="1"/>
    </xf>
    <xf numFmtId="164" fontId="9" fillId="3" borderId="11" xfId="0" applyNumberFormat="1" applyFont="1" applyFill="1" applyBorder="1" applyAlignment="1">
      <alignment vertical="center" wrapText="1"/>
    </xf>
    <xf numFmtId="164" fontId="9" fillId="3" borderId="0" xfId="0" applyNumberFormat="1" applyFont="1" applyFill="1" applyBorder="1" applyAlignment="1">
      <alignment vertical="center" wrapText="1"/>
    </xf>
    <xf numFmtId="0" fontId="9" fillId="4" borderId="0" xfId="0" applyFont="1" applyFill="1" applyAlignment="1">
      <alignment wrapText="1"/>
    </xf>
    <xf numFmtId="164" fontId="9" fillId="4" borderId="11" xfId="0" applyNumberFormat="1" applyFont="1" applyFill="1" applyBorder="1" applyAlignment="1">
      <alignment vertical="center" wrapText="1"/>
    </xf>
    <xf numFmtId="164" fontId="9" fillId="4" borderId="0" xfId="0" applyNumberFormat="1" applyFont="1" applyFill="1" applyBorder="1" applyAlignment="1">
      <alignment vertical="center" wrapText="1"/>
    </xf>
    <xf numFmtId="0" fontId="9" fillId="3" borderId="0" xfId="0" applyFont="1" applyFill="1" applyBorder="1" applyAlignment="1">
      <alignment horizontal="center" wrapText="1"/>
    </xf>
    <xf numFmtId="0" fontId="9" fillId="3" borderId="11" xfId="0" applyFont="1" applyFill="1" applyBorder="1" applyAlignment="1">
      <alignment vertical="center" wrapText="1"/>
    </xf>
    <xf numFmtId="0" fontId="9" fillId="3" borderId="0" xfId="0" applyFont="1" applyFill="1" applyBorder="1" applyAlignment="1">
      <alignment vertical="center" wrapText="1"/>
    </xf>
    <xf numFmtId="0" fontId="8" fillId="4" borderId="11" xfId="0" applyFont="1" applyFill="1" applyBorder="1" applyAlignment="1">
      <alignment wrapText="1"/>
    </xf>
    <xf numFmtId="167" fontId="8" fillId="4" borderId="0" xfId="0" applyNumberFormat="1" applyFont="1" applyFill="1" applyBorder="1" applyAlignment="1">
      <alignment wrapText="1"/>
    </xf>
    <xf numFmtId="0" fontId="9" fillId="3" borderId="11" xfId="0" applyFont="1" applyFill="1" applyBorder="1" applyAlignment="1">
      <alignment wrapText="1"/>
    </xf>
    <xf numFmtId="0" fontId="9" fillId="3" borderId="0" xfId="0" applyFont="1" applyFill="1" applyBorder="1" applyAlignment="1">
      <alignment wrapText="1"/>
    </xf>
    <xf numFmtId="0" fontId="9" fillId="3" borderId="11" xfId="0" applyFont="1" applyFill="1" applyBorder="1" applyAlignment="1">
      <alignment horizontal="left" wrapText="1"/>
    </xf>
    <xf numFmtId="0" fontId="9" fillId="3" borderId="0" xfId="0" applyFont="1" applyFill="1" applyBorder="1" applyAlignment="1">
      <alignment horizontal="left" wrapText="1"/>
    </xf>
    <xf numFmtId="0" fontId="8" fillId="0" borderId="0" xfId="0" applyFont="1" applyFill="1" applyAlignment="1">
      <alignment horizontal="left" wrapText="1"/>
    </xf>
    <xf numFmtId="0" fontId="8" fillId="0" borderId="0" xfId="0" applyFont="1" applyFill="1" applyBorder="1" applyAlignment="1">
      <alignment horizontal="left" wrapText="1"/>
    </xf>
    <xf numFmtId="2" fontId="8" fillId="4" borderId="0" xfId="0" applyNumberFormat="1" applyFont="1" applyFill="1" applyAlignment="1">
      <alignment horizontal="left" wrapText="1"/>
    </xf>
    <xf numFmtId="0" fontId="8" fillId="4" borderId="4" xfId="0" applyFont="1" applyFill="1" applyBorder="1" applyAlignment="1">
      <alignment horizontal="left" wrapText="1"/>
    </xf>
    <xf numFmtId="3" fontId="100" fillId="4" borderId="0" xfId="0" applyNumberFormat="1" applyFont="1" applyFill="1" applyBorder="1" applyAlignment="1">
      <alignment horizontal="right" vertical="center" wrapText="1"/>
    </xf>
    <xf numFmtId="164" fontId="0" fillId="4" borderId="0" xfId="0" applyNumberFormat="1" applyFill="1" applyBorder="1" applyAlignment="1">
      <alignment horizontal="right" vertical="center" wrapText="1"/>
    </xf>
    <xf numFmtId="0" fontId="0" fillId="4" borderId="0" xfId="0" applyFill="1" applyBorder="1" applyAlignment="1">
      <alignment vertical="center" wrapText="1"/>
    </xf>
    <xf numFmtId="164" fontId="0" fillId="4" borderId="0" xfId="0" applyNumberFormat="1" applyFill="1" applyBorder="1" applyAlignment="1">
      <alignment vertical="center" wrapText="1"/>
    </xf>
    <xf numFmtId="1" fontId="0" fillId="4" borderId="0" xfId="0" applyNumberFormat="1" applyFill="1" applyBorder="1" applyAlignment="1">
      <alignment horizontal="right" wrapText="1"/>
    </xf>
    <xf numFmtId="0" fontId="78" fillId="4" borderId="4" xfId="0" applyFont="1" applyFill="1" applyBorder="1" applyAlignment="1">
      <alignment wrapText="1"/>
    </xf>
    <xf numFmtId="0" fontId="0" fillId="5" borderId="0" xfId="0" applyFill="1" applyBorder="1" applyAlignment="1">
      <alignment horizontal="center" vertical="center" wrapText="1"/>
    </xf>
    <xf numFmtId="1" fontId="8" fillId="4" borderId="0" xfId="0" applyNumberFormat="1" applyFont="1" applyFill="1" applyBorder="1" applyAlignment="1">
      <alignment wrapText="1"/>
    </xf>
    <xf numFmtId="1" fontId="6" fillId="4" borderId="0" xfId="0" applyNumberFormat="1" applyFont="1" applyFill="1" applyBorder="1" applyAlignment="1">
      <alignment wrapText="1"/>
    </xf>
    <xf numFmtId="10" fontId="0" fillId="4" borderId="0" xfId="0" applyNumberFormat="1" applyFill="1" applyBorder="1" applyAlignment="1">
      <alignment wrapText="1"/>
    </xf>
    <xf numFmtId="0" fontId="6" fillId="5" borderId="0" xfId="0" applyFont="1" applyFill="1" applyBorder="1" applyAlignment="1">
      <alignment wrapText="1"/>
    </xf>
    <xf numFmtId="1" fontId="8" fillId="5" borderId="0" xfId="0" applyNumberFormat="1" applyFont="1" applyFill="1" applyBorder="1" applyAlignment="1">
      <alignment wrapText="1"/>
    </xf>
    <xf numFmtId="2" fontId="6" fillId="4" borderId="0" xfId="0" applyNumberFormat="1" applyFont="1" applyFill="1" applyBorder="1" applyAlignment="1">
      <alignment wrapText="1"/>
    </xf>
    <xf numFmtId="2" fontId="8" fillId="5" borderId="0" xfId="0" applyNumberFormat="1" applyFont="1" applyFill="1" applyBorder="1" applyAlignment="1">
      <alignment wrapText="1"/>
    </xf>
    <xf numFmtId="2" fontId="8" fillId="4" borderId="0" xfId="0" applyNumberFormat="1" applyFont="1" applyFill="1" applyBorder="1" applyAlignment="1">
      <alignment wrapText="1"/>
    </xf>
    <xf numFmtId="0" fontId="25" fillId="4" borderId="0" xfId="0" applyFont="1" applyFill="1" applyBorder="1" applyAlignment="1">
      <alignment horizontal="center" wrapText="1"/>
    </xf>
    <xf numFmtId="169" fontId="25" fillId="4" borderId="0" xfId="0" applyNumberFormat="1" applyFont="1" applyFill="1" applyBorder="1" applyAlignment="1">
      <alignment horizontal="right" wrapText="1"/>
    </xf>
    <xf numFmtId="0" fontId="97" fillId="4" borderId="0" xfId="0" applyFont="1" applyFill="1" applyBorder="1" applyAlignment="1">
      <alignment horizontal="left" wrapText="1" readingOrder="1"/>
    </xf>
    <xf numFmtId="0" fontId="98" fillId="4" borderId="0" xfId="0" applyFont="1" applyFill="1" applyBorder="1" applyAlignment="1">
      <alignment wrapText="1"/>
    </xf>
    <xf numFmtId="0" fontId="0" fillId="8" borderId="9" xfId="0" applyFill="1" applyBorder="1"/>
    <xf numFmtId="0" fontId="0" fillId="8" borderId="11" xfId="0" applyFill="1" applyBorder="1" applyAlignment="1">
      <alignment horizontal="center"/>
    </xf>
    <xf numFmtId="0" fontId="0" fillId="8" borderId="0" xfId="0" applyFill="1" applyBorder="1" applyAlignment="1">
      <alignment horizontal="center"/>
    </xf>
    <xf numFmtId="0" fontId="0" fillId="8" borderId="12" xfId="0" applyFill="1"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8" borderId="6" xfId="0" applyFill="1" applyBorder="1"/>
    <xf numFmtId="0" fontId="8" fillId="8" borderId="4" xfId="0" applyFont="1" applyFill="1" applyBorder="1" applyAlignment="1">
      <alignment horizontal="left" inden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3" fontId="0" fillId="4" borderId="0" xfId="0" applyNumberFormat="1" applyFill="1"/>
    <xf numFmtId="0" fontId="0" fillId="4" borderId="9" xfId="0" applyFill="1" applyBorder="1" applyAlignment="1">
      <alignment horizontal="center"/>
    </xf>
    <xf numFmtId="0" fontId="0" fillId="4" borderId="11" xfId="0" applyFill="1" applyBorder="1" applyAlignment="1">
      <alignment horizontal="center"/>
    </xf>
    <xf numFmtId="0" fontId="0" fillId="4" borderId="3"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26" fillId="2" borderId="6" xfId="0" quotePrefix="1" applyFont="1" applyFill="1" applyBorder="1" applyAlignment="1">
      <alignment horizontal="left"/>
    </xf>
    <xf numFmtId="169" fontId="25" fillId="2" borderId="6" xfId="0" applyNumberFormat="1" applyFont="1" applyFill="1" applyBorder="1" applyAlignment="1">
      <alignment horizontal="right"/>
    </xf>
    <xf numFmtId="0" fontId="26" fillId="2" borderId="0" xfId="0" quotePrefix="1" applyFont="1" applyFill="1" applyBorder="1" applyAlignment="1">
      <alignment horizontal="left"/>
    </xf>
    <xf numFmtId="169" fontId="25" fillId="2" borderId="0" xfId="0" applyNumberFormat="1" applyFont="1" applyFill="1" applyBorder="1" applyAlignment="1">
      <alignment horizontal="right"/>
    </xf>
    <xf numFmtId="0" fontId="26" fillId="2" borderId="4" xfId="0" quotePrefix="1" applyFont="1" applyFill="1" applyBorder="1" applyAlignment="1">
      <alignment horizontal="left"/>
    </xf>
    <xf numFmtId="169" fontId="25" fillId="2" borderId="4" xfId="0" applyNumberFormat="1" applyFont="1" applyFill="1" applyBorder="1" applyAlignment="1">
      <alignment horizontal="right"/>
    </xf>
    <xf numFmtId="0" fontId="113" fillId="4" borderId="0" xfId="0" applyFont="1" applyFill="1"/>
    <xf numFmtId="0" fontId="114" fillId="4" borderId="0" xfId="0" applyFont="1" applyFill="1"/>
    <xf numFmtId="0" fontId="115" fillId="4" borderId="0" xfId="0" applyFont="1" applyFill="1"/>
    <xf numFmtId="0" fontId="116" fillId="4" borderId="0" xfId="0" applyFont="1" applyFill="1"/>
    <xf numFmtId="49" fontId="0" fillId="4" borderId="0" xfId="0" applyNumberFormat="1" applyFill="1" applyBorder="1" applyAlignment="1">
      <alignment horizontal="left" indent="1"/>
    </xf>
    <xf numFmtId="164" fontId="0" fillId="2" borderId="0" xfId="0" applyNumberFormat="1" applyFill="1" applyBorder="1"/>
    <xf numFmtId="164" fontId="0" fillId="2" borderId="4" xfId="0" applyNumberFormat="1" applyFill="1" applyBorder="1"/>
    <xf numFmtId="1" fontId="0" fillId="2" borderId="9" xfId="0" applyNumberFormat="1" applyFill="1" applyBorder="1"/>
    <xf numFmtId="1" fontId="0" fillId="2" borderId="6" xfId="0" applyNumberFormat="1" applyFill="1" applyBorder="1"/>
    <xf numFmtId="1" fontId="0" fillId="2" borderId="11" xfId="0" applyNumberFormat="1" applyFill="1" applyBorder="1"/>
    <xf numFmtId="1" fontId="0" fillId="2" borderId="0" xfId="0" applyNumberFormat="1" applyFill="1" applyBorder="1"/>
    <xf numFmtId="1" fontId="0" fillId="2" borderId="3" xfId="0" applyNumberFormat="1" applyFill="1" applyBorder="1"/>
    <xf numFmtId="1" fontId="0" fillId="2" borderId="4" xfId="0" applyNumberFormat="1" applyFill="1" applyBorder="1"/>
    <xf numFmtId="1" fontId="0" fillId="2" borderId="10" xfId="0" applyNumberFormat="1" applyFill="1" applyBorder="1"/>
    <xf numFmtId="1" fontId="0" fillId="2" borderId="12" xfId="0" applyNumberFormat="1" applyFill="1" applyBorder="1"/>
    <xf numFmtId="1" fontId="0" fillId="2" borderId="5" xfId="0" applyNumberFormat="1" applyFill="1" applyBorder="1"/>
    <xf numFmtId="0" fontId="117" fillId="4" borderId="9" xfId="0" applyFont="1" applyFill="1" applyBorder="1" applyAlignment="1">
      <alignment vertical="center" wrapText="1"/>
    </xf>
    <xf numFmtId="0" fontId="117" fillId="4" borderId="6" xfId="0" applyFont="1" applyFill="1" applyBorder="1" applyAlignment="1">
      <alignment vertical="center" wrapText="1"/>
    </xf>
    <xf numFmtId="0" fontId="117" fillId="4" borderId="10" xfId="0" applyFont="1" applyFill="1" applyBorder="1" applyAlignment="1">
      <alignment vertical="center" wrapText="1"/>
    </xf>
    <xf numFmtId="0" fontId="117" fillId="4" borderId="9" xfId="0" applyFont="1" applyFill="1" applyBorder="1" applyAlignment="1">
      <alignment wrapText="1"/>
    </xf>
    <xf numFmtId="0" fontId="117" fillId="4" borderId="6" xfId="0" applyFont="1" applyFill="1" applyBorder="1" applyAlignment="1">
      <alignment wrapText="1"/>
    </xf>
    <xf numFmtId="0" fontId="117" fillId="4" borderId="10" xfId="0" applyFont="1" applyFill="1" applyBorder="1" applyAlignment="1">
      <alignment wrapText="1"/>
    </xf>
    <xf numFmtId="0" fontId="117" fillId="4" borderId="0" xfId="0" applyFont="1" applyFill="1" applyAlignment="1">
      <alignment wrapText="1"/>
    </xf>
    <xf numFmtId="164" fontId="117" fillId="4" borderId="11" xfId="0" applyNumberFormat="1" applyFont="1" applyFill="1" applyBorder="1" applyAlignment="1">
      <alignment vertical="center" wrapText="1"/>
    </xf>
    <xf numFmtId="164" fontId="117" fillId="4" borderId="0" xfId="0" applyNumberFormat="1" applyFont="1" applyFill="1" applyBorder="1" applyAlignment="1">
      <alignment vertical="center" wrapText="1"/>
    </xf>
    <xf numFmtId="164" fontId="117" fillId="4" borderId="12" xfId="0" applyNumberFormat="1" applyFont="1" applyFill="1" applyBorder="1" applyAlignment="1">
      <alignment vertical="center" wrapText="1"/>
    </xf>
    <xf numFmtId="0" fontId="117" fillId="4" borderId="11" xfId="0" applyFont="1" applyFill="1" applyBorder="1" applyAlignment="1">
      <alignment wrapText="1"/>
    </xf>
    <xf numFmtId="0" fontId="117" fillId="4" borderId="0" xfId="0" applyFont="1" applyFill="1" applyBorder="1" applyAlignment="1">
      <alignment wrapText="1"/>
    </xf>
    <xf numFmtId="0" fontId="117" fillId="4" borderId="12" xfId="0" applyFont="1" applyFill="1" applyBorder="1" applyAlignment="1">
      <alignment wrapText="1"/>
    </xf>
    <xf numFmtId="164" fontId="117" fillId="3" borderId="0" xfId="0" applyNumberFormat="1" applyFont="1" applyFill="1" applyBorder="1" applyAlignment="1">
      <alignment vertical="center" wrapText="1"/>
    </xf>
    <xf numFmtId="164" fontId="117" fillId="3" borderId="12" xfId="0" applyNumberFormat="1" applyFont="1" applyFill="1" applyBorder="1" applyAlignment="1">
      <alignment vertical="center" wrapText="1"/>
    </xf>
    <xf numFmtId="0" fontId="117" fillId="3" borderId="11" xfId="0" applyFont="1" applyFill="1" applyBorder="1" applyAlignment="1">
      <alignment wrapText="1"/>
    </xf>
    <xf numFmtId="0" fontId="117" fillId="3" borderId="0" xfId="0" applyFont="1" applyFill="1" applyBorder="1" applyAlignment="1">
      <alignment wrapText="1"/>
    </xf>
    <xf numFmtId="0" fontId="117" fillId="3" borderId="12" xfId="0" applyFont="1" applyFill="1" applyBorder="1" applyAlignment="1">
      <alignment wrapText="1"/>
    </xf>
    <xf numFmtId="0" fontId="5" fillId="4" borderId="0" xfId="0" applyFont="1" applyFill="1" applyAlignment="1">
      <alignment horizontal="left" wrapText="1"/>
    </xf>
    <xf numFmtId="0" fontId="117" fillId="3" borderId="0" xfId="0" applyFont="1" applyFill="1" applyBorder="1" applyAlignment="1">
      <alignment vertical="center" wrapText="1"/>
    </xf>
    <xf numFmtId="0" fontId="117" fillId="3" borderId="12" xfId="0" applyFont="1" applyFill="1" applyBorder="1" applyAlignment="1">
      <alignment vertical="center" wrapText="1"/>
    </xf>
    <xf numFmtId="0" fontId="117" fillId="4" borderId="11" xfId="0" applyFont="1" applyFill="1" applyBorder="1" applyAlignment="1">
      <alignment vertical="center" wrapText="1"/>
    </xf>
    <xf numFmtId="0" fontId="117" fillId="4" borderId="0" xfId="0" applyFont="1" applyFill="1" applyBorder="1" applyAlignment="1">
      <alignment vertical="center" wrapText="1"/>
    </xf>
    <xf numFmtId="0" fontId="117" fillId="4" borderId="12" xfId="0" applyFont="1" applyFill="1" applyBorder="1" applyAlignment="1">
      <alignment vertical="center" wrapText="1"/>
    </xf>
    <xf numFmtId="0" fontId="117" fillId="4" borderId="0" xfId="0" applyFont="1" applyFill="1" applyBorder="1" applyAlignment="1">
      <alignment horizontal="left" wrapText="1"/>
    </xf>
    <xf numFmtId="0" fontId="117" fillId="4" borderId="11" xfId="0" applyFont="1" applyFill="1" applyBorder="1" applyAlignment="1">
      <alignment horizontal="left" vertical="center" wrapText="1"/>
    </xf>
    <xf numFmtId="0" fontId="117" fillId="4" borderId="0" xfId="0" applyFont="1" applyFill="1" applyBorder="1" applyAlignment="1">
      <alignment horizontal="left" vertical="center" wrapText="1"/>
    </xf>
    <xf numFmtId="164" fontId="117" fillId="4" borderId="11" xfId="0" applyNumberFormat="1" applyFont="1" applyFill="1" applyBorder="1" applyAlignment="1">
      <alignment wrapText="1"/>
    </xf>
    <xf numFmtId="164" fontId="117" fillId="4" borderId="0" xfId="0" applyNumberFormat="1" applyFont="1" applyFill="1" applyBorder="1" applyAlignment="1">
      <alignment wrapText="1"/>
    </xf>
    <xf numFmtId="164" fontId="117" fillId="4" borderId="12" xfId="0" applyNumberFormat="1" applyFont="1" applyFill="1" applyBorder="1" applyAlignment="1">
      <alignment wrapText="1"/>
    </xf>
    <xf numFmtId="164" fontId="117" fillId="3" borderId="11" xfId="0" applyNumberFormat="1" applyFont="1" applyFill="1" applyBorder="1" applyAlignment="1">
      <alignment wrapText="1"/>
    </xf>
    <xf numFmtId="164" fontId="117" fillId="3" borderId="0" xfId="0" applyNumberFormat="1" applyFont="1" applyFill="1" applyBorder="1" applyAlignment="1">
      <alignment wrapText="1"/>
    </xf>
    <xf numFmtId="164" fontId="117" fillId="3" borderId="12" xfId="0" applyNumberFormat="1" applyFont="1" applyFill="1" applyBorder="1" applyAlignment="1">
      <alignment wrapText="1"/>
    </xf>
    <xf numFmtId="0" fontId="117" fillId="4" borderId="0" xfId="0" applyFont="1" applyFill="1" applyAlignment="1">
      <alignment horizontal="left" wrapText="1"/>
    </xf>
    <xf numFmtId="0" fontId="117" fillId="4" borderId="4" xfId="0" applyFont="1" applyFill="1" applyBorder="1" applyAlignment="1">
      <alignment horizontal="left" wrapText="1"/>
    </xf>
    <xf numFmtId="0" fontId="117" fillId="3" borderId="6" xfId="0" applyFont="1" applyFill="1" applyBorder="1" applyAlignment="1">
      <alignment wrapText="1"/>
    </xf>
    <xf numFmtId="0" fontId="117" fillId="3" borderId="3" xfId="0" applyFont="1" applyFill="1" applyBorder="1" applyAlignment="1">
      <alignment horizontal="center" vertical="center" wrapText="1"/>
    </xf>
    <xf numFmtId="0" fontId="117" fillId="3" borderId="4" xfId="0" applyFont="1" applyFill="1" applyBorder="1" applyAlignment="1">
      <alignment horizontal="center" vertical="center" wrapText="1"/>
    </xf>
    <xf numFmtId="0" fontId="117" fillId="3" borderId="5" xfId="0" applyFont="1" applyFill="1" applyBorder="1" applyAlignment="1">
      <alignment horizontal="center" vertical="center" wrapText="1"/>
    </xf>
    <xf numFmtId="0" fontId="117" fillId="4" borderId="11" xfId="0" applyFont="1" applyFill="1" applyBorder="1" applyAlignment="1">
      <alignment horizontal="left" wrapText="1"/>
    </xf>
    <xf numFmtId="3" fontId="117" fillId="4" borderId="0" xfId="0" applyNumberFormat="1" applyFont="1" applyFill="1" applyBorder="1" applyAlignment="1">
      <alignment wrapText="1"/>
    </xf>
    <xf numFmtId="3" fontId="117" fillId="4" borderId="12" xfId="0" applyNumberFormat="1" applyFont="1" applyFill="1" applyBorder="1" applyAlignment="1">
      <alignment wrapText="1"/>
    </xf>
    <xf numFmtId="3" fontId="117" fillId="4" borderId="11" xfId="0" applyNumberFormat="1" applyFont="1" applyFill="1" applyBorder="1" applyAlignment="1">
      <alignment wrapText="1"/>
    </xf>
    <xf numFmtId="3" fontId="5" fillId="4" borderId="11" xfId="0" applyNumberFormat="1" applyFont="1" applyFill="1" applyBorder="1" applyAlignment="1">
      <alignment wrapText="1"/>
    </xf>
    <xf numFmtId="3" fontId="5" fillId="4" borderId="0" xfId="0" applyNumberFormat="1" applyFont="1" applyFill="1" applyBorder="1" applyAlignment="1">
      <alignment wrapText="1"/>
    </xf>
    <xf numFmtId="3" fontId="5" fillId="4" borderId="12" xfId="0" applyNumberFormat="1" applyFont="1" applyFill="1" applyBorder="1" applyAlignment="1">
      <alignment wrapText="1"/>
    </xf>
    <xf numFmtId="0" fontId="5" fillId="4" borderId="0" xfId="0" applyFont="1" applyFill="1" applyBorder="1" applyAlignment="1">
      <alignment horizontal="left" wrapText="1"/>
    </xf>
    <xf numFmtId="0" fontId="5" fillId="4" borderId="11" xfId="0" applyFont="1" applyFill="1" applyBorder="1" applyAlignment="1">
      <alignment horizontal="left" vertical="center" wrapText="1"/>
    </xf>
    <xf numFmtId="0" fontId="5" fillId="4" borderId="0" xfId="0" applyFont="1" applyFill="1" applyBorder="1" applyAlignment="1">
      <alignment horizontal="left" vertical="center" wrapText="1"/>
    </xf>
    <xf numFmtId="164" fontId="5" fillId="4" borderId="0" xfId="0" applyNumberFormat="1" applyFont="1" applyFill="1" applyBorder="1" applyAlignment="1">
      <alignment vertical="center" wrapText="1"/>
    </xf>
    <xf numFmtId="164" fontId="5" fillId="4" borderId="12" xfId="0" applyNumberFormat="1" applyFont="1" applyFill="1" applyBorder="1" applyAlignment="1">
      <alignment vertical="center" wrapText="1"/>
    </xf>
    <xf numFmtId="164" fontId="5" fillId="4" borderId="11" xfId="0" applyNumberFormat="1" applyFont="1" applyFill="1" applyBorder="1" applyAlignment="1">
      <alignment wrapText="1"/>
    </xf>
    <xf numFmtId="164" fontId="5" fillId="4" borderId="0" xfId="0" applyNumberFormat="1" applyFont="1" applyFill="1" applyBorder="1" applyAlignment="1">
      <alignment wrapText="1"/>
    </xf>
    <xf numFmtId="164" fontId="5" fillId="4" borderId="12" xfId="0" applyNumberFormat="1" applyFont="1" applyFill="1" applyBorder="1" applyAlignment="1">
      <alignment wrapText="1"/>
    </xf>
    <xf numFmtId="0" fontId="8" fillId="3" borderId="4" xfId="0" applyFont="1" applyFill="1" applyBorder="1" applyAlignment="1">
      <alignment wrapText="1"/>
    </xf>
    <xf numFmtId="0" fontId="118" fillId="4" borderId="0" xfId="0" applyFont="1" applyFill="1" applyAlignment="1" applyProtection="1">
      <protection locked="0"/>
    </xf>
    <xf numFmtId="0" fontId="118" fillId="4" borderId="0" xfId="0" applyFont="1" applyFill="1" applyBorder="1" applyAlignment="1" applyProtection="1">
      <protection locked="0"/>
    </xf>
    <xf numFmtId="0" fontId="119" fillId="4" borderId="0" xfId="0" applyFont="1" applyFill="1" applyAlignment="1" applyProtection="1">
      <protection locked="0"/>
    </xf>
    <xf numFmtId="0" fontId="119" fillId="4" borderId="0" xfId="0" applyFont="1" applyFill="1" applyBorder="1" applyAlignment="1" applyProtection="1">
      <protection locked="0"/>
    </xf>
    <xf numFmtId="0" fontId="118" fillId="4" borderId="6" xfId="0" applyFont="1" applyFill="1" applyBorder="1" applyAlignment="1">
      <alignment horizontal="right"/>
    </xf>
    <xf numFmtId="0" fontId="119" fillId="4" borderId="6" xfId="0" applyFont="1" applyFill="1" applyBorder="1" applyAlignment="1">
      <alignment horizontal="left" wrapText="1"/>
    </xf>
    <xf numFmtId="0" fontId="118" fillId="4" borderId="0" xfId="0" applyFont="1" applyFill="1" applyBorder="1" applyAlignment="1">
      <alignment horizontal="center"/>
    </xf>
    <xf numFmtId="1" fontId="118" fillId="4" borderId="0" xfId="0" applyNumberFormat="1" applyFont="1" applyFill="1" applyBorder="1" applyAlignment="1"/>
    <xf numFmtId="0" fontId="118" fillId="4" borderId="0" xfId="0" applyFont="1" applyFill="1" applyBorder="1" applyAlignment="1">
      <alignment horizontal="right"/>
    </xf>
    <xf numFmtId="0" fontId="118" fillId="4" borderId="0" xfId="0" applyFont="1" applyFill="1" applyBorder="1" applyAlignment="1">
      <alignment horizontal="left" wrapText="1"/>
    </xf>
    <xf numFmtId="0" fontId="119" fillId="4" borderId="0" xfId="0" applyFont="1" applyFill="1" applyBorder="1" applyAlignment="1">
      <alignment horizontal="center"/>
    </xf>
    <xf numFmtId="0" fontId="118" fillId="4" borderId="0" xfId="0" applyFont="1" applyFill="1" applyBorder="1" applyAlignment="1"/>
    <xf numFmtId="49" fontId="119" fillId="4" borderId="0" xfId="0" applyNumberFormat="1" applyFont="1" applyFill="1" applyBorder="1" applyAlignment="1"/>
    <xf numFmtId="49" fontId="118" fillId="4" borderId="0" xfId="0" applyNumberFormat="1" applyFont="1" applyFill="1" applyBorder="1" applyAlignment="1"/>
    <xf numFmtId="0" fontId="118" fillId="4" borderId="0" xfId="0" applyNumberFormat="1" applyFont="1" applyFill="1" applyBorder="1" applyAlignment="1">
      <alignment horizontal="right"/>
    </xf>
    <xf numFmtId="0" fontId="118" fillId="4" borderId="4" xfId="0" applyFont="1" applyFill="1" applyBorder="1" applyAlignment="1">
      <alignment horizontal="right"/>
    </xf>
    <xf numFmtId="0" fontId="119" fillId="4" borderId="4" xfId="0" applyFont="1" applyFill="1" applyBorder="1" applyAlignment="1">
      <alignment horizontal="left" wrapText="1"/>
    </xf>
    <xf numFmtId="0" fontId="119" fillId="4" borderId="4" xfId="0" applyFont="1" applyFill="1" applyBorder="1" applyAlignment="1">
      <alignment horizontal="center" wrapText="1"/>
    </xf>
    <xf numFmtId="0" fontId="119" fillId="4" borderId="3" xfId="0" applyFont="1" applyFill="1" applyBorder="1" applyAlignment="1">
      <alignment horizontal="center" wrapText="1"/>
    </xf>
    <xf numFmtId="0" fontId="119" fillId="4" borderId="0" xfId="0" applyFont="1" applyFill="1" applyBorder="1" applyAlignment="1">
      <alignment horizontal="center" wrapText="1"/>
    </xf>
    <xf numFmtId="0" fontId="119" fillId="4" borderId="18" xfId="0" applyFont="1" applyFill="1" applyBorder="1" applyAlignment="1">
      <alignment horizontal="right"/>
    </xf>
    <xf numFmtId="0" fontId="119" fillId="4" borderId="18" xfId="0" applyNumberFormat="1" applyFont="1" applyFill="1" applyBorder="1" applyAlignment="1">
      <alignment wrapText="1"/>
    </xf>
    <xf numFmtId="1" fontId="119" fillId="4" borderId="18" xfId="0" applyNumberFormat="1" applyFont="1" applyFill="1" applyBorder="1" applyAlignment="1"/>
    <xf numFmtId="1" fontId="119" fillId="4" borderId="45" xfId="0" applyNumberFormat="1" applyFont="1" applyFill="1" applyBorder="1" applyAlignment="1"/>
    <xf numFmtId="1" fontId="119" fillId="4" borderId="0" xfId="0" applyNumberFormat="1" applyFont="1" applyFill="1" applyBorder="1" applyAlignment="1"/>
    <xf numFmtId="168" fontId="118" fillId="4" borderId="0" xfId="0" applyNumberFormat="1" applyFont="1" applyFill="1" applyBorder="1" applyAlignment="1">
      <alignment horizontal="right" vertical="center"/>
    </xf>
    <xf numFmtId="0" fontId="118" fillId="4" borderId="13" xfId="0" applyFont="1" applyFill="1" applyBorder="1" applyAlignment="1">
      <alignment horizontal="right"/>
    </xf>
    <xf numFmtId="0" fontId="118" fillId="4" borderId="13" xfId="0" applyFont="1" applyFill="1" applyBorder="1" applyAlignment="1">
      <alignment wrapText="1"/>
    </xf>
    <xf numFmtId="1" fontId="118" fillId="4" borderId="13" xfId="0" applyNumberFormat="1" applyFont="1" applyFill="1" applyBorder="1" applyAlignment="1"/>
    <xf numFmtId="1" fontId="118" fillId="4" borderId="46" xfId="0" applyNumberFormat="1" applyFont="1" applyFill="1" applyBorder="1" applyAlignment="1"/>
    <xf numFmtId="0" fontId="119" fillId="4" borderId="13" xfId="0" applyFont="1" applyFill="1" applyBorder="1" applyAlignment="1">
      <alignment horizontal="right"/>
    </xf>
    <xf numFmtId="0" fontId="119" fillId="4" borderId="13" xfId="0" applyNumberFormat="1" applyFont="1" applyFill="1" applyBorder="1" applyAlignment="1">
      <alignment wrapText="1"/>
    </xf>
    <xf numFmtId="1" fontId="119" fillId="4" borderId="13" xfId="0" applyNumberFormat="1" applyFont="1" applyFill="1" applyBorder="1" applyAlignment="1"/>
    <xf numFmtId="1" fontId="119" fillId="4" borderId="13" xfId="0" applyNumberFormat="1" applyFont="1" applyFill="1" applyBorder="1" applyAlignment="1">
      <alignment wrapText="1"/>
    </xf>
    <xf numFmtId="1" fontId="119" fillId="4" borderId="46" xfId="0" applyNumberFormat="1" applyFont="1" applyFill="1" applyBorder="1" applyAlignment="1"/>
    <xf numFmtId="1" fontId="119" fillId="4" borderId="0" xfId="0" applyNumberFormat="1" applyFont="1" applyFill="1" applyBorder="1" applyAlignment="1">
      <alignment wrapText="1"/>
    </xf>
    <xf numFmtId="0" fontId="119" fillId="4" borderId="13" xfId="0" applyFont="1" applyFill="1" applyBorder="1" applyAlignment="1">
      <alignment wrapText="1"/>
    </xf>
    <xf numFmtId="0" fontId="120" fillId="4" borderId="13" xfId="0" applyFont="1" applyFill="1" applyBorder="1" applyAlignment="1">
      <alignment horizontal="right"/>
    </xf>
    <xf numFmtId="0" fontId="120" fillId="4" borderId="13" xfId="0" applyFont="1" applyFill="1" applyBorder="1" applyAlignment="1">
      <alignment wrapText="1"/>
    </xf>
    <xf numFmtId="1" fontId="120" fillId="4" borderId="13" xfId="0" applyNumberFormat="1" applyFont="1" applyFill="1" applyBorder="1" applyAlignment="1"/>
    <xf numFmtId="1" fontId="120" fillId="4" borderId="46" xfId="0" applyNumberFormat="1" applyFont="1" applyFill="1" applyBorder="1" applyAlignment="1"/>
    <xf numFmtId="1" fontId="120" fillId="4" borderId="0" xfId="0" applyNumberFormat="1" applyFont="1" applyFill="1" applyBorder="1" applyAlignment="1"/>
    <xf numFmtId="0" fontId="118" fillId="4" borderId="13" xfId="0" applyFont="1" applyFill="1" applyBorder="1" applyAlignment="1">
      <alignment horizontal="left" wrapText="1"/>
    </xf>
    <xf numFmtId="1" fontId="118" fillId="4" borderId="13" xfId="0" applyNumberFormat="1" applyFont="1" applyFill="1" applyBorder="1" applyAlignment="1">
      <alignment wrapText="1"/>
    </xf>
    <xf numFmtId="0" fontId="119" fillId="4" borderId="0" xfId="0" applyFont="1" applyFill="1" applyBorder="1" applyAlignment="1" applyProtection="1">
      <alignment horizontal="center"/>
      <protection locked="0"/>
    </xf>
    <xf numFmtId="0" fontId="119" fillId="4" borderId="0" xfId="0" applyFont="1" applyFill="1" applyBorder="1" applyAlignment="1" applyProtection="1">
      <alignment horizontal="center" vertical="center"/>
      <protection locked="0"/>
    </xf>
    <xf numFmtId="0" fontId="118" fillId="4" borderId="0" xfId="0" applyFont="1" applyFill="1" applyBorder="1" applyAlignment="1" applyProtection="1">
      <alignment horizontal="center" vertical="center"/>
      <protection locked="0"/>
    </xf>
    <xf numFmtId="1" fontId="120" fillId="4" borderId="13" xfId="0" applyNumberFormat="1" applyFont="1" applyFill="1" applyBorder="1" applyAlignment="1">
      <alignment wrapText="1"/>
    </xf>
    <xf numFmtId="1" fontId="120" fillId="4" borderId="46" xfId="0" applyNumberFormat="1" applyFont="1" applyFill="1" applyBorder="1" applyAlignment="1">
      <alignment wrapText="1"/>
    </xf>
    <xf numFmtId="1" fontId="120" fillId="4" borderId="0" xfId="0" applyNumberFormat="1" applyFont="1" applyFill="1" applyBorder="1" applyAlignment="1">
      <alignment wrapText="1"/>
    </xf>
    <xf numFmtId="1" fontId="118" fillId="4" borderId="0" xfId="0" applyNumberFormat="1" applyFont="1" applyFill="1" applyBorder="1" applyAlignment="1">
      <alignment wrapText="1"/>
    </xf>
    <xf numFmtId="1" fontId="118" fillId="4" borderId="0" xfId="0" applyNumberFormat="1" applyFont="1" applyFill="1" applyBorder="1" applyAlignment="1" applyProtection="1">
      <protection locked="0"/>
    </xf>
    <xf numFmtId="2" fontId="119" fillId="4" borderId="0" xfId="0" applyNumberFormat="1" applyFont="1" applyFill="1" applyBorder="1" applyAlignment="1"/>
    <xf numFmtId="0" fontId="118" fillId="4" borderId="15" xfId="0" applyFont="1" applyFill="1" applyBorder="1" applyAlignment="1">
      <alignment horizontal="right"/>
    </xf>
    <xf numFmtId="0" fontId="118" fillId="4" borderId="15" xfId="0" applyFont="1" applyFill="1" applyBorder="1" applyAlignment="1">
      <alignment wrapText="1"/>
    </xf>
    <xf numFmtId="1" fontId="118" fillId="4" borderId="15" xfId="0" applyNumberFormat="1" applyFont="1" applyFill="1" applyBorder="1" applyAlignment="1"/>
    <xf numFmtId="1" fontId="118" fillId="4" borderId="47" xfId="0" applyNumberFormat="1" applyFont="1" applyFill="1" applyBorder="1" applyAlignment="1"/>
    <xf numFmtId="1" fontId="118" fillId="4" borderId="0" xfId="0" applyNumberFormat="1" applyFont="1" applyFill="1" applyBorder="1" applyAlignment="1" applyProtection="1">
      <alignment horizontal="left"/>
      <protection locked="0"/>
    </xf>
    <xf numFmtId="0" fontId="120" fillId="4" borderId="0" xfId="0" applyFont="1" applyFill="1" applyAlignment="1" applyProtection="1">
      <protection locked="0"/>
    </xf>
    <xf numFmtId="0" fontId="119" fillId="4" borderId="7" xfId="0" applyFont="1" applyFill="1" applyBorder="1" applyAlignment="1" applyProtection="1">
      <protection locked="0"/>
    </xf>
    <xf numFmtId="167" fontId="118" fillId="2" borderId="0" xfId="0" applyNumberFormat="1" applyFont="1" applyFill="1" applyAlignment="1" applyProtection="1">
      <protection locked="0"/>
    </xf>
    <xf numFmtId="167" fontId="118" fillId="4" borderId="0" xfId="0" applyNumberFormat="1" applyFont="1" applyFill="1" applyAlignment="1" applyProtection="1">
      <protection locked="0"/>
    </xf>
    <xf numFmtId="0" fontId="118" fillId="4" borderId="6" xfId="0" applyFont="1" applyFill="1" applyBorder="1" applyAlignment="1" applyProtection="1">
      <protection locked="0"/>
    </xf>
    <xf numFmtId="167" fontId="118" fillId="2" borderId="6" xfId="0" applyNumberFormat="1" applyFont="1" applyFill="1" applyBorder="1" applyAlignment="1" applyProtection="1">
      <protection locked="0"/>
    </xf>
    <xf numFmtId="167" fontId="118" fillId="4" borderId="6" xfId="0" applyNumberFormat="1" applyFont="1" applyFill="1" applyBorder="1" applyAlignment="1" applyProtection="1">
      <protection locked="0"/>
    </xf>
    <xf numFmtId="167" fontId="118" fillId="2" borderId="0" xfId="0" applyNumberFormat="1" applyFont="1" applyFill="1" applyBorder="1" applyAlignment="1" applyProtection="1">
      <protection locked="0"/>
    </xf>
    <xf numFmtId="167" fontId="118" fillId="4" borderId="0" xfId="0" applyNumberFormat="1" applyFont="1" applyFill="1" applyBorder="1" applyAlignment="1" applyProtection="1">
      <protection locked="0"/>
    </xf>
    <xf numFmtId="167" fontId="119" fillId="2" borderId="0" xfId="0" applyNumberFormat="1" applyFont="1" applyFill="1" applyBorder="1" applyAlignment="1" applyProtection="1">
      <protection locked="0"/>
    </xf>
    <xf numFmtId="167" fontId="119" fillId="4" borderId="0" xfId="0" applyNumberFormat="1" applyFont="1" applyFill="1" applyBorder="1" applyAlignment="1" applyProtection="1">
      <protection locked="0"/>
    </xf>
    <xf numFmtId="0" fontId="118" fillId="4" borderId="4" xfId="0" applyFont="1" applyFill="1" applyBorder="1" applyAlignment="1" applyProtection="1">
      <protection locked="0"/>
    </xf>
    <xf numFmtId="167" fontId="118" fillId="2" borderId="4" xfId="0" applyNumberFormat="1" applyFont="1" applyFill="1" applyBorder="1" applyAlignment="1" applyProtection="1">
      <protection locked="0"/>
    </xf>
    <xf numFmtId="167" fontId="118" fillId="4" borderId="4" xfId="0" applyNumberFormat="1" applyFont="1" applyFill="1" applyBorder="1" applyAlignment="1" applyProtection="1">
      <protection locked="0"/>
    </xf>
    <xf numFmtId="167" fontId="118" fillId="4" borderId="0" xfId="0" applyNumberFormat="1" applyFont="1" applyFill="1" applyAlignment="1" applyProtection="1">
      <alignment horizontal="right"/>
      <protection locked="0"/>
    </xf>
    <xf numFmtId="167" fontId="118" fillId="4" borderId="0" xfId="0" applyNumberFormat="1" applyFont="1" applyFill="1" applyBorder="1" applyAlignment="1" applyProtection="1">
      <alignment horizontal="right"/>
      <protection locked="0"/>
    </xf>
    <xf numFmtId="167" fontId="118" fillId="4" borderId="6" xfId="0" applyNumberFormat="1" applyFont="1" applyFill="1" applyBorder="1" applyAlignment="1" applyProtection="1">
      <alignment horizontal="right"/>
      <protection locked="0"/>
    </xf>
    <xf numFmtId="167" fontId="118" fillId="4" borderId="4" xfId="0" applyNumberFormat="1" applyFont="1" applyFill="1" applyBorder="1" applyAlignment="1" applyProtection="1">
      <alignment horizontal="right"/>
      <protection locked="0"/>
    </xf>
    <xf numFmtId="2" fontId="118" fillId="2" borderId="0" xfId="0" applyNumberFormat="1" applyFont="1" applyFill="1" applyAlignment="1" applyProtection="1">
      <protection locked="0"/>
    </xf>
    <xf numFmtId="2" fontId="118" fillId="2" borderId="6" xfId="0" applyNumberFormat="1" applyFont="1" applyFill="1" applyBorder="1" applyAlignment="1" applyProtection="1">
      <protection locked="0"/>
    </xf>
    <xf numFmtId="2" fontId="118" fillId="2" borderId="0" xfId="0" applyNumberFormat="1" applyFont="1" applyFill="1" applyBorder="1" applyAlignment="1" applyProtection="1">
      <protection locked="0"/>
    </xf>
    <xf numFmtId="2" fontId="118" fillId="2" borderId="4" xfId="0" applyNumberFormat="1" applyFont="1" applyFill="1" applyBorder="1" applyAlignment="1" applyProtection="1">
      <protection locked="0"/>
    </xf>
    <xf numFmtId="0" fontId="118" fillId="4" borderId="7" xfId="0" applyFont="1" applyFill="1" applyBorder="1" applyAlignment="1" applyProtection="1">
      <protection locked="0"/>
    </xf>
    <xf numFmtId="0" fontId="42" fillId="2" borderId="6" xfId="0" applyFont="1" applyFill="1" applyBorder="1" applyAlignment="1" applyProtection="1">
      <alignment wrapText="1"/>
      <protection locked="0"/>
    </xf>
    <xf numFmtId="0" fontId="27" fillId="2" borderId="6"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protection locked="0"/>
    </xf>
    <xf numFmtId="0" fontId="42" fillId="2" borderId="4"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4" xfId="0" applyFont="1" applyFill="1" applyBorder="1" applyAlignment="1" applyProtection="1">
      <alignment wrapText="1"/>
      <protection locked="0"/>
    </xf>
    <xf numFmtId="0" fontId="44" fillId="2" borderId="4" xfId="0" applyFont="1" applyFill="1" applyBorder="1" applyProtection="1">
      <protection locked="0"/>
    </xf>
    <xf numFmtId="0" fontId="8" fillId="2" borderId="7" xfId="0" applyFont="1" applyFill="1" applyBorder="1" applyAlignment="1" applyProtection="1">
      <alignment wrapText="1"/>
      <protection locked="0"/>
    </xf>
    <xf numFmtId="0" fontId="42" fillId="2" borderId="7" xfId="0" applyFont="1" applyFill="1" applyBorder="1" applyProtection="1">
      <protection locked="0"/>
    </xf>
    <xf numFmtId="0" fontId="44" fillId="2" borderId="7" xfId="0" applyFont="1" applyFill="1" applyBorder="1" applyAlignment="1" applyProtection="1">
      <alignment wrapText="1"/>
      <protection locked="0"/>
    </xf>
    <xf numFmtId="0" fontId="27" fillId="2" borderId="0" xfId="0" applyFont="1" applyFill="1" applyAlignment="1" applyProtection="1">
      <alignment wrapText="1"/>
      <protection locked="0"/>
    </xf>
    <xf numFmtId="0" fontId="50" fillId="9" borderId="13" xfId="0" applyNumberFormat="1" applyFont="1" applyFill="1" applyBorder="1" applyAlignment="1">
      <alignment wrapText="1"/>
    </xf>
    <xf numFmtId="1" fontId="39" fillId="9" borderId="13" xfId="0" applyNumberFormat="1" applyFont="1" applyFill="1" applyBorder="1" applyAlignment="1">
      <alignment wrapText="1"/>
    </xf>
    <xf numFmtId="164" fontId="38" fillId="9" borderId="18" xfId="0" applyNumberFormat="1" applyFont="1" applyFill="1" applyBorder="1" applyAlignment="1">
      <alignment wrapText="1"/>
    </xf>
    <xf numFmtId="164" fontId="38" fillId="9" borderId="13" xfId="0" applyNumberFormat="1" applyFont="1" applyFill="1" applyBorder="1" applyAlignment="1">
      <alignment horizontal="right" wrapText="1"/>
    </xf>
    <xf numFmtId="164" fontId="39" fillId="9" borderId="15" xfId="0" applyNumberFormat="1" applyFont="1" applyFill="1" applyBorder="1" applyAlignment="1">
      <alignment horizontal="right" wrapText="1"/>
    </xf>
    <xf numFmtId="0" fontId="122" fillId="4" borderId="0" xfId="0" applyFont="1" applyFill="1" applyProtection="1">
      <protection locked="0"/>
    </xf>
    <xf numFmtId="0" fontId="27" fillId="2" borderId="7" xfId="0" applyFont="1" applyFill="1" applyBorder="1" applyAlignment="1" applyProtection="1">
      <alignment wrapText="1"/>
      <protection locked="0"/>
    </xf>
    <xf numFmtId="0" fontId="46" fillId="2" borderId="2"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7" xfId="0" applyFont="1" applyFill="1" applyBorder="1" applyProtection="1">
      <protection locked="0"/>
    </xf>
    <xf numFmtId="0" fontId="42" fillId="4" borderId="11" xfId="0" applyFont="1" applyFill="1" applyBorder="1" applyProtection="1">
      <protection locked="0"/>
    </xf>
    <xf numFmtId="0" fontId="42" fillId="4" borderId="0" xfId="0" applyFont="1" applyFill="1" applyBorder="1" applyProtection="1">
      <protection locked="0"/>
    </xf>
    <xf numFmtId="0" fontId="42" fillId="4" borderId="12" xfId="0" applyFont="1" applyFill="1" applyBorder="1" applyProtection="1">
      <protection locked="0"/>
    </xf>
    <xf numFmtId="1" fontId="11" fillId="2" borderId="6" xfId="0" applyNumberFormat="1" applyFont="1" applyFill="1" applyBorder="1" applyProtection="1">
      <protection locked="0"/>
    </xf>
    <xf numFmtId="1" fontId="11" fillId="2" borderId="0" xfId="0" applyNumberFormat="1" applyFont="1" applyFill="1" applyBorder="1" applyProtection="1">
      <protection locked="0"/>
    </xf>
    <xf numFmtId="0" fontId="11" fillId="2" borderId="0" xfId="0" applyFont="1" applyFill="1" applyProtection="1">
      <protection locked="0"/>
    </xf>
    <xf numFmtId="0" fontId="39" fillId="2" borderId="24" xfId="0" applyNumberFormat="1" applyFont="1" applyFill="1" applyBorder="1" applyAlignment="1">
      <alignment wrapText="1"/>
    </xf>
    <xf numFmtId="0" fontId="39" fillId="2" borderId="13" xfId="0" applyNumberFormat="1" applyFont="1" applyFill="1" applyBorder="1" applyAlignment="1">
      <alignment wrapText="1"/>
    </xf>
    <xf numFmtId="1" fontId="38" fillId="9" borderId="23" xfId="0" applyNumberFormat="1" applyFont="1" applyFill="1" applyBorder="1" applyAlignment="1">
      <alignment wrapText="1"/>
    </xf>
    <xf numFmtId="1" fontId="11" fillId="9" borderId="4" xfId="0" applyNumberFormat="1" applyFont="1" applyFill="1" applyBorder="1" applyProtection="1">
      <protection locked="0"/>
    </xf>
    <xf numFmtId="2" fontId="40" fillId="9" borderId="13" xfId="0" applyNumberFormat="1" applyFont="1" applyFill="1" applyBorder="1" applyAlignment="1">
      <alignment wrapText="1"/>
    </xf>
    <xf numFmtId="2" fontId="40" fillId="9" borderId="25" xfId="0" applyNumberFormat="1" applyFont="1" applyFill="1" applyBorder="1" applyAlignment="1">
      <alignment wrapText="1"/>
    </xf>
    <xf numFmtId="1" fontId="50" fillId="9" borderId="24" xfId="0" applyNumberFormat="1" applyFont="1" applyFill="1" applyBorder="1" applyAlignment="1">
      <alignment wrapText="1"/>
    </xf>
    <xf numFmtId="0" fontId="50" fillId="9" borderId="23" xfId="0" applyNumberFormat="1" applyFont="1" applyFill="1" applyBorder="1" applyAlignment="1">
      <alignment wrapText="1"/>
    </xf>
    <xf numFmtId="2" fontId="50" fillId="9" borderId="23" xfId="0" applyNumberFormat="1" applyFont="1" applyFill="1" applyBorder="1" applyAlignment="1">
      <alignment wrapText="1"/>
    </xf>
    <xf numFmtId="0" fontId="50" fillId="9" borderId="25" xfId="0" applyNumberFormat="1" applyFont="1" applyFill="1" applyBorder="1" applyAlignment="1">
      <alignment wrapText="1"/>
    </xf>
    <xf numFmtId="2" fontId="50" fillId="9" borderId="25" xfId="0" applyNumberFormat="1" applyFont="1" applyFill="1" applyBorder="1" applyAlignment="1">
      <alignment wrapText="1"/>
    </xf>
    <xf numFmtId="2" fontId="39" fillId="9" borderId="17" xfId="0" applyNumberFormat="1" applyFont="1" applyFill="1" applyBorder="1" applyAlignment="1">
      <alignment wrapText="1"/>
    </xf>
    <xf numFmtId="2" fontId="65" fillId="9" borderId="17" xfId="0" applyNumberFormat="1" applyFont="1" applyFill="1" applyBorder="1" applyAlignment="1">
      <alignment wrapText="1"/>
    </xf>
    <xf numFmtId="2" fontId="39" fillId="9" borderId="0" xfId="0" applyNumberFormat="1" applyFont="1" applyFill="1" applyBorder="1" applyAlignment="1">
      <alignment wrapText="1"/>
    </xf>
    <xf numFmtId="2" fontId="39" fillId="9" borderId="7" xfId="0" applyNumberFormat="1" applyFont="1" applyFill="1" applyBorder="1" applyAlignment="1">
      <alignment wrapText="1"/>
    </xf>
    <xf numFmtId="0" fontId="39" fillId="9" borderId="13" xfId="0" applyNumberFormat="1" applyFont="1" applyFill="1" applyBorder="1" applyAlignment="1">
      <alignment wrapText="1"/>
    </xf>
    <xf numFmtId="0" fontId="39" fillId="9" borderId="23" xfId="0" applyNumberFormat="1" applyFont="1" applyFill="1" applyBorder="1" applyAlignment="1">
      <alignment wrapText="1"/>
    </xf>
    <xf numFmtId="0" fontId="11" fillId="9" borderId="0" xfId="0" applyFont="1" applyFill="1" applyProtection="1">
      <protection locked="0"/>
    </xf>
    <xf numFmtId="1" fontId="11" fillId="9" borderId="0" xfId="0" applyNumberFormat="1" applyFont="1" applyFill="1" applyProtection="1">
      <protection locked="0"/>
    </xf>
    <xf numFmtId="1" fontId="38" fillId="9" borderId="6" xfId="0" applyNumberFormat="1" applyFont="1" applyFill="1" applyBorder="1" applyAlignment="1">
      <alignment wrapText="1"/>
    </xf>
    <xf numFmtId="1" fontId="39" fillId="9" borderId="18" xfId="0" applyNumberFormat="1" applyFont="1" applyFill="1" applyBorder="1" applyAlignment="1">
      <alignment wrapText="1"/>
    </xf>
    <xf numFmtId="2" fontId="39" fillId="9" borderId="13" xfId="0" applyNumberFormat="1" applyFont="1" applyFill="1" applyBorder="1" applyAlignment="1">
      <alignment wrapText="1"/>
    </xf>
    <xf numFmtId="2" fontId="39" fillId="9" borderId="15" xfId="0" applyNumberFormat="1" applyFont="1" applyFill="1" applyBorder="1" applyAlignment="1">
      <alignment wrapText="1"/>
    </xf>
    <xf numFmtId="2" fontId="38" fillId="9" borderId="7" xfId="0" applyNumberFormat="1" applyFont="1" applyFill="1" applyBorder="1" applyAlignment="1">
      <alignment wrapText="1"/>
    </xf>
    <xf numFmtId="0" fontId="38" fillId="9" borderId="17" xfId="0" applyNumberFormat="1" applyFont="1" applyFill="1" applyBorder="1" applyAlignment="1">
      <alignment wrapText="1"/>
    </xf>
    <xf numFmtId="164" fontId="39" fillId="9" borderId="17" xfId="0" applyNumberFormat="1" applyFont="1" applyFill="1" applyBorder="1" applyAlignment="1">
      <alignment wrapText="1"/>
    </xf>
    <xf numFmtId="1" fontId="38" fillId="9" borderId="17" xfId="0" applyNumberFormat="1" applyFont="1" applyFill="1" applyBorder="1" applyAlignment="1">
      <alignment wrapText="1"/>
    </xf>
    <xf numFmtId="0" fontId="39" fillId="9" borderId="17" xfId="0" applyNumberFormat="1" applyFont="1" applyFill="1" applyBorder="1" applyAlignment="1">
      <alignment wrapText="1"/>
    </xf>
    <xf numFmtId="0" fontId="50" fillId="9" borderId="17" xfId="0" applyNumberFormat="1" applyFont="1" applyFill="1" applyBorder="1" applyAlignment="1">
      <alignment wrapText="1"/>
    </xf>
    <xf numFmtId="0" fontId="85" fillId="9" borderId="17" xfId="0" applyNumberFormat="1" applyFont="1" applyFill="1" applyBorder="1" applyAlignment="1">
      <alignment wrapText="1"/>
    </xf>
    <xf numFmtId="164" fontId="86" fillId="9" borderId="17" xfId="0" applyNumberFormat="1" applyFont="1" applyFill="1" applyBorder="1" applyAlignment="1">
      <alignment wrapText="1"/>
    </xf>
    <xf numFmtId="164" fontId="50" fillId="9" borderId="17" xfId="0" applyNumberFormat="1" applyFont="1" applyFill="1" applyBorder="1" applyAlignment="1">
      <alignment wrapText="1"/>
    </xf>
    <xf numFmtId="0" fontId="38" fillId="9" borderId="0" xfId="0" applyNumberFormat="1" applyFont="1" applyFill="1" applyBorder="1" applyAlignment="1">
      <alignment wrapText="1"/>
    </xf>
    <xf numFmtId="164" fontId="86" fillId="9" borderId="0" xfId="0" applyNumberFormat="1" applyFont="1" applyFill="1" applyBorder="1" applyAlignment="1">
      <alignment wrapText="1"/>
    </xf>
    <xf numFmtId="1" fontId="40" fillId="9" borderId="0" xfId="0" applyNumberFormat="1" applyFont="1" applyFill="1" applyBorder="1" applyAlignment="1">
      <alignment wrapText="1"/>
    </xf>
    <xf numFmtId="0" fontId="50" fillId="9" borderId="0" xfId="0" applyNumberFormat="1" applyFont="1" applyFill="1" applyBorder="1" applyAlignment="1">
      <alignment wrapText="1"/>
    </xf>
    <xf numFmtId="2" fontId="86" fillId="9" borderId="17" xfId="0" applyNumberFormat="1" applyFont="1" applyFill="1" applyBorder="1" applyAlignment="1">
      <alignment wrapText="1"/>
    </xf>
    <xf numFmtId="0" fontId="27" fillId="4" borderId="0" xfId="0" applyFont="1" applyFill="1" applyBorder="1" applyProtection="1">
      <protection locked="0"/>
    </xf>
    <xf numFmtId="0" fontId="27" fillId="4" borderId="0" xfId="0" applyFont="1" applyFill="1" applyBorder="1" applyAlignment="1" applyProtection="1">
      <alignment horizontal="right"/>
      <protection locked="0"/>
    </xf>
    <xf numFmtId="164" fontId="39" fillId="4" borderId="13" xfId="0" applyNumberFormat="1" applyFont="1" applyFill="1" applyBorder="1" applyAlignment="1">
      <alignment wrapText="1"/>
    </xf>
    <xf numFmtId="0" fontId="39" fillId="4" borderId="24" xfId="0" applyNumberFormat="1" applyFont="1" applyFill="1" applyBorder="1" applyAlignment="1">
      <alignment wrapText="1"/>
    </xf>
    <xf numFmtId="0" fontId="111" fillId="4" borderId="0" xfId="0" applyFont="1" applyFill="1" applyProtection="1">
      <protection locked="0"/>
    </xf>
    <xf numFmtId="0" fontId="110" fillId="4" borderId="0" xfId="1" applyFont="1" applyFill="1" applyAlignment="1" applyProtection="1">
      <protection locked="0"/>
    </xf>
    <xf numFmtId="0" fontId="44" fillId="10" borderId="48" xfId="0" applyFont="1" applyFill="1" applyBorder="1" applyAlignment="1" applyProtection="1">
      <alignment wrapText="1"/>
      <protection locked="0"/>
    </xf>
    <xf numFmtId="0" fontId="45" fillId="10" borderId="0" xfId="0" applyFont="1" applyFill="1" applyBorder="1" applyAlignment="1" applyProtection="1">
      <alignment horizontal="left" wrapText="1"/>
      <protection locked="0"/>
    </xf>
    <xf numFmtId="0" fontId="48" fillId="4" borderId="0" xfId="0" applyFont="1" applyFill="1" applyBorder="1" applyAlignment="1" applyProtection="1">
      <alignment horizontal="left" wrapText="1" indent="1"/>
      <protection locked="0"/>
    </xf>
    <xf numFmtId="0" fontId="52" fillId="4" borderId="6" xfId="0" applyFont="1" applyFill="1" applyBorder="1" applyProtection="1">
      <protection locked="0"/>
    </xf>
    <xf numFmtId="0" fontId="42" fillId="4" borderId="4" xfId="0" applyFont="1" applyFill="1" applyBorder="1" applyProtection="1">
      <protection locked="0"/>
    </xf>
    <xf numFmtId="1" fontId="38" fillId="9" borderId="49" xfId="0" applyNumberFormat="1" applyFont="1" applyFill="1" applyBorder="1" applyAlignment="1">
      <alignment wrapText="1"/>
    </xf>
    <xf numFmtId="1" fontId="38" fillId="9" borderId="50" xfId="0" applyNumberFormat="1" applyFont="1" applyFill="1" applyBorder="1" applyAlignment="1">
      <alignment wrapText="1"/>
    </xf>
    <xf numFmtId="1" fontId="38" fillId="9" borderId="13" xfId="0" applyNumberFormat="1" applyFont="1" applyFill="1" applyBorder="1" applyAlignment="1">
      <alignment wrapText="1"/>
    </xf>
    <xf numFmtId="1" fontId="38" fillId="9" borderId="51" xfId="0" applyNumberFormat="1" applyFont="1" applyFill="1" applyBorder="1" applyAlignment="1">
      <alignment wrapText="1"/>
    </xf>
    <xf numFmtId="0" fontId="38" fillId="4" borderId="49" xfId="0" applyNumberFormat="1" applyFont="1" applyFill="1" applyBorder="1" applyAlignment="1">
      <alignment wrapText="1"/>
    </xf>
    <xf numFmtId="0" fontId="44" fillId="9" borderId="0" xfId="0" applyFont="1" applyFill="1" applyProtection="1">
      <protection locked="0"/>
    </xf>
    <xf numFmtId="1" fontId="44" fillId="9" borderId="0" xfId="0" applyNumberFormat="1" applyFont="1" applyFill="1" applyProtection="1">
      <protection locked="0"/>
    </xf>
    <xf numFmtId="164" fontId="44" fillId="9" borderId="0" xfId="0" applyNumberFormat="1" applyFont="1" applyFill="1" applyProtection="1">
      <protection locked="0"/>
    </xf>
    <xf numFmtId="2" fontId="39" fillId="9" borderId="7" xfId="0" applyNumberFormat="1" applyFont="1" applyFill="1" applyBorder="1" applyProtection="1">
      <protection locked="0"/>
    </xf>
    <xf numFmtId="1" fontId="73" fillId="2" borderId="0" xfId="0" applyNumberFormat="1" applyFont="1" applyFill="1" applyBorder="1" applyProtection="1">
      <protection locked="0"/>
    </xf>
    <xf numFmtId="1" fontId="74" fillId="5" borderId="0" xfId="0" applyNumberFormat="1" applyFont="1" applyFill="1" applyBorder="1" applyAlignment="1" applyProtection="1">
      <alignment wrapText="1"/>
      <protection locked="0"/>
    </xf>
    <xf numFmtId="1" fontId="39" fillId="5" borderId="13" xfId="0" applyNumberFormat="1" applyFont="1" applyFill="1" applyBorder="1" applyAlignment="1">
      <alignment wrapText="1"/>
    </xf>
    <xf numFmtId="170" fontId="73" fillId="5" borderId="13" xfId="0" applyNumberFormat="1" applyFont="1" applyFill="1" applyBorder="1" applyAlignment="1">
      <alignment wrapText="1"/>
    </xf>
    <xf numFmtId="0" fontId="73" fillId="5" borderId="0" xfId="0" applyFont="1" applyFill="1" applyBorder="1" applyAlignment="1" applyProtection="1">
      <alignment horizontal="left" wrapText="1" indent="2"/>
      <protection locked="0"/>
    </xf>
    <xf numFmtId="1" fontId="73" fillId="5" borderId="13" xfId="0" applyNumberFormat="1" applyFont="1" applyFill="1" applyBorder="1" applyAlignment="1">
      <alignment wrapText="1"/>
    </xf>
    <xf numFmtId="170" fontId="39" fillId="2" borderId="24" xfId="0" applyNumberFormat="1" applyFont="1" applyFill="1" applyBorder="1" applyAlignment="1">
      <alignment wrapText="1"/>
    </xf>
    <xf numFmtId="2" fontId="40" fillId="9" borderId="23" xfId="0" applyNumberFormat="1" applyFont="1" applyFill="1" applyBorder="1" applyAlignment="1">
      <alignment wrapText="1"/>
    </xf>
    <xf numFmtId="170" fontId="38" fillId="9" borderId="23" xfId="0" applyNumberFormat="1" applyFont="1" applyFill="1" applyBorder="1" applyAlignment="1">
      <alignment wrapText="1"/>
    </xf>
    <xf numFmtId="170" fontId="39" fillId="9" borderId="13" xfId="0" applyNumberFormat="1" applyFont="1" applyFill="1" applyBorder="1" applyAlignment="1">
      <alignment wrapText="1"/>
    </xf>
    <xf numFmtId="164" fontId="39" fillId="5" borderId="13" xfId="0" applyNumberFormat="1" applyFont="1" applyFill="1" applyBorder="1" applyAlignment="1">
      <alignment wrapText="1"/>
    </xf>
    <xf numFmtId="2" fontId="39" fillId="9" borderId="6" xfId="0" applyNumberFormat="1" applyFont="1" applyFill="1" applyBorder="1" applyAlignment="1">
      <alignment wrapText="1"/>
    </xf>
    <xf numFmtId="2" fontId="39" fillId="9" borderId="4" xfId="0" applyNumberFormat="1" applyFont="1" applyFill="1" applyBorder="1" applyAlignment="1">
      <alignment wrapText="1"/>
    </xf>
    <xf numFmtId="0" fontId="52" fillId="4" borderId="6" xfId="0" applyFont="1" applyFill="1" applyBorder="1" applyAlignment="1" applyProtection="1">
      <alignment wrapText="1"/>
      <protection locked="0"/>
    </xf>
    <xf numFmtId="0" fontId="52" fillId="4" borderId="4" xfId="0" applyFont="1" applyFill="1" applyBorder="1" applyAlignment="1" applyProtection="1">
      <alignment wrapText="1"/>
      <protection locked="0"/>
    </xf>
    <xf numFmtId="0" fontId="82" fillId="4" borderId="13" xfId="0" applyNumberFormat="1" applyFont="1" applyFill="1" applyBorder="1" applyAlignment="1">
      <alignment wrapText="1"/>
    </xf>
    <xf numFmtId="1" fontId="38" fillId="4" borderId="51" xfId="0" applyNumberFormat="1" applyFont="1" applyFill="1" applyBorder="1" applyAlignment="1">
      <alignment wrapText="1"/>
    </xf>
    <xf numFmtId="0" fontId="83" fillId="4" borderId="13" xfId="0" applyNumberFormat="1" applyFont="1" applyFill="1" applyBorder="1" applyAlignment="1">
      <alignment wrapText="1"/>
    </xf>
    <xf numFmtId="0" fontId="38" fillId="4" borderId="17" xfId="0" applyNumberFormat="1" applyFont="1" applyFill="1" applyBorder="1" applyAlignment="1">
      <alignment wrapText="1"/>
    </xf>
    <xf numFmtId="1" fontId="38" fillId="4" borderId="17" xfId="0" applyNumberFormat="1" applyFont="1" applyFill="1" applyBorder="1" applyAlignment="1">
      <alignment wrapText="1"/>
    </xf>
    <xf numFmtId="0" fontId="0" fillId="4" borderId="52" xfId="0" applyFill="1" applyBorder="1"/>
    <xf numFmtId="0" fontId="0" fillId="4" borderId="53" xfId="0" applyFill="1" applyBorder="1"/>
    <xf numFmtId="0" fontId="0" fillId="4" borderId="54" xfId="0" applyFill="1" applyBorder="1"/>
    <xf numFmtId="0" fontId="0" fillId="4" borderId="55" xfId="0" applyFill="1" applyBorder="1"/>
    <xf numFmtId="0" fontId="0" fillId="4" borderId="56" xfId="0" applyFill="1" applyBorder="1"/>
    <xf numFmtId="44" fontId="0" fillId="4" borderId="55" xfId="2" applyFont="1" applyFill="1" applyBorder="1"/>
    <xf numFmtId="44" fontId="8" fillId="4" borderId="0" xfId="2" applyFont="1" applyFill="1" applyBorder="1"/>
    <xf numFmtId="44" fontId="0" fillId="4" borderId="56" xfId="2" applyFont="1" applyFill="1" applyBorder="1"/>
    <xf numFmtId="0" fontId="0" fillId="4" borderId="57" xfId="0" applyFill="1" applyBorder="1"/>
    <xf numFmtId="0" fontId="0" fillId="4" borderId="58" xfId="0" applyFill="1" applyBorder="1"/>
    <xf numFmtId="0" fontId="0" fillId="4" borderId="59" xfId="0" applyFill="1" applyBorder="1"/>
    <xf numFmtId="44" fontId="34" fillId="4" borderId="0" xfId="2" applyFont="1" applyFill="1" applyBorder="1"/>
    <xf numFmtId="44" fontId="123" fillId="4" borderId="0" xfId="2" applyFont="1" applyFill="1" applyBorder="1"/>
    <xf numFmtId="44" fontId="123" fillId="4" borderId="0" xfId="2" applyFont="1" applyFill="1"/>
    <xf numFmtId="0" fontId="123" fillId="4" borderId="0" xfId="0" applyFont="1" applyFill="1"/>
    <xf numFmtId="0" fontId="0" fillId="4" borderId="60" xfId="0" applyFill="1" applyBorder="1"/>
    <xf numFmtId="0" fontId="0" fillId="4" borderId="61" xfId="0" applyFill="1" applyBorder="1"/>
    <xf numFmtId="0" fontId="0" fillId="4" borderId="62" xfId="0" applyFill="1" applyBorder="1"/>
    <xf numFmtId="0" fontId="0" fillId="4" borderId="63" xfId="0" applyFill="1" applyBorder="1"/>
    <xf numFmtId="0" fontId="0" fillId="4" borderId="64" xfId="0" applyFill="1" applyBorder="1"/>
    <xf numFmtId="44" fontId="0" fillId="4" borderId="63" xfId="2" applyFont="1" applyFill="1" applyBorder="1"/>
    <xf numFmtId="44" fontId="0" fillId="4" borderId="64" xfId="2" applyFont="1" applyFill="1" applyBorder="1"/>
    <xf numFmtId="44" fontId="123" fillId="4" borderId="63" xfId="2" applyFont="1" applyFill="1" applyBorder="1"/>
    <xf numFmtId="44" fontId="123" fillId="4" borderId="64" xfId="2" applyFont="1" applyFill="1" applyBorder="1"/>
    <xf numFmtId="0" fontId="0" fillId="4" borderId="65" xfId="0" applyFill="1" applyBorder="1"/>
    <xf numFmtId="0" fontId="0" fillId="4" borderId="1" xfId="0" applyFill="1" applyBorder="1"/>
    <xf numFmtId="0" fontId="0" fillId="4" borderId="66" xfId="0" applyFill="1" applyBorder="1"/>
    <xf numFmtId="0" fontId="0" fillId="3" borderId="0" xfId="0" applyFill="1" applyAlignment="1">
      <alignment horizontal="left"/>
    </xf>
    <xf numFmtId="0" fontId="35" fillId="4" borderId="0" xfId="0" applyFont="1" applyFill="1" applyAlignment="1">
      <alignment horizontal="left"/>
    </xf>
    <xf numFmtId="0" fontId="0" fillId="4" borderId="0" xfId="0" applyFill="1" applyBorder="1" applyAlignment="1">
      <alignment horizontal="left"/>
    </xf>
    <xf numFmtId="0" fontId="0" fillId="3" borderId="0" xfId="0" applyFill="1" applyBorder="1" applyAlignment="1">
      <alignment horizontal="left"/>
    </xf>
    <xf numFmtId="0" fontId="5" fillId="4" borderId="4" xfId="0" applyFont="1" applyFill="1" applyBorder="1" applyAlignment="1">
      <alignment horizontal="left" wrapText="1"/>
    </xf>
    <xf numFmtId="0" fontId="0" fillId="4" borderId="4" xfId="0" applyFont="1" applyFill="1" applyBorder="1" applyAlignment="1">
      <alignment horizontal="left" indent="1"/>
    </xf>
    <xf numFmtId="164" fontId="117" fillId="9" borderId="11" xfId="0" applyNumberFormat="1" applyFont="1" applyFill="1" applyBorder="1" applyAlignment="1">
      <alignment wrapText="1"/>
    </xf>
    <xf numFmtId="164" fontId="117" fillId="9" borderId="0" xfId="0" applyNumberFormat="1" applyFont="1" applyFill="1" applyBorder="1" applyAlignment="1">
      <alignment wrapText="1"/>
    </xf>
    <xf numFmtId="164" fontId="117" fillId="9" borderId="12" xfId="0" applyNumberFormat="1" applyFont="1" applyFill="1" applyBorder="1" applyAlignment="1">
      <alignment wrapText="1"/>
    </xf>
    <xf numFmtId="0" fontId="117" fillId="9" borderId="11" xfId="0" applyFont="1" applyFill="1" applyBorder="1" applyAlignment="1">
      <alignment horizontal="left" vertical="center" wrapText="1"/>
    </xf>
    <xf numFmtId="2" fontId="9" fillId="9" borderId="0" xfId="0" applyNumberFormat="1" applyFont="1" applyFill="1" applyBorder="1" applyAlignment="1">
      <alignment vertical="center" wrapText="1"/>
    </xf>
    <xf numFmtId="0" fontId="117" fillId="9" borderId="3" xfId="0" applyFont="1" applyFill="1" applyBorder="1" applyAlignment="1">
      <alignment horizontal="left" vertical="center" wrapText="1"/>
    </xf>
    <xf numFmtId="2" fontId="9" fillId="9" borderId="4" xfId="0" applyNumberFormat="1" applyFont="1" applyFill="1" applyBorder="1" applyAlignment="1">
      <alignment vertical="center" wrapText="1"/>
    </xf>
    <xf numFmtId="0" fontId="117" fillId="2" borderId="11" xfId="0" applyFont="1" applyFill="1" applyBorder="1" applyAlignment="1">
      <alignment wrapText="1"/>
    </xf>
    <xf numFmtId="0" fontId="117" fillId="2" borderId="0" xfId="0" applyFont="1" applyFill="1" applyBorder="1" applyAlignment="1">
      <alignment wrapText="1"/>
    </xf>
    <xf numFmtId="2" fontId="117" fillId="2" borderId="0" xfId="0" applyNumberFormat="1" applyFont="1" applyFill="1" applyBorder="1" applyAlignment="1">
      <alignment vertical="center" wrapText="1"/>
    </xf>
    <xf numFmtId="0" fontId="117" fillId="2" borderId="11" xfId="0" applyFont="1" applyFill="1" applyBorder="1" applyAlignment="1">
      <alignment horizontal="left" vertical="center" wrapText="1"/>
    </xf>
    <xf numFmtId="0" fontId="124" fillId="4" borderId="0" xfId="0" applyFont="1" applyFill="1" applyAlignment="1">
      <alignment wrapText="1"/>
    </xf>
    <xf numFmtId="0" fontId="125" fillId="4" borderId="0" xfId="1" applyFont="1" applyFill="1" applyAlignment="1" applyProtection="1"/>
    <xf numFmtId="0" fontId="124" fillId="4" borderId="0" xfId="0" applyFont="1" applyFill="1"/>
    <xf numFmtId="3" fontId="117" fillId="2" borderId="0" xfId="0" applyNumberFormat="1" applyFont="1" applyFill="1" applyBorder="1" applyAlignment="1">
      <alignment wrapText="1"/>
    </xf>
    <xf numFmtId="0" fontId="8" fillId="4" borderId="11" xfId="0" applyFont="1" applyFill="1" applyBorder="1" applyAlignment="1">
      <alignment horizontal="left" indent="1"/>
    </xf>
    <xf numFmtId="0" fontId="10" fillId="5" borderId="0" xfId="0" applyFont="1" applyFill="1" applyBorder="1" applyAlignment="1">
      <alignment horizontal="center" vertical="center" wrapText="1"/>
    </xf>
    <xf numFmtId="0" fontId="35" fillId="5" borderId="0" xfId="0" applyFont="1" applyFill="1" applyBorder="1" applyAlignment="1">
      <alignment wrapText="1"/>
    </xf>
    <xf numFmtId="0" fontId="35" fillId="5" borderId="0" xfId="0" applyFont="1" applyFill="1" applyBorder="1" applyAlignment="1">
      <alignment horizontal="center" vertical="center" wrapText="1"/>
    </xf>
    <xf numFmtId="0" fontId="52" fillId="4" borderId="0" xfId="0" applyFont="1" applyFill="1" applyBorder="1" applyAlignment="1">
      <alignment vertical="center" wrapText="1"/>
    </xf>
    <xf numFmtId="0" fontId="52" fillId="4" borderId="0" xfId="0" applyFont="1" applyFill="1" applyBorder="1" applyAlignment="1">
      <alignment wrapText="1"/>
    </xf>
    <xf numFmtId="0" fontId="58" fillId="4" borderId="55" xfId="0" applyFont="1" applyFill="1" applyBorder="1"/>
    <xf numFmtId="173" fontId="0" fillId="4" borderId="0" xfId="0" applyNumberFormat="1" applyFill="1" applyBorder="1"/>
    <xf numFmtId="173" fontId="8" fillId="4" borderId="0" xfId="0" applyNumberFormat="1" applyFont="1" applyFill="1" applyBorder="1"/>
    <xf numFmtId="173" fontId="0" fillId="4" borderId="0" xfId="0" applyNumberFormat="1" applyFill="1"/>
    <xf numFmtId="173" fontId="6" fillId="4" borderId="0" xfId="0" applyNumberFormat="1" applyFont="1" applyFill="1" applyBorder="1"/>
    <xf numFmtId="173" fontId="0" fillId="4" borderId="0" xfId="0" applyNumberFormat="1" applyFill="1" applyBorder="1" applyAlignment="1">
      <alignment wrapText="1"/>
    </xf>
    <xf numFmtId="173" fontId="0" fillId="4" borderId="12" xfId="0" applyNumberFormat="1" applyFill="1" applyBorder="1" applyAlignment="1">
      <alignment wrapText="1"/>
    </xf>
    <xf numFmtId="49" fontId="17" fillId="4" borderId="0" xfId="0" applyNumberFormat="1" applyFont="1" applyFill="1"/>
    <xf numFmtId="49" fontId="19" fillId="4" borderId="0" xfId="0" applyNumberFormat="1" applyFont="1" applyFill="1"/>
    <xf numFmtId="49" fontId="20" fillId="4" borderId="0" xfId="1" applyNumberFormat="1" applyFont="1" applyFill="1" applyAlignment="1" applyProtection="1"/>
    <xf numFmtId="49" fontId="18" fillId="4" borderId="0" xfId="0" applyNumberFormat="1" applyFont="1" applyFill="1"/>
    <xf numFmtId="49" fontId="0" fillId="4" borderId="0" xfId="0" applyNumberFormat="1" applyFill="1" applyAlignment="1">
      <alignment horizontal="right"/>
    </xf>
    <xf numFmtId="49" fontId="23" fillId="4" borderId="0" xfId="1" applyNumberFormat="1" applyFont="1" applyFill="1" applyAlignment="1" applyProtection="1"/>
    <xf numFmtId="11" fontId="0" fillId="4" borderId="0" xfId="0" applyNumberFormat="1" applyFill="1" applyAlignment="1">
      <alignment horizontal="left" vertical="center" wrapText="1"/>
    </xf>
    <xf numFmtId="11" fontId="0" fillId="4" borderId="0" xfId="0" applyNumberFormat="1" applyFill="1" applyAlignment="1">
      <alignment horizontal="left" vertical="center" wrapText="1" indent="1"/>
    </xf>
    <xf numFmtId="11" fontId="0" fillId="4" borderId="0" xfId="0" applyNumberFormat="1" applyFill="1" applyAlignment="1">
      <alignment vertical="center" wrapText="1"/>
    </xf>
    <xf numFmtId="49" fontId="0" fillId="4" borderId="0" xfId="0" applyNumberFormat="1" applyFill="1" applyAlignment="1">
      <alignment vertical="center" wrapText="1"/>
    </xf>
    <xf numFmtId="49" fontId="13" fillId="4" borderId="0" xfId="0" applyNumberFormat="1" applyFont="1" applyFill="1" applyAlignment="1">
      <alignment vertical="center" wrapText="1"/>
    </xf>
    <xf numFmtId="49" fontId="0" fillId="4" borderId="0" xfId="0" applyNumberFormat="1" applyFont="1" applyFill="1" applyAlignment="1">
      <alignment horizontal="center" vertical="center"/>
    </xf>
    <xf numFmtId="49" fontId="0" fillId="4" borderId="0" xfId="0" applyNumberFormat="1" applyFont="1" applyFill="1" applyAlignment="1">
      <alignment horizontal="center" vertical="center" wrapText="1"/>
    </xf>
    <xf numFmtId="49" fontId="8" fillId="4" borderId="0" xfId="0" applyNumberFormat="1" applyFont="1" applyFill="1" applyAlignment="1">
      <alignment horizontal="left" vertical="center"/>
    </xf>
    <xf numFmtId="49" fontId="0" fillId="4" borderId="0" xfId="0" applyNumberFormat="1" applyFont="1" applyFill="1" applyAlignment="1">
      <alignment horizontal="left" vertical="center"/>
    </xf>
    <xf numFmtId="11" fontId="0" fillId="4" borderId="0" xfId="0" applyNumberFormat="1" applyFill="1" applyAlignment="1"/>
    <xf numFmtId="49" fontId="8" fillId="4" borderId="0" xfId="0" applyNumberFormat="1" applyFont="1" applyFill="1" applyAlignment="1">
      <alignment horizontal="left" indent="1"/>
    </xf>
    <xf numFmtId="49" fontId="0" fillId="4" borderId="0" xfId="0" applyNumberFormat="1" applyFill="1" applyAlignment="1">
      <alignment horizontal="center" vertical="center"/>
    </xf>
    <xf numFmtId="49" fontId="0" fillId="4" borderId="0" xfId="0" applyNumberFormat="1" applyFill="1" applyAlignment="1">
      <alignment horizontal="left" vertical="top" indent="1"/>
    </xf>
    <xf numFmtId="49" fontId="22" fillId="4" borderId="0" xfId="1" applyNumberFormat="1" applyFont="1" applyFill="1" applyAlignment="1" applyProtection="1">
      <alignment horizontal="center" vertical="center"/>
    </xf>
    <xf numFmtId="49" fontId="0" fillId="4" borderId="0" xfId="0" applyNumberFormat="1" applyFill="1" applyAlignment="1">
      <alignment horizontal="center" vertical="center" wrapText="1"/>
    </xf>
    <xf numFmtId="49" fontId="0" fillId="4" borderId="0" xfId="0" applyNumberFormat="1" applyFont="1" applyFill="1" applyAlignment="1">
      <alignment horizontal="left" indent="1"/>
    </xf>
    <xf numFmtId="49" fontId="0" fillId="4" borderId="0" xfId="0" applyNumberFormat="1" applyFill="1" applyAlignment="1">
      <alignment vertical="center"/>
    </xf>
    <xf numFmtId="49" fontId="0" fillId="4" borderId="0" xfId="0" applyNumberFormat="1" applyFill="1" applyAlignment="1">
      <alignment horizontal="right" vertical="center" wrapText="1" indent="1"/>
    </xf>
    <xf numFmtId="49" fontId="0" fillId="4" borderId="0" xfId="0" applyNumberFormat="1" applyFill="1" applyAlignment="1">
      <alignment horizontal="left" vertical="center"/>
    </xf>
    <xf numFmtId="49" fontId="0" fillId="4" borderId="0" xfId="0" applyNumberFormat="1" applyFill="1" applyAlignment="1">
      <alignment horizontal="left" vertical="center" wrapText="1" indent="1"/>
    </xf>
    <xf numFmtId="11" fontId="0" fillId="4" borderId="0" xfId="0" applyNumberFormat="1" applyFill="1"/>
    <xf numFmtId="165" fontId="0" fillId="9" borderId="9" xfId="0" applyNumberFormat="1" applyFill="1" applyBorder="1"/>
    <xf numFmtId="165" fontId="0" fillId="9" borderId="6" xfId="0" applyNumberFormat="1" applyFill="1" applyBorder="1"/>
    <xf numFmtId="165" fontId="0" fillId="9" borderId="10" xfId="0" applyNumberFormat="1" applyFill="1" applyBorder="1"/>
    <xf numFmtId="165" fontId="0" fillId="9" borderId="11" xfId="0" applyNumberFormat="1" applyFill="1" applyBorder="1"/>
    <xf numFmtId="165" fontId="0" fillId="9" borderId="0" xfId="0" applyNumberFormat="1" applyFill="1" applyBorder="1"/>
    <xf numFmtId="165" fontId="0" fillId="9" borderId="12" xfId="0" applyNumberFormat="1" applyFill="1" applyBorder="1"/>
    <xf numFmtId="165" fontId="0" fillId="9" borderId="3" xfId="0" applyNumberFormat="1" applyFill="1" applyBorder="1"/>
    <xf numFmtId="165" fontId="0" fillId="9" borderId="4" xfId="0" applyNumberFormat="1" applyFill="1" applyBorder="1"/>
    <xf numFmtId="165" fontId="0" fillId="9" borderId="5" xfId="0" applyNumberFormat="1" applyFill="1" applyBorder="1"/>
    <xf numFmtId="165" fontId="0" fillId="9" borderId="2" xfId="0" applyNumberFormat="1" applyFill="1" applyBorder="1"/>
    <xf numFmtId="165" fontId="0" fillId="9" borderId="7" xfId="0" applyNumberFormat="1" applyFill="1" applyBorder="1"/>
    <xf numFmtId="165" fontId="0" fillId="9" borderId="67" xfId="0" applyNumberFormat="1" applyFill="1" applyBorder="1"/>
    <xf numFmtId="166" fontId="13" fillId="9" borderId="0" xfId="0" applyNumberFormat="1" applyFont="1" applyFill="1" applyAlignment="1">
      <alignment horizontal="right"/>
    </xf>
    <xf numFmtId="166" fontId="0" fillId="9" borderId="2" xfId="0" applyNumberFormat="1" applyFill="1" applyBorder="1"/>
    <xf numFmtId="0" fontId="108" fillId="9" borderId="0" xfId="0" applyFont="1" applyFill="1" applyAlignment="1">
      <alignment horizontal="right"/>
    </xf>
    <xf numFmtId="1" fontId="109" fillId="9" borderId="0" xfId="0" applyNumberFormat="1" applyFont="1" applyFill="1" applyAlignment="1">
      <alignment horizontal="right"/>
    </xf>
    <xf numFmtId="0" fontId="26" fillId="9" borderId="0" xfId="0" quotePrefix="1" applyFont="1" applyFill="1" applyBorder="1" applyAlignment="1">
      <alignment horizontal="left"/>
    </xf>
    <xf numFmtId="169" fontId="25" fillId="9" borderId="0" xfId="0" applyNumberFormat="1" applyFont="1" applyFill="1" applyBorder="1" applyAlignment="1">
      <alignment horizontal="right"/>
    </xf>
    <xf numFmtId="167" fontId="25" fillId="9" borderId="0" xfId="0" applyNumberFormat="1" applyFont="1" applyFill="1" applyBorder="1" applyAlignment="1">
      <alignment horizontal="right"/>
    </xf>
    <xf numFmtId="3" fontId="0" fillId="9" borderId="9" xfId="0" applyNumberFormat="1" applyFill="1" applyBorder="1"/>
    <xf numFmtId="3" fontId="0" fillId="9" borderId="6" xfId="0" applyNumberFormat="1" applyFill="1" applyBorder="1"/>
    <xf numFmtId="3" fontId="0" fillId="9" borderId="10" xfId="0" applyNumberFormat="1" applyFill="1" applyBorder="1"/>
    <xf numFmtId="3" fontId="0" fillId="9" borderId="11" xfId="0" applyNumberFormat="1" applyFill="1" applyBorder="1"/>
    <xf numFmtId="3" fontId="0" fillId="9" borderId="0" xfId="0" applyNumberFormat="1" applyFill="1" applyBorder="1"/>
    <xf numFmtId="3" fontId="0" fillId="9" borderId="12" xfId="0" applyNumberFormat="1" applyFill="1" applyBorder="1"/>
    <xf numFmtId="0" fontId="0" fillId="9" borderId="4" xfId="0" applyFill="1" applyBorder="1" applyAlignment="1">
      <alignment horizontal="center" vertical="center"/>
    </xf>
    <xf numFmtId="0" fontId="0" fillId="9" borderId="5" xfId="0" applyFill="1" applyBorder="1" applyAlignment="1">
      <alignment horizontal="center" vertical="center"/>
    </xf>
    <xf numFmtId="1" fontId="0" fillId="9" borderId="7" xfId="0" applyNumberFormat="1" applyFill="1" applyBorder="1"/>
    <xf numFmtId="1" fontId="0" fillId="9" borderId="2" xfId="0" applyNumberFormat="1" applyFill="1" applyBorder="1"/>
    <xf numFmtId="1" fontId="0" fillId="9" borderId="9" xfId="0" applyNumberFormat="1" applyFill="1" applyBorder="1"/>
    <xf numFmtId="2" fontId="0" fillId="9" borderId="6" xfId="0" applyNumberFormat="1" applyFill="1" applyBorder="1"/>
    <xf numFmtId="2" fontId="0" fillId="9" borderId="10" xfId="0" applyNumberFormat="1" applyFill="1" applyBorder="1"/>
    <xf numFmtId="1" fontId="0" fillId="9" borderId="11" xfId="0" applyNumberFormat="1" applyFill="1" applyBorder="1"/>
    <xf numFmtId="2" fontId="0" fillId="9" borderId="0" xfId="0" applyNumberFormat="1" applyFill="1" applyBorder="1"/>
    <xf numFmtId="2" fontId="0" fillId="9" borderId="12" xfId="0" applyNumberFormat="1" applyFill="1" applyBorder="1"/>
    <xf numFmtId="1" fontId="0" fillId="9" borderId="3" xfId="0" applyNumberFormat="1" applyFill="1" applyBorder="1"/>
    <xf numFmtId="2" fontId="0" fillId="9" borderId="4" xfId="0" applyNumberFormat="1" applyFill="1" applyBorder="1"/>
    <xf numFmtId="2" fontId="0" fillId="9" borderId="5" xfId="0" applyNumberFormat="1" applyFill="1" applyBorder="1"/>
    <xf numFmtId="2" fontId="0" fillId="9" borderId="7" xfId="0" applyNumberFormat="1" applyFill="1" applyBorder="1"/>
    <xf numFmtId="1" fontId="117" fillId="9" borderId="11" xfId="0" applyNumberFormat="1" applyFont="1" applyFill="1" applyBorder="1" applyAlignment="1">
      <alignment vertical="center" wrapText="1"/>
    </xf>
    <xf numFmtId="1" fontId="117" fillId="9" borderId="0" xfId="0" applyNumberFormat="1" applyFont="1" applyFill="1" applyBorder="1" applyAlignment="1">
      <alignment vertical="center" wrapText="1"/>
    </xf>
    <xf numFmtId="1" fontId="117" fillId="9" borderId="12" xfId="0" applyNumberFormat="1" applyFont="1" applyFill="1" applyBorder="1" applyAlignment="1">
      <alignment vertical="center" wrapText="1"/>
    </xf>
    <xf numFmtId="0" fontId="117" fillId="5" borderId="11" xfId="0" applyFont="1" applyFill="1" applyBorder="1" applyAlignment="1">
      <alignment wrapText="1"/>
    </xf>
    <xf numFmtId="0" fontId="117" fillId="5" borderId="0" xfId="0" applyFont="1" applyFill="1" applyBorder="1" applyAlignment="1">
      <alignment wrapText="1"/>
    </xf>
    <xf numFmtId="0" fontId="117" fillId="5" borderId="12" xfId="0" applyFont="1" applyFill="1" applyBorder="1" applyAlignment="1">
      <alignment wrapText="1"/>
    </xf>
    <xf numFmtId="164" fontId="117" fillId="5" borderId="11" xfId="0" applyNumberFormat="1" applyFont="1" applyFill="1" applyBorder="1" applyAlignment="1">
      <alignment wrapText="1"/>
    </xf>
    <xf numFmtId="164" fontId="117" fillId="5" borderId="0" xfId="0" applyNumberFormat="1" applyFont="1" applyFill="1" applyBorder="1" applyAlignment="1">
      <alignment wrapText="1"/>
    </xf>
    <xf numFmtId="164" fontId="117" fillId="5" borderId="12" xfId="0" applyNumberFormat="1" applyFont="1" applyFill="1" applyBorder="1" applyAlignment="1">
      <alignment wrapText="1"/>
    </xf>
    <xf numFmtId="164" fontId="8" fillId="5" borderId="11" xfId="0" applyNumberFormat="1" applyFont="1" applyFill="1" applyBorder="1" applyAlignment="1">
      <alignment wrapText="1"/>
    </xf>
    <xf numFmtId="164" fontId="8" fillId="5" borderId="0" xfId="0" applyNumberFormat="1" applyFont="1" applyFill="1" applyBorder="1" applyAlignment="1">
      <alignment wrapText="1"/>
    </xf>
    <xf numFmtId="0" fontId="117" fillId="2" borderId="12" xfId="0" applyFont="1" applyFill="1" applyBorder="1" applyAlignment="1">
      <alignment wrapText="1"/>
    </xf>
    <xf numFmtId="164" fontId="117" fillId="2" borderId="11" xfId="0" applyNumberFormat="1" applyFont="1" applyFill="1" applyBorder="1" applyAlignment="1">
      <alignment vertical="center" wrapText="1"/>
    </xf>
    <xf numFmtId="164" fontId="117" fillId="2" borderId="0" xfId="0" applyNumberFormat="1" applyFont="1" applyFill="1" applyBorder="1" applyAlignment="1">
      <alignment vertical="center" wrapText="1"/>
    </xf>
    <xf numFmtId="164" fontId="117" fillId="2" borderId="12" xfId="0" applyNumberFormat="1" applyFont="1" applyFill="1" applyBorder="1" applyAlignment="1">
      <alignment vertical="center" wrapText="1"/>
    </xf>
    <xf numFmtId="164" fontId="117" fillId="5" borderId="0" xfId="0" applyNumberFormat="1" applyFont="1" applyFill="1" applyBorder="1" applyAlignment="1">
      <alignment vertical="center" wrapText="1"/>
    </xf>
    <xf numFmtId="164" fontId="117" fillId="5" borderId="12" xfId="0" applyNumberFormat="1" applyFont="1" applyFill="1" applyBorder="1" applyAlignment="1">
      <alignment vertical="center" wrapText="1"/>
    </xf>
    <xf numFmtId="164" fontId="117" fillId="9" borderId="11" xfId="0" applyNumberFormat="1" applyFont="1" applyFill="1" applyBorder="1" applyAlignment="1">
      <alignment horizontal="right" wrapText="1"/>
    </xf>
    <xf numFmtId="164" fontId="117" fillId="9" borderId="0" xfId="0" applyNumberFormat="1" applyFont="1" applyFill="1" applyBorder="1" applyAlignment="1">
      <alignment horizontal="right" wrapText="1"/>
    </xf>
    <xf numFmtId="164" fontId="117" fillId="9" borderId="12" xfId="0" applyNumberFormat="1" applyFont="1" applyFill="1" applyBorder="1" applyAlignment="1">
      <alignment horizontal="right" wrapText="1"/>
    </xf>
    <xf numFmtId="2" fontId="5" fillId="9" borderId="11" xfId="0" applyNumberFormat="1" applyFont="1" applyFill="1" applyBorder="1" applyAlignment="1">
      <alignment wrapText="1"/>
    </xf>
    <xf numFmtId="2" fontId="5" fillId="9" borderId="0" xfId="0" applyNumberFormat="1" applyFont="1" applyFill="1" applyBorder="1" applyAlignment="1">
      <alignment wrapText="1"/>
    </xf>
    <xf numFmtId="2" fontId="5" fillId="9" borderId="12" xfId="0" applyNumberFormat="1" applyFont="1" applyFill="1" applyBorder="1" applyAlignment="1">
      <alignment wrapText="1"/>
    </xf>
    <xf numFmtId="2" fontId="5" fillId="9" borderId="3" xfId="0" applyNumberFormat="1" applyFont="1" applyFill="1" applyBorder="1" applyAlignment="1">
      <alignment wrapText="1"/>
    </xf>
    <xf numFmtId="2" fontId="5" fillId="9" borderId="4" xfId="0" applyNumberFormat="1" applyFont="1" applyFill="1" applyBorder="1" applyAlignment="1">
      <alignment wrapText="1"/>
    </xf>
    <xf numFmtId="2" fontId="5" fillId="9" borderId="5" xfId="0" applyNumberFormat="1" applyFont="1" applyFill="1" applyBorder="1" applyAlignment="1">
      <alignment wrapText="1"/>
    </xf>
    <xf numFmtId="165" fontId="5" fillId="9" borderId="11" xfId="0" applyNumberFormat="1" applyFont="1" applyFill="1" applyBorder="1" applyAlignment="1">
      <alignment wrapText="1"/>
    </xf>
    <xf numFmtId="165" fontId="5" fillId="9" borderId="0" xfId="0" applyNumberFormat="1" applyFont="1" applyFill="1" applyBorder="1" applyAlignment="1">
      <alignment wrapText="1"/>
    </xf>
    <xf numFmtId="3" fontId="117" fillId="9" borderId="11" xfId="0" applyNumberFormat="1" applyFont="1" applyFill="1" applyBorder="1" applyAlignment="1">
      <alignment wrapText="1"/>
    </xf>
    <xf numFmtId="3" fontId="117" fillId="9" borderId="12" xfId="0" applyNumberFormat="1" applyFont="1" applyFill="1" applyBorder="1" applyAlignment="1">
      <alignment wrapText="1"/>
    </xf>
    <xf numFmtId="3" fontId="117" fillId="9" borderId="0" xfId="0" applyNumberFormat="1" applyFont="1" applyFill="1" applyBorder="1" applyAlignment="1">
      <alignment wrapText="1"/>
    </xf>
    <xf numFmtId="3" fontId="8" fillId="2" borderId="11"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3" fontId="117" fillId="2" borderId="11" xfId="0" applyNumberFormat="1" applyFont="1" applyFill="1" applyBorder="1" applyAlignment="1">
      <alignment wrapText="1"/>
    </xf>
    <xf numFmtId="0" fontId="8" fillId="2" borderId="3" xfId="0" applyFont="1" applyFill="1" applyBorder="1" applyAlignment="1">
      <alignment wrapText="1"/>
    </xf>
    <xf numFmtId="0" fontId="8" fillId="2" borderId="4" xfId="0" applyFont="1" applyFill="1" applyBorder="1" applyAlignment="1">
      <alignment wrapText="1"/>
    </xf>
    <xf numFmtId="0" fontId="117" fillId="2" borderId="4" xfId="0" applyFont="1" applyFill="1" applyBorder="1" applyAlignment="1">
      <alignment wrapText="1"/>
    </xf>
    <xf numFmtId="0" fontId="117" fillId="2" borderId="5" xfId="0" applyFont="1" applyFill="1" applyBorder="1" applyAlignment="1">
      <alignment wrapText="1"/>
    </xf>
    <xf numFmtId="0" fontId="117" fillId="2" borderId="3" xfId="0" applyFont="1" applyFill="1" applyBorder="1" applyAlignment="1">
      <alignment wrapText="1"/>
    </xf>
    <xf numFmtId="3" fontId="5" fillId="9" borderId="11" xfId="0" applyNumberFormat="1" applyFont="1" applyFill="1" applyBorder="1" applyAlignment="1">
      <alignment wrapText="1"/>
    </xf>
    <xf numFmtId="3" fontId="5" fillId="9" borderId="0" xfId="0" applyNumberFormat="1" applyFont="1" applyFill="1" applyBorder="1" applyAlignment="1">
      <alignment wrapText="1"/>
    </xf>
    <xf numFmtId="3" fontId="5" fillId="9" borderId="12" xfId="0" applyNumberFormat="1" applyFont="1" applyFill="1" applyBorder="1" applyAlignment="1">
      <alignment wrapText="1"/>
    </xf>
    <xf numFmtId="1" fontId="117" fillId="2" borderId="11" xfId="0" applyNumberFormat="1" applyFont="1" applyFill="1" applyBorder="1" applyAlignment="1">
      <alignment vertical="center" wrapText="1"/>
    </xf>
    <xf numFmtId="1" fontId="117" fillId="2" borderId="0" xfId="0" applyNumberFormat="1" applyFont="1" applyFill="1" applyBorder="1" applyAlignment="1">
      <alignment vertical="center" wrapText="1"/>
    </xf>
    <xf numFmtId="1" fontId="8" fillId="2" borderId="11" xfId="0" applyNumberFormat="1" applyFont="1" applyFill="1" applyBorder="1" applyAlignment="1">
      <alignment vertical="center" wrapText="1"/>
    </xf>
    <xf numFmtId="1" fontId="8" fillId="2" borderId="0" xfId="0" applyNumberFormat="1" applyFont="1" applyFill="1" applyBorder="1" applyAlignment="1">
      <alignment vertical="center" wrapText="1"/>
    </xf>
    <xf numFmtId="0" fontId="117" fillId="2" borderId="11" xfId="0" applyFont="1" applyFill="1" applyBorder="1" applyAlignment="1">
      <alignment vertical="center" wrapText="1"/>
    </xf>
    <xf numFmtId="0" fontId="117" fillId="2" borderId="0" xfId="0" applyFont="1" applyFill="1" applyBorder="1" applyAlignment="1">
      <alignment vertical="center" wrapText="1"/>
    </xf>
    <xf numFmtId="0" fontId="9" fillId="4" borderId="11" xfId="0" applyFont="1" applyFill="1" applyBorder="1" applyAlignment="1">
      <alignment wrapText="1"/>
    </xf>
    <xf numFmtId="173" fontId="0" fillId="4" borderId="21" xfId="0" applyNumberFormat="1" applyFill="1" applyBorder="1" applyAlignment="1">
      <alignment wrapText="1"/>
    </xf>
    <xf numFmtId="0" fontId="53" fillId="4" borderId="6" xfId="0" applyFont="1" applyFill="1" applyBorder="1" applyAlignment="1">
      <alignment horizontal="center" vertical="center" wrapText="1"/>
    </xf>
    <xf numFmtId="0" fontId="53" fillId="4" borderId="0" xfId="0" applyFont="1" applyFill="1" applyBorder="1" applyAlignment="1">
      <alignment horizontal="center" vertical="center" wrapText="1"/>
    </xf>
    <xf numFmtId="0" fontId="52" fillId="4" borderId="4" xfId="0" applyFont="1" applyFill="1" applyBorder="1" applyAlignment="1">
      <alignment vertical="center" wrapText="1"/>
    </xf>
    <xf numFmtId="0" fontId="54" fillId="4" borderId="0" xfId="0" applyFont="1" applyFill="1" applyBorder="1" applyAlignment="1">
      <alignment horizontal="left" vertical="center" wrapText="1"/>
    </xf>
    <xf numFmtId="0" fontId="55" fillId="4" borderId="0" xfId="0" applyFont="1" applyFill="1" applyBorder="1" applyAlignment="1">
      <alignment horizontal="left" vertical="center" wrapText="1"/>
    </xf>
    <xf numFmtId="0" fontId="74" fillId="4" borderId="4" xfId="0" applyFont="1" applyFill="1" applyBorder="1" applyAlignment="1">
      <alignment wrapText="1"/>
    </xf>
    <xf numFmtId="0" fontId="52" fillId="4" borderId="4" xfId="0" applyFont="1" applyFill="1" applyBorder="1" applyAlignment="1">
      <alignment wrapText="1"/>
    </xf>
    <xf numFmtId="0" fontId="52" fillId="4" borderId="6" xfId="0" applyFont="1" applyFill="1" applyBorder="1" applyAlignment="1">
      <alignment wrapText="1"/>
    </xf>
    <xf numFmtId="0" fontId="52" fillId="5" borderId="0" xfId="0" applyFont="1" applyFill="1" applyBorder="1" applyAlignment="1">
      <alignment wrapText="1"/>
    </xf>
    <xf numFmtId="0" fontId="27" fillId="2" borderId="4" xfId="0" applyFont="1" applyFill="1" applyBorder="1" applyProtection="1">
      <protection locked="0"/>
    </xf>
    <xf numFmtId="0" fontId="27"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164" fontId="3" fillId="10" borderId="0" xfId="0" applyNumberFormat="1" applyFont="1" applyFill="1"/>
    <xf numFmtId="164" fontId="4" fillId="10" borderId="0" xfId="0" applyNumberFormat="1" applyFont="1" applyFill="1" applyBorder="1" applyProtection="1">
      <protection locked="0"/>
    </xf>
    <xf numFmtId="164" fontId="128" fillId="10" borderId="0" xfId="0" applyNumberFormat="1" applyFont="1" applyFill="1" applyBorder="1" applyProtection="1">
      <protection locked="0"/>
    </xf>
    <xf numFmtId="164" fontId="128" fillId="9" borderId="0" xfId="0" applyNumberFormat="1" applyFont="1" applyFill="1" applyBorder="1" applyProtection="1">
      <protection locked="0"/>
    </xf>
    <xf numFmtId="0" fontId="11" fillId="4" borderId="0" xfId="0" applyFont="1" applyFill="1" applyBorder="1" applyAlignment="1" applyProtection="1">
      <alignment horizontal="left" wrapText="1" indent="2"/>
      <protection locked="0"/>
    </xf>
    <xf numFmtId="164" fontId="4" fillId="4" borderId="0" xfId="0" applyNumberFormat="1" applyFont="1" applyFill="1" applyBorder="1" applyProtection="1">
      <protection locked="0"/>
    </xf>
    <xf numFmtId="1" fontId="45" fillId="4" borderId="0" xfId="0" applyNumberFormat="1" applyFont="1" applyFill="1" applyBorder="1" applyAlignment="1" applyProtection="1">
      <alignment horizontal="left" wrapText="1"/>
      <protection locked="0"/>
    </xf>
    <xf numFmtId="164" fontId="58" fillId="10" borderId="0" xfId="0" applyNumberFormat="1" applyFont="1" applyFill="1" applyBorder="1" applyProtection="1">
      <protection locked="0"/>
    </xf>
    <xf numFmtId="164" fontId="0" fillId="4" borderId="0" xfId="0" applyNumberFormat="1" applyFill="1" applyAlignment="1">
      <alignment horizontal="left" indent="1"/>
    </xf>
    <xf numFmtId="164" fontId="0" fillId="4" borderId="0" xfId="0" applyNumberFormat="1" applyFill="1" applyAlignment="1">
      <alignment horizontal="left" indent="2"/>
    </xf>
    <xf numFmtId="172" fontId="8" fillId="10" borderId="2" xfId="0" applyNumberFormat="1" applyFont="1" applyFill="1" applyBorder="1" applyProtection="1">
      <protection locked="0"/>
    </xf>
    <xf numFmtId="172" fontId="8" fillId="10" borderId="7" xfId="0" applyNumberFormat="1" applyFont="1" applyFill="1" applyBorder="1" applyProtection="1">
      <protection locked="0"/>
    </xf>
    <xf numFmtId="1" fontId="8" fillId="4" borderId="0" xfId="0" applyNumberFormat="1" applyFont="1" applyFill="1" applyBorder="1" applyAlignment="1" applyProtection="1">
      <alignment horizontal="left" wrapText="1"/>
      <protection locked="0"/>
    </xf>
    <xf numFmtId="0" fontId="8" fillId="7" borderId="7" xfId="0" applyFont="1" applyFill="1" applyBorder="1" applyAlignment="1" applyProtection="1">
      <alignment horizontal="left" wrapText="1"/>
      <protection locked="0"/>
    </xf>
    <xf numFmtId="171" fontId="45" fillId="4" borderId="0" xfId="0" applyNumberFormat="1" applyFont="1" applyFill="1" applyAlignment="1" applyProtection="1">
      <alignment horizontal="right"/>
      <protection locked="0"/>
    </xf>
    <xf numFmtId="171" fontId="11" fillId="4" borderId="0" xfId="0" applyNumberFormat="1" applyFont="1" applyFill="1" applyAlignment="1" applyProtection="1">
      <alignment horizontal="right"/>
      <protection locked="0"/>
    </xf>
    <xf numFmtId="1" fontId="11" fillId="4" borderId="0" xfId="0" applyNumberFormat="1" applyFont="1" applyFill="1" applyBorder="1" applyAlignment="1" applyProtection="1">
      <alignment horizontal="left" wrapText="1" indent="2"/>
      <protection locked="0"/>
    </xf>
    <xf numFmtId="170" fontId="44" fillId="9" borderId="4" xfId="0" applyNumberFormat="1" applyFont="1" applyFill="1" applyBorder="1" applyProtection="1"/>
    <xf numFmtId="170" fontId="45" fillId="9" borderId="9" xfId="0" applyNumberFormat="1" applyFont="1" applyFill="1" applyBorder="1" applyProtection="1">
      <protection locked="0"/>
    </xf>
    <xf numFmtId="170" fontId="45" fillId="9" borderId="6" xfId="0" applyNumberFormat="1" applyFont="1" applyFill="1" applyBorder="1" applyProtection="1">
      <protection locked="0"/>
    </xf>
    <xf numFmtId="164" fontId="0" fillId="4" borderId="0" xfId="0" applyNumberFormat="1" applyFill="1" applyAlignment="1">
      <alignment horizontal="left"/>
    </xf>
    <xf numFmtId="0" fontId="11" fillId="4" borderId="0" xfId="0" applyFont="1" applyFill="1" applyBorder="1" applyAlignment="1" applyProtection="1">
      <alignment horizontal="left" wrapText="1" indent="3"/>
      <protection locked="0"/>
    </xf>
    <xf numFmtId="0" fontId="8" fillId="9" borderId="7" xfId="0" applyFont="1" applyFill="1" applyBorder="1" applyAlignment="1" applyProtection="1">
      <alignment horizontal="left" wrapText="1"/>
      <protection locked="0"/>
    </xf>
    <xf numFmtId="0" fontId="8" fillId="4" borderId="0" xfId="0" applyFont="1" applyFill="1" applyProtection="1">
      <protection locked="0"/>
    </xf>
    <xf numFmtId="0" fontId="8" fillId="4" borderId="0" xfId="0" applyFont="1" applyFill="1" applyBorder="1" applyAlignment="1" applyProtection="1">
      <alignment horizontal="left" wrapText="1" indent="1"/>
      <protection locked="0"/>
    </xf>
    <xf numFmtId="0" fontId="8" fillId="4" borderId="0" xfId="0" applyFont="1" applyFill="1" applyAlignment="1" applyProtection="1">
      <alignment wrapText="1"/>
      <protection locked="0"/>
    </xf>
    <xf numFmtId="171" fontId="8" fillId="4" borderId="0" xfId="0" applyNumberFormat="1" applyFont="1" applyFill="1" applyAlignment="1" applyProtection="1">
      <alignment horizontal="right"/>
      <protection locked="0"/>
    </xf>
    <xf numFmtId="0" fontId="44" fillId="10" borderId="0" xfId="0" applyFont="1" applyFill="1" applyBorder="1" applyAlignment="1" applyProtection="1">
      <alignment horizontal="right" wrapText="1"/>
      <protection locked="0"/>
    </xf>
    <xf numFmtId="0" fontId="39" fillId="8" borderId="0" xfId="0" applyFont="1" applyFill="1" applyProtection="1">
      <protection locked="0"/>
    </xf>
    <xf numFmtId="167" fontId="39" fillId="8" borderId="0" xfId="0" applyNumberFormat="1" applyFont="1" applyFill="1" applyProtection="1">
      <protection locked="0"/>
    </xf>
    <xf numFmtId="2" fontId="39" fillId="8" borderId="0" xfId="0" applyNumberFormat="1" applyFont="1" applyFill="1" applyProtection="1">
      <protection locked="0"/>
    </xf>
    <xf numFmtId="164" fontId="4" fillId="9" borderId="6" xfId="0" applyNumberFormat="1" applyFont="1" applyFill="1" applyBorder="1" applyProtection="1">
      <protection locked="0"/>
    </xf>
    <xf numFmtId="164" fontId="3" fillId="10" borderId="0" xfId="0" applyNumberFormat="1" applyFont="1" applyFill="1" applyBorder="1" applyAlignment="1" applyProtection="1">
      <alignment horizontal="right"/>
      <protection locked="0"/>
    </xf>
    <xf numFmtId="0" fontId="44" fillId="10" borderId="0" xfId="0" applyFont="1" applyFill="1" applyBorder="1" applyAlignment="1" applyProtection="1">
      <alignment horizontal="right"/>
      <protection locked="0"/>
    </xf>
    <xf numFmtId="0" fontId="44" fillId="10" borderId="4" xfId="0" applyFont="1" applyFill="1" applyBorder="1" applyAlignment="1" applyProtection="1">
      <alignment horizontal="right" wrapText="1"/>
      <protection locked="0"/>
    </xf>
    <xf numFmtId="0" fontId="66" fillId="2" borderId="4" xfId="0" applyFont="1" applyFill="1" applyBorder="1" applyAlignment="1" applyProtection="1">
      <alignment wrapText="1"/>
      <protection locked="0"/>
    </xf>
    <xf numFmtId="0" fontId="79" fillId="2" borderId="3" xfId="0"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5" xfId="0" applyFont="1" applyFill="1" applyBorder="1" applyAlignment="1" applyProtection="1">
      <alignment horizontal="center" vertical="center"/>
      <protection locked="0"/>
    </xf>
    <xf numFmtId="1" fontId="79" fillId="4" borderId="0" xfId="0" applyNumberFormat="1" applyFont="1" applyFill="1" applyBorder="1" applyAlignment="1" applyProtection="1">
      <alignment horizontal="left" wrapText="1"/>
      <protection locked="0"/>
    </xf>
    <xf numFmtId="1" fontId="129" fillId="4" borderId="0" xfId="0" applyNumberFormat="1" applyFont="1" applyFill="1" applyBorder="1" applyProtection="1">
      <protection locked="0"/>
    </xf>
    <xf numFmtId="1" fontId="130" fillId="4" borderId="0" xfId="0" applyNumberFormat="1" applyFont="1" applyFill="1" applyBorder="1" applyAlignment="1" applyProtection="1">
      <alignment horizontal="left" wrapText="1"/>
      <protection locked="0"/>
    </xf>
    <xf numFmtId="0" fontId="34" fillId="4" borderId="0" xfId="0" applyFont="1" applyFill="1" applyBorder="1" applyAlignment="1" applyProtection="1">
      <alignment horizontal="left" wrapText="1" indent="1"/>
      <protection locked="0"/>
    </xf>
    <xf numFmtId="1" fontId="37" fillId="4" borderId="0" xfId="0" applyNumberFormat="1" applyFont="1" applyFill="1" applyBorder="1" applyAlignment="1" applyProtection="1">
      <alignment horizontal="left" wrapText="1" indent="1"/>
      <protection locked="0"/>
    </xf>
    <xf numFmtId="0" fontId="130" fillId="4" borderId="0" xfId="0" applyFont="1" applyFill="1" applyBorder="1" applyAlignment="1" applyProtection="1">
      <alignment horizontal="left" wrapText="1" indent="2"/>
      <protection locked="0"/>
    </xf>
    <xf numFmtId="0" fontId="8" fillId="4" borderId="0" xfId="0" applyFont="1" applyFill="1" applyBorder="1" applyAlignment="1" applyProtection="1">
      <alignment wrapText="1"/>
      <protection locked="0"/>
    </xf>
    <xf numFmtId="1" fontId="37" fillId="4" borderId="0" xfId="0" applyNumberFormat="1" applyFont="1" applyFill="1" applyBorder="1" applyAlignment="1" applyProtection="1">
      <alignment horizontal="left" wrapText="1"/>
      <protection locked="0"/>
    </xf>
    <xf numFmtId="0" fontId="8" fillId="4" borderId="7" xfId="0" applyFont="1" applyFill="1" applyBorder="1" applyAlignment="1" applyProtection="1">
      <alignment wrapText="1"/>
      <protection locked="0"/>
    </xf>
    <xf numFmtId="0" fontId="41" fillId="10" borderId="0" xfId="0" applyFont="1" applyFill="1" applyBorder="1" applyAlignment="1" applyProtection="1">
      <alignment horizontal="left" wrapText="1"/>
      <protection locked="0"/>
    </xf>
    <xf numFmtId="0" fontId="127" fillId="4" borderId="7" xfId="0" applyFont="1" applyFill="1" applyBorder="1" applyAlignment="1" applyProtection="1">
      <alignment wrapText="1"/>
      <protection locked="0"/>
    </xf>
    <xf numFmtId="0" fontId="8" fillId="4" borderId="0" xfId="0" applyFont="1" applyFill="1" applyBorder="1" applyAlignment="1" applyProtection="1">
      <alignment horizontal="left" wrapText="1"/>
      <protection locked="0"/>
    </xf>
    <xf numFmtId="0" fontId="41" fillId="4" borderId="6" xfId="0" applyFont="1" applyFill="1" applyBorder="1" applyAlignment="1" applyProtection="1">
      <alignment wrapText="1"/>
      <protection locked="0"/>
    </xf>
    <xf numFmtId="0" fontId="127" fillId="4" borderId="4" xfId="0" applyFont="1" applyFill="1" applyBorder="1" applyAlignment="1" applyProtection="1">
      <alignment wrapText="1"/>
      <protection locked="0"/>
    </xf>
    <xf numFmtId="0" fontId="130" fillId="4" borderId="0" xfId="0" applyFont="1" applyFill="1" applyBorder="1" applyAlignment="1" applyProtection="1">
      <alignment wrapText="1"/>
      <protection locked="0"/>
    </xf>
    <xf numFmtId="164" fontId="130" fillId="4" borderId="7" xfId="0" applyNumberFormat="1" applyFont="1" applyFill="1" applyBorder="1" applyAlignment="1" applyProtection="1">
      <alignment wrapText="1"/>
      <protection locked="0"/>
    </xf>
    <xf numFmtId="0" fontId="34" fillId="4" borderId="0" xfId="0" applyFont="1" applyFill="1" applyBorder="1" applyAlignment="1">
      <alignment horizontal="left" wrapText="1"/>
    </xf>
    <xf numFmtId="1" fontId="6" fillId="4" borderId="7" xfId="0" applyNumberFormat="1" applyFont="1" applyFill="1" applyBorder="1" applyAlignment="1">
      <alignment horizontal="right" wrapText="1"/>
    </xf>
    <xf numFmtId="0" fontId="52" fillId="4" borderId="7" xfId="0" applyFont="1" applyFill="1" applyBorder="1" applyAlignment="1">
      <alignment wrapText="1"/>
    </xf>
    <xf numFmtId="0" fontId="0" fillId="11" borderId="4" xfId="0" applyFill="1" applyBorder="1" applyAlignment="1">
      <alignment wrapText="1"/>
    </xf>
    <xf numFmtId="164" fontId="0" fillId="11" borderId="4" xfId="0" applyNumberFormat="1" applyFill="1" applyBorder="1" applyAlignment="1">
      <alignment vertical="center" wrapText="1"/>
    </xf>
    <xf numFmtId="0" fontId="0" fillId="11" borderId="4" xfId="0" applyFill="1" applyBorder="1" applyAlignment="1">
      <alignment vertical="center" wrapText="1"/>
    </xf>
    <xf numFmtId="172" fontId="8" fillId="11" borderId="7" xfId="0" applyNumberFormat="1" applyFont="1" applyFill="1" applyBorder="1" applyProtection="1">
      <protection locked="0"/>
    </xf>
    <xf numFmtId="0" fontId="42" fillId="11" borderId="0" xfId="0" applyFont="1" applyFill="1" applyBorder="1" applyAlignment="1" applyProtection="1">
      <alignment wrapText="1"/>
      <protection locked="0"/>
    </xf>
    <xf numFmtId="0" fontId="3" fillId="4" borderId="0" xfId="0" applyFont="1" applyFill="1" applyBorder="1" applyAlignment="1" applyProtection="1">
      <alignment horizontal="left" wrapText="1" indent="2"/>
      <protection locked="0"/>
    </xf>
    <xf numFmtId="0" fontId="3" fillId="4" borderId="0" xfId="0" applyFont="1" applyFill="1" applyBorder="1" applyAlignment="1" applyProtection="1">
      <alignment wrapText="1"/>
      <protection locked="0"/>
    </xf>
    <xf numFmtId="164" fontId="44" fillId="4" borderId="0" xfId="0" applyNumberFormat="1" applyFont="1" applyFill="1" applyProtection="1">
      <protection locked="0"/>
    </xf>
    <xf numFmtId="10" fontId="92" fillId="11" borderId="0" xfId="0" applyNumberFormat="1" applyFont="1" applyFill="1" applyProtection="1">
      <protection locked="0"/>
    </xf>
    <xf numFmtId="10" fontId="130" fillId="11" borderId="0" xfId="0" applyNumberFormat="1" applyFont="1" applyFill="1" applyBorder="1" applyProtection="1">
      <protection locked="0"/>
    </xf>
    <xf numFmtId="164" fontId="44" fillId="4" borderId="4" xfId="0" applyNumberFormat="1" applyFont="1" applyFill="1" applyBorder="1" applyAlignment="1" applyProtection="1">
      <alignment wrapText="1"/>
      <protection locked="0"/>
    </xf>
    <xf numFmtId="0" fontId="27" fillId="4" borderId="11" xfId="0" applyFont="1" applyFill="1" applyBorder="1" applyAlignment="1" applyProtection="1">
      <alignment horizontal="center" vertical="center"/>
      <protection locked="0"/>
    </xf>
    <xf numFmtId="0" fontId="27" fillId="4" borderId="0" xfId="0" applyFont="1" applyFill="1" applyBorder="1" applyAlignment="1" applyProtection="1">
      <alignment horizontal="center" vertical="center"/>
      <protection locked="0"/>
    </xf>
    <xf numFmtId="0" fontId="27" fillId="4" borderId="12" xfId="0" applyFont="1" applyFill="1" applyBorder="1" applyAlignment="1" applyProtection="1">
      <alignment horizontal="center" vertical="center"/>
      <protection locked="0"/>
    </xf>
    <xf numFmtId="0" fontId="27" fillId="4" borderId="0"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7" xfId="0" applyFont="1" applyFill="1" applyBorder="1" applyProtection="1">
      <protection locked="0"/>
    </xf>
    <xf numFmtId="0" fontId="3"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 fontId="11" fillId="4" borderId="0" xfId="0" applyNumberFormat="1" applyFont="1" applyFill="1" applyBorder="1" applyAlignment="1" applyProtection="1">
      <alignment horizontal="left" wrapText="1" indent="1"/>
      <protection locked="0"/>
    </xf>
    <xf numFmtId="0" fontId="11" fillId="4" borderId="26" xfId="0" applyFont="1" applyFill="1" applyBorder="1" applyProtection="1">
      <protection locked="0"/>
    </xf>
    <xf numFmtId="0" fontId="69" fillId="2" borderId="4" xfId="0" applyFont="1" applyFill="1" applyBorder="1" applyAlignment="1" applyProtection="1">
      <alignment wrapText="1"/>
      <protection locked="0"/>
    </xf>
    <xf numFmtId="1" fontId="11" fillId="4" borderId="0" xfId="0" applyNumberFormat="1" applyFont="1" applyFill="1" applyBorder="1" applyAlignment="1" applyProtection="1">
      <alignment horizontal="left" wrapText="1"/>
      <protection locked="0"/>
    </xf>
    <xf numFmtId="0" fontId="27" fillId="5" borderId="68" xfId="0" applyFont="1" applyFill="1" applyBorder="1" applyProtection="1">
      <protection locked="0"/>
    </xf>
    <xf numFmtId="0" fontId="45" fillId="7" borderId="7" xfId="0" applyFont="1" applyFill="1" applyBorder="1" applyAlignment="1" applyProtection="1">
      <alignment horizontal="left" wrapText="1"/>
      <protection locked="0"/>
    </xf>
    <xf numFmtId="3" fontId="38" fillId="7" borderId="0" xfId="0" applyNumberFormat="1" applyFont="1" applyFill="1" applyBorder="1" applyProtection="1">
      <protection locked="0"/>
    </xf>
    <xf numFmtId="164" fontId="0" fillId="4" borderId="0" xfId="0" applyNumberFormat="1" applyFill="1" applyBorder="1" applyAlignment="1">
      <alignment wrapText="1"/>
    </xf>
    <xf numFmtId="0" fontId="27" fillId="4" borderId="0" xfId="0" quotePrefix="1" applyFont="1" applyFill="1" applyProtection="1">
      <protection locked="0"/>
    </xf>
    <xf numFmtId="170" fontId="42" fillId="4" borderId="0" xfId="0" applyNumberFormat="1" applyFont="1" applyFill="1" applyProtection="1">
      <protection locked="0"/>
    </xf>
    <xf numFmtId="0" fontId="45" fillId="9" borderId="7" xfId="0" applyFont="1" applyFill="1" applyBorder="1" applyAlignment="1" applyProtection="1">
      <alignment horizontal="left" wrapText="1"/>
      <protection locked="0"/>
    </xf>
    <xf numFmtId="170" fontId="11" fillId="9" borderId="7" xfId="0" applyNumberFormat="1" applyFont="1" applyFill="1" applyBorder="1" applyProtection="1"/>
    <xf numFmtId="0" fontId="11" fillId="4" borderId="69" xfId="0" applyFont="1" applyFill="1" applyBorder="1" applyAlignment="1" applyProtection="1">
      <alignment wrapText="1"/>
      <protection locked="0"/>
    </xf>
    <xf numFmtId="0" fontId="76" fillId="4" borderId="0" xfId="0" applyFont="1" applyFill="1" applyBorder="1" applyProtection="1">
      <protection locked="0"/>
    </xf>
    <xf numFmtId="3" fontId="45" fillId="9" borderId="2" xfId="0" applyNumberFormat="1" applyFont="1" applyFill="1" applyBorder="1" applyProtection="1">
      <protection locked="0"/>
    </xf>
    <xf numFmtId="3" fontId="45" fillId="9" borderId="7" xfId="0" applyNumberFormat="1" applyFont="1" applyFill="1" applyBorder="1" applyProtection="1">
      <protection locked="0"/>
    </xf>
    <xf numFmtId="3" fontId="45" fillId="9" borderId="67" xfId="0" applyNumberFormat="1" applyFont="1" applyFill="1" applyBorder="1" applyProtection="1">
      <protection locked="0"/>
    </xf>
    <xf numFmtId="0" fontId="30" fillId="4" borderId="0" xfId="0" applyFont="1" applyFill="1" applyBorder="1" applyProtection="1">
      <protection locked="0"/>
    </xf>
    <xf numFmtId="0" fontId="46" fillId="4" borderId="0" xfId="0" applyFont="1" applyFill="1" applyBorder="1" applyAlignment="1" applyProtection="1">
      <alignment horizontal="center" vertical="center" wrapText="1"/>
      <protection locked="0"/>
    </xf>
    <xf numFmtId="165" fontId="38" fillId="7" borderId="0" xfId="0" applyNumberFormat="1" applyFont="1" applyFill="1" applyBorder="1" applyProtection="1">
      <protection locked="0"/>
    </xf>
    <xf numFmtId="165" fontId="39" fillId="7" borderId="0" xfId="0" applyNumberFormat="1" applyFont="1" applyFill="1" applyBorder="1" applyProtection="1">
      <protection locked="0"/>
    </xf>
    <xf numFmtId="0" fontId="45" fillId="4" borderId="2" xfId="0" applyFont="1" applyFill="1" applyBorder="1" applyAlignment="1" applyProtection="1">
      <alignment wrapText="1"/>
      <protection locked="0"/>
    </xf>
    <xf numFmtId="165" fontId="39" fillId="7" borderId="7" xfId="0" applyNumberFormat="1" applyFont="1" applyFill="1" applyBorder="1" applyProtection="1">
      <protection locked="0"/>
    </xf>
    <xf numFmtId="165" fontId="39" fillId="7" borderId="67" xfId="0" applyNumberFormat="1" applyFont="1" applyFill="1" applyBorder="1" applyProtection="1">
      <protection locked="0"/>
    </xf>
    <xf numFmtId="0" fontId="45" fillId="7" borderId="2" xfId="0" applyFont="1" applyFill="1" applyBorder="1" applyAlignment="1" applyProtection="1">
      <alignment horizontal="left" wrapText="1"/>
      <protection locked="0"/>
    </xf>
    <xf numFmtId="1" fontId="45" fillId="4" borderId="0" xfId="0" applyNumberFormat="1" applyFont="1" applyFill="1" applyBorder="1" applyAlignment="1" applyProtection="1">
      <alignment horizontal="left" wrapText="1" indent="1"/>
      <protection locked="0"/>
    </xf>
    <xf numFmtId="0" fontId="50" fillId="4" borderId="0" xfId="0" applyFont="1" applyFill="1" applyBorder="1" applyAlignment="1" applyProtection="1">
      <alignment wrapText="1"/>
      <protection locked="0"/>
    </xf>
    <xf numFmtId="2" fontId="39" fillId="9" borderId="0" xfId="0" applyNumberFormat="1" applyFont="1" applyFill="1" applyProtection="1">
      <protection locked="0"/>
    </xf>
    <xf numFmtId="0" fontId="39" fillId="9" borderId="0" xfId="0" applyFont="1" applyFill="1" applyProtection="1">
      <protection locked="0"/>
    </xf>
    <xf numFmtId="0" fontId="4" fillId="9" borderId="11" xfId="0" applyFont="1" applyFill="1" applyBorder="1" applyProtection="1">
      <protection locked="0"/>
    </xf>
    <xf numFmtId="0" fontId="4" fillId="9" borderId="0" xfId="0" applyFont="1" applyFill="1" applyBorder="1" applyProtection="1">
      <protection locked="0"/>
    </xf>
    <xf numFmtId="2" fontId="4" fillId="9" borderId="0" xfId="0" applyNumberFormat="1" applyFont="1" applyFill="1" applyProtection="1">
      <protection locked="0"/>
    </xf>
    <xf numFmtId="0" fontId="4" fillId="9" borderId="0" xfId="0" applyFont="1" applyFill="1" applyProtection="1">
      <protection locked="0"/>
    </xf>
    <xf numFmtId="0" fontId="15" fillId="9" borderId="7" xfId="0" applyFont="1" applyFill="1" applyBorder="1" applyProtection="1">
      <protection locked="0"/>
    </xf>
    <xf numFmtId="2" fontId="4" fillId="9" borderId="7" xfId="0" applyNumberFormat="1" applyFont="1" applyFill="1" applyBorder="1" applyProtection="1">
      <protection locked="0"/>
    </xf>
    <xf numFmtId="0" fontId="11" fillId="9" borderId="7" xfId="0" applyFont="1" applyFill="1" applyBorder="1" applyProtection="1">
      <protection locked="0"/>
    </xf>
    <xf numFmtId="2" fontId="11" fillId="9" borderId="7" xfId="0" applyNumberFormat="1" applyFont="1" applyFill="1" applyBorder="1" applyProtection="1">
      <protection locked="0"/>
    </xf>
    <xf numFmtId="0" fontId="50" fillId="4" borderId="0" xfId="0" applyFont="1" applyFill="1" applyBorder="1" applyAlignment="1" applyProtection="1">
      <alignment horizontal="left" wrapText="1"/>
      <protection locked="0"/>
    </xf>
    <xf numFmtId="0" fontId="39" fillId="9" borderId="7" xfId="0" applyFont="1" applyFill="1" applyBorder="1" applyProtection="1">
      <protection locked="0"/>
    </xf>
    <xf numFmtId="164" fontId="44" fillId="4" borderId="7" xfId="0" applyNumberFormat="1" applyFont="1" applyFill="1" applyBorder="1" applyProtection="1">
      <protection locked="0"/>
    </xf>
    <xf numFmtId="164" fontId="44" fillId="4" borderId="6" xfId="0" applyNumberFormat="1" applyFont="1" applyFill="1" applyBorder="1" applyProtection="1">
      <protection locked="0"/>
    </xf>
    <xf numFmtId="0" fontId="50" fillId="4" borderId="6" xfId="0" applyFont="1" applyFill="1" applyBorder="1" applyAlignment="1" applyProtection="1">
      <alignment horizontal="left" wrapText="1"/>
      <protection locked="0"/>
    </xf>
    <xf numFmtId="164" fontId="44" fillId="9" borderId="6" xfId="0" applyNumberFormat="1" applyFont="1" applyFill="1" applyBorder="1" applyProtection="1">
      <protection locked="0"/>
    </xf>
    <xf numFmtId="0" fontId="50" fillId="4" borderId="4" xfId="0" applyFont="1" applyFill="1" applyBorder="1" applyAlignment="1" applyProtection="1">
      <alignment horizontal="left" wrapText="1"/>
      <protection locked="0"/>
    </xf>
    <xf numFmtId="164" fontId="44" fillId="9" borderId="4" xfId="0" applyNumberFormat="1" applyFont="1" applyFill="1" applyBorder="1" applyProtection="1">
      <protection locked="0"/>
    </xf>
    <xf numFmtId="164" fontId="44" fillId="4" borderId="4" xfId="0" applyNumberFormat="1" applyFont="1" applyFill="1" applyBorder="1" applyProtection="1">
      <protection locked="0"/>
    </xf>
    <xf numFmtId="0" fontId="50" fillId="4" borderId="0" xfId="0" applyFont="1" applyFill="1" applyBorder="1" applyAlignment="1" applyProtection="1">
      <alignment horizontal="left" wrapText="1" indent="2"/>
      <protection locked="0"/>
    </xf>
    <xf numFmtId="0" fontId="40" fillId="4" borderId="23" xfId="0" applyNumberFormat="1" applyFont="1" applyFill="1" applyBorder="1" applyAlignment="1">
      <alignment wrapText="1"/>
    </xf>
    <xf numFmtId="0" fontId="48" fillId="4" borderId="0" xfId="0" applyFont="1" applyFill="1" applyBorder="1" applyProtection="1">
      <protection locked="0"/>
    </xf>
    <xf numFmtId="1" fontId="47" fillId="4" borderId="0" xfId="0" applyNumberFormat="1" applyFont="1" applyFill="1" applyBorder="1" applyProtection="1">
      <protection locked="0"/>
    </xf>
    <xf numFmtId="0" fontId="27" fillId="4" borderId="70" xfId="0" applyFont="1" applyFill="1" applyBorder="1" applyProtection="1">
      <protection locked="0"/>
    </xf>
    <xf numFmtId="0" fontId="48" fillId="4" borderId="70" xfId="0" applyFont="1" applyFill="1" applyBorder="1" applyAlignment="1" applyProtection="1">
      <alignment wrapText="1"/>
      <protection locked="0"/>
    </xf>
    <xf numFmtId="0" fontId="48" fillId="4" borderId="70" xfId="0" applyFont="1" applyFill="1" applyBorder="1" applyProtection="1">
      <protection locked="0"/>
    </xf>
    <xf numFmtId="0" fontId="8" fillId="4" borderId="70" xfId="0" applyFont="1" applyFill="1" applyBorder="1" applyAlignment="1" applyProtection="1">
      <protection locked="0"/>
    </xf>
    <xf numFmtId="1" fontId="45" fillId="4" borderId="70" xfId="0" applyNumberFormat="1" applyFont="1" applyFill="1" applyBorder="1" applyProtection="1">
      <protection locked="0"/>
    </xf>
    <xf numFmtId="174" fontId="6" fillId="4" borderId="0" xfId="0" applyNumberFormat="1" applyFont="1" applyFill="1" applyBorder="1" applyAlignment="1">
      <alignment wrapText="1"/>
    </xf>
    <xf numFmtId="174" fontId="6" fillId="4" borderId="0" xfId="0" applyNumberFormat="1" applyFont="1" applyFill="1" applyBorder="1" applyAlignment="1">
      <alignment horizontal="right" wrapText="1"/>
    </xf>
    <xf numFmtId="174" fontId="6" fillId="4" borderId="4" xfId="0" applyNumberFormat="1" applyFont="1" applyFill="1" applyBorder="1" applyAlignment="1">
      <alignment horizontal="right" wrapText="1"/>
    </xf>
    <xf numFmtId="174" fontId="8" fillId="4" borderId="0" xfId="0" applyNumberFormat="1" applyFont="1" applyFill="1" applyBorder="1" applyAlignment="1">
      <alignment wrapText="1"/>
    </xf>
    <xf numFmtId="174" fontId="0" fillId="4" borderId="21" xfId="0" applyNumberFormat="1" applyFill="1" applyBorder="1" applyAlignment="1">
      <alignment wrapText="1"/>
    </xf>
    <xf numFmtId="174" fontId="0" fillId="4" borderId="0" xfId="0" applyNumberFormat="1" applyFill="1" applyBorder="1" applyAlignment="1">
      <alignment wrapText="1"/>
    </xf>
    <xf numFmtId="174" fontId="0" fillId="4" borderId="12" xfId="0" applyNumberFormat="1" applyFill="1" applyBorder="1" applyAlignment="1">
      <alignment wrapText="1"/>
    </xf>
    <xf numFmtId="174" fontId="0" fillId="4" borderId="4" xfId="0" applyNumberFormat="1" applyFill="1" applyBorder="1" applyAlignment="1">
      <alignment wrapText="1"/>
    </xf>
    <xf numFmtId="174" fontId="0" fillId="4" borderId="5" xfId="0" applyNumberFormat="1" applyFill="1" applyBorder="1" applyAlignment="1">
      <alignment wrapText="1"/>
    </xf>
    <xf numFmtId="174" fontId="0" fillId="4" borderId="21" xfId="0" applyNumberFormat="1" applyFill="1" applyBorder="1" applyAlignment="1">
      <alignment horizontal="right" vertical="center" wrapText="1"/>
    </xf>
    <xf numFmtId="174" fontId="0" fillId="4" borderId="0" xfId="0" applyNumberFormat="1" applyFill="1" applyBorder="1" applyAlignment="1">
      <alignment horizontal="right" vertical="center" wrapText="1"/>
    </xf>
    <xf numFmtId="174" fontId="0" fillId="4" borderId="12" xfId="0" applyNumberFormat="1" applyFill="1" applyBorder="1" applyAlignment="1">
      <alignment horizontal="right" vertical="center" wrapText="1"/>
    </xf>
    <xf numFmtId="0" fontId="56" fillId="4" borderId="0" xfId="0" applyFont="1" applyFill="1" applyBorder="1" applyAlignment="1">
      <alignment wrapText="1"/>
    </xf>
    <xf numFmtId="0" fontId="0" fillId="14" borderId="0" xfId="0" applyFill="1" applyAlignment="1">
      <alignment horizontal="left" indent="1"/>
    </xf>
    <xf numFmtId="174" fontId="117" fillId="2" borderId="11" xfId="0" applyNumberFormat="1" applyFont="1" applyFill="1" applyBorder="1" applyAlignment="1">
      <alignment horizontal="left" wrapText="1"/>
    </xf>
    <xf numFmtId="174" fontId="117" fillId="2" borderId="0" xfId="0" applyNumberFormat="1" applyFont="1" applyFill="1" applyBorder="1" applyAlignment="1">
      <alignment horizontal="left" wrapText="1"/>
    </xf>
    <xf numFmtId="174" fontId="5" fillId="2" borderId="0" xfId="0" applyNumberFormat="1" applyFont="1" applyFill="1" applyBorder="1" applyAlignment="1">
      <alignment wrapText="1"/>
    </xf>
    <xf numFmtId="174" fontId="117" fillId="2" borderId="0" xfId="0" applyNumberFormat="1" applyFont="1" applyFill="1" applyBorder="1" applyAlignment="1">
      <alignment wrapText="1"/>
    </xf>
    <xf numFmtId="174" fontId="117" fillId="2" borderId="12" xfId="0" applyNumberFormat="1" applyFont="1" applyFill="1" applyBorder="1" applyAlignment="1">
      <alignment wrapText="1"/>
    </xf>
    <xf numFmtId="174" fontId="117" fillId="9" borderId="11" xfId="0" applyNumberFormat="1" applyFont="1" applyFill="1" applyBorder="1" applyAlignment="1">
      <alignment wrapText="1"/>
    </xf>
    <xf numFmtId="174" fontId="117" fillId="9" borderId="0" xfId="0" applyNumberFormat="1" applyFont="1" applyFill="1" applyBorder="1" applyAlignment="1">
      <alignment wrapText="1"/>
    </xf>
    <xf numFmtId="174" fontId="117" fillId="9" borderId="12" xfId="0" applyNumberFormat="1" applyFont="1" applyFill="1" applyBorder="1" applyAlignment="1">
      <alignment wrapText="1"/>
    </xf>
    <xf numFmtId="174" fontId="117" fillId="2" borderId="11" xfId="0" applyNumberFormat="1" applyFont="1" applyFill="1" applyBorder="1" applyAlignment="1">
      <alignment wrapText="1"/>
    </xf>
    <xf numFmtId="174" fontId="117" fillId="2" borderId="0" xfId="0" applyNumberFormat="1" applyFont="1" applyFill="1" applyBorder="1" applyAlignment="1">
      <alignment horizontal="right" wrapText="1"/>
    </xf>
    <xf numFmtId="174" fontId="8" fillId="12" borderId="0" xfId="0" applyNumberFormat="1" applyFont="1" applyFill="1" applyBorder="1" applyAlignment="1">
      <alignment wrapText="1"/>
    </xf>
    <xf numFmtId="2" fontId="117" fillId="12" borderId="0" xfId="0" applyNumberFormat="1" applyFont="1" applyFill="1" applyBorder="1" applyAlignment="1">
      <alignment wrapText="1"/>
    </xf>
    <xf numFmtId="1" fontId="117" fillId="12" borderId="0" xfId="0" applyNumberFormat="1" applyFont="1" applyFill="1" applyBorder="1" applyAlignment="1">
      <alignment wrapText="1"/>
    </xf>
    <xf numFmtId="2" fontId="117" fillId="12" borderId="0" xfId="0" applyNumberFormat="1" applyFont="1" applyFill="1" applyBorder="1" applyAlignment="1">
      <alignment vertical="center" wrapText="1"/>
    </xf>
    <xf numFmtId="164" fontId="117" fillId="15" borderId="0" xfId="0" applyNumberFormat="1" applyFont="1" applyFill="1" applyBorder="1" applyAlignment="1">
      <alignment horizontal="right" vertical="center" wrapText="1"/>
    </xf>
    <xf numFmtId="0" fontId="117" fillId="15" borderId="11" xfId="0" applyFont="1" applyFill="1" applyBorder="1" applyAlignment="1">
      <alignment horizontal="left" vertical="center" wrapText="1"/>
    </xf>
    <xf numFmtId="2" fontId="117" fillId="15" borderId="11" xfId="0" applyNumberFormat="1" applyFont="1" applyFill="1" applyBorder="1" applyAlignment="1">
      <alignment vertical="center" wrapText="1"/>
    </xf>
    <xf numFmtId="2" fontId="117" fillId="15" borderId="0" xfId="0" applyNumberFormat="1" applyFont="1" applyFill="1" applyBorder="1" applyAlignment="1">
      <alignment vertical="center" wrapText="1"/>
    </xf>
    <xf numFmtId="164" fontId="117" fillId="15" borderId="11" xfId="0" applyNumberFormat="1" applyFont="1" applyFill="1" applyBorder="1" applyAlignment="1">
      <alignment wrapText="1"/>
    </xf>
    <xf numFmtId="164" fontId="117" fillId="15" borderId="0" xfId="0" applyNumberFormat="1" applyFont="1" applyFill="1" applyBorder="1" applyAlignment="1">
      <alignment wrapText="1"/>
    </xf>
    <xf numFmtId="164" fontId="117" fillId="15" borderId="12" xfId="0" applyNumberFormat="1" applyFont="1" applyFill="1" applyBorder="1" applyAlignment="1">
      <alignment wrapText="1"/>
    </xf>
    <xf numFmtId="0" fontId="117" fillId="15" borderId="11" xfId="0" applyFont="1" applyFill="1" applyBorder="1" applyAlignment="1">
      <alignment vertical="center" wrapText="1"/>
    </xf>
    <xf numFmtId="0" fontId="0" fillId="0" borderId="0" xfId="0" applyBorder="1" applyAlignment="1">
      <alignment horizontal="left" indent="1"/>
    </xf>
    <xf numFmtId="2" fontId="5" fillId="13" borderId="0" xfId="0" applyNumberFormat="1" applyFont="1" applyFill="1" applyBorder="1" applyAlignment="1">
      <alignment wrapText="1"/>
    </xf>
    <xf numFmtId="0" fontId="0" fillId="14" borderId="0" xfId="0" applyFill="1"/>
    <xf numFmtId="165" fontId="134" fillId="14" borderId="0" xfId="0" applyNumberFormat="1" applyFont="1" applyFill="1"/>
    <xf numFmtId="2" fontId="0" fillId="14" borderId="0" xfId="0" applyNumberFormat="1" applyFill="1"/>
    <xf numFmtId="3" fontId="0" fillId="14" borderId="0" xfId="0" applyNumberFormat="1" applyFill="1"/>
    <xf numFmtId="0" fontId="146" fillId="0" borderId="0" xfId="0" applyFont="1" applyFill="1" applyAlignment="1">
      <alignment horizontal="right" vertical="center"/>
    </xf>
    <xf numFmtId="0" fontId="146" fillId="0" borderId="6" xfId="0" applyFont="1" applyFill="1" applyBorder="1" applyAlignment="1">
      <alignment horizontal="right" vertical="center"/>
    </xf>
    <xf numFmtId="165" fontId="146" fillId="0" borderId="0" xfId="0" applyNumberFormat="1" applyFont="1" applyFill="1" applyAlignment="1">
      <alignment vertical="center"/>
    </xf>
    <xf numFmtId="0" fontId="146" fillId="0" borderId="0" xfId="0" applyFont="1" applyFill="1" applyBorder="1" applyAlignment="1">
      <alignment vertical="center"/>
    </xf>
    <xf numFmtId="0" fontId="146" fillId="0" borderId="0" xfId="0" applyFont="1" applyFill="1" applyBorder="1" applyAlignment="1">
      <alignment horizontal="right" vertical="center"/>
    </xf>
    <xf numFmtId="0" fontId="146" fillId="0" borderId="0" xfId="0" applyFont="1" applyAlignment="1">
      <alignment vertical="center"/>
    </xf>
    <xf numFmtId="0" fontId="146" fillId="0" borderId="0" xfId="0" applyFont="1" applyAlignment="1">
      <alignment horizontal="right" vertical="center"/>
    </xf>
    <xf numFmtId="0" fontId="147" fillId="0" borderId="0" xfId="0" applyFont="1" applyFill="1" applyBorder="1"/>
    <xf numFmtId="0" fontId="146" fillId="0" borderId="0" xfId="0" applyFont="1" applyFill="1" applyBorder="1" applyAlignment="1">
      <alignment horizontal="right"/>
    </xf>
    <xf numFmtId="0" fontId="146" fillId="0" borderId="0" xfId="0" applyFont="1"/>
    <xf numFmtId="0" fontId="146" fillId="0" borderId="0" xfId="0" applyFont="1" applyAlignment="1">
      <alignment horizontal="right"/>
    </xf>
    <xf numFmtId="0" fontId="146" fillId="0" borderId="0" xfId="0" applyFont="1" applyFill="1" applyBorder="1"/>
    <xf numFmtId="3" fontId="146" fillId="0" borderId="0" xfId="0" applyNumberFormat="1" applyFont="1" applyFill="1" applyBorder="1"/>
    <xf numFmtId="0" fontId="146" fillId="0" borderId="0" xfId="0" applyFont="1" applyFill="1" applyBorder="1" applyAlignment="1"/>
    <xf numFmtId="3" fontId="146" fillId="0" borderId="0" xfId="0" applyNumberFormat="1" applyFont="1"/>
    <xf numFmtId="0" fontId="146" fillId="0" borderId="0" xfId="0" applyFont="1" applyFill="1" applyBorder="1" applyAlignment="1">
      <alignment horizontal="left" indent="1"/>
    </xf>
    <xf numFmtId="0" fontId="146" fillId="0" borderId="0" xfId="0" applyFont="1" applyFill="1" applyAlignment="1">
      <alignment horizontal="left" indent="2"/>
    </xf>
    <xf numFmtId="3" fontId="146" fillId="0" borderId="0" xfId="0" applyNumberFormat="1" applyFont="1" applyFill="1" applyAlignment="1"/>
    <xf numFmtId="0" fontId="146" fillId="0" borderId="0" xfId="0" applyFont="1" applyFill="1" applyBorder="1" applyAlignment="1">
      <alignment horizontal="left" indent="4"/>
    </xf>
    <xf numFmtId="3" fontId="148" fillId="0" borderId="0" xfId="0" applyNumberFormat="1" applyFont="1" applyFill="1" applyBorder="1"/>
    <xf numFmtId="3" fontId="146" fillId="16" borderId="0" xfId="0" applyNumberFormat="1" applyFont="1" applyFill="1" applyAlignment="1">
      <alignment horizontal="right"/>
    </xf>
    <xf numFmtId="165" fontId="146" fillId="0" borderId="0" xfId="0" applyNumberFormat="1" applyFont="1" applyFill="1" applyAlignment="1">
      <alignment horizontal="left" indent="4"/>
    </xf>
    <xf numFmtId="165" fontId="146" fillId="0" borderId="0" xfId="0" applyNumberFormat="1" applyFont="1" applyFill="1" applyAlignment="1">
      <alignment horizontal="left" indent="2"/>
    </xf>
    <xf numFmtId="3" fontId="146" fillId="0" borderId="0" xfId="0" applyNumberFormat="1" applyFont="1" applyFill="1"/>
    <xf numFmtId="3" fontId="146" fillId="0" borderId="0" xfId="0" applyNumberFormat="1" applyFont="1" applyAlignment="1">
      <alignment horizontal="right"/>
    </xf>
    <xf numFmtId="165" fontId="146" fillId="0" borderId="0" xfId="0" applyNumberFormat="1" applyFont="1" applyFill="1" applyAlignment="1">
      <alignment horizontal="left" indent="6"/>
    </xf>
    <xf numFmtId="3" fontId="148" fillId="0" borderId="0" xfId="0" applyNumberFormat="1" applyFont="1" applyFill="1"/>
    <xf numFmtId="3" fontId="146" fillId="16" borderId="0" xfId="0" applyNumberFormat="1" applyFont="1" applyFill="1"/>
    <xf numFmtId="165" fontId="146" fillId="0" borderId="0" xfId="0" applyNumberFormat="1" applyFont="1" applyFill="1" applyAlignment="1">
      <alignment horizontal="left" indent="1"/>
    </xf>
    <xf numFmtId="165" fontId="146" fillId="0" borderId="0" xfId="0" applyNumberFormat="1" applyFont="1"/>
    <xf numFmtId="165" fontId="146" fillId="0" borderId="0" xfId="0" applyNumberFormat="1" applyFont="1" applyFill="1" applyAlignment="1">
      <alignment horizontal="left"/>
    </xf>
    <xf numFmtId="3" fontId="146" fillId="0" borderId="0" xfId="0" applyNumberFormat="1" applyFont="1" applyFill="1" applyAlignment="1">
      <alignment horizontal="right"/>
    </xf>
    <xf numFmtId="175" fontId="146" fillId="0" borderId="0" xfId="0" applyNumberFormat="1" applyFont="1" applyFill="1" applyAlignment="1">
      <alignment horizontal="left" indent="1"/>
    </xf>
    <xf numFmtId="165" fontId="146" fillId="0" borderId="0" xfId="0" applyNumberFormat="1" applyFont="1" applyFill="1"/>
    <xf numFmtId="165" fontId="146" fillId="0" borderId="0" xfId="0" applyNumberFormat="1" applyFont="1" applyFill="1" applyAlignment="1"/>
    <xf numFmtId="175" fontId="149" fillId="0" borderId="0" xfId="0" applyNumberFormat="1" applyFont="1" applyFill="1" applyAlignment="1">
      <alignment horizontal="left" indent="2"/>
    </xf>
    <xf numFmtId="175" fontId="146" fillId="0" borderId="0" xfId="0" applyNumberFormat="1" applyFont="1"/>
    <xf numFmtId="0" fontId="146" fillId="0" borderId="0" xfId="0" applyFont="1" applyFill="1" applyAlignment="1">
      <alignment horizontal="right"/>
    </xf>
    <xf numFmtId="165" fontId="146" fillId="0" borderId="0" xfId="0" applyNumberFormat="1" applyFont="1" applyFill="1" applyAlignment="1">
      <alignment horizontal="left" indent="8"/>
    </xf>
    <xf numFmtId="165" fontId="146" fillId="0" borderId="0" xfId="0" applyNumberFormat="1" applyFont="1" applyFill="1" applyAlignment="1">
      <alignment horizontal="left" indent="10"/>
    </xf>
    <xf numFmtId="165" fontId="146" fillId="0" borderId="0" xfId="0" applyNumberFormat="1" applyFont="1" applyFill="1" applyAlignment="1">
      <alignment horizontal="left" indent="3"/>
    </xf>
    <xf numFmtId="165" fontId="146" fillId="0" borderId="0" xfId="0" applyNumberFormat="1" applyFont="1" applyFill="1" applyAlignment="1">
      <alignment horizontal="left" indent="5"/>
    </xf>
    <xf numFmtId="165" fontId="150" fillId="17" borderId="0" xfId="0" quotePrefix="1" applyNumberFormat="1" applyFont="1" applyFill="1" applyAlignment="1">
      <alignment horizontal="left" indent="2"/>
    </xf>
    <xf numFmtId="3" fontId="150" fillId="17" borderId="0" xfId="0" applyNumberFormat="1" applyFont="1" applyFill="1"/>
    <xf numFmtId="165" fontId="149" fillId="0" borderId="0" xfId="0" applyNumberFormat="1" applyFont="1" applyFill="1" applyAlignment="1"/>
    <xf numFmtId="3" fontId="148" fillId="0" borderId="0" xfId="0" applyNumberFormat="1" applyFont="1" applyFill="1" applyAlignment="1"/>
    <xf numFmtId="165" fontId="146" fillId="0" borderId="0" xfId="0" applyNumberFormat="1" applyFont="1" applyFill="1" applyAlignment="1">
      <alignment horizontal="right"/>
    </xf>
    <xf numFmtId="0" fontId="146" fillId="0" borderId="0" xfId="0" applyFont="1" applyFill="1"/>
    <xf numFmtId="164" fontId="146" fillId="0" borderId="0" xfId="0" applyNumberFormat="1" applyFont="1" applyFill="1"/>
    <xf numFmtId="165" fontId="147" fillId="0" borderId="0" xfId="0" applyNumberFormat="1" applyFont="1" applyFill="1" applyAlignment="1"/>
    <xf numFmtId="1" fontId="146" fillId="0" borderId="0" xfId="0" applyNumberFormat="1" applyFont="1" applyFill="1" applyAlignment="1"/>
    <xf numFmtId="165" fontId="151" fillId="0" borderId="0" xfId="0" applyNumberFormat="1" applyFont="1" applyFill="1" applyAlignment="1">
      <alignment horizontal="right"/>
    </xf>
    <xf numFmtId="165" fontId="149" fillId="0" borderId="0" xfId="0" applyNumberFormat="1" applyFont="1" applyFill="1" applyAlignment="1">
      <alignment horizontal="left"/>
    </xf>
    <xf numFmtId="1" fontId="146" fillId="0" borderId="0" xfId="0" applyNumberFormat="1" applyFont="1"/>
    <xf numFmtId="165" fontId="146" fillId="18" borderId="0" xfId="0" applyNumberFormat="1" applyFont="1" applyFill="1"/>
    <xf numFmtId="3" fontId="152" fillId="0" borderId="0" xfId="0" applyNumberFormat="1" applyFont="1" applyFill="1"/>
    <xf numFmtId="165" fontId="153" fillId="19" borderId="0" xfId="0" applyNumberFormat="1" applyFont="1" applyFill="1"/>
    <xf numFmtId="165" fontId="146" fillId="20" borderId="0" xfId="0" applyNumberFormat="1" applyFont="1" applyFill="1"/>
    <xf numFmtId="165" fontId="146" fillId="21" borderId="0" xfId="0" applyNumberFormat="1" applyFont="1" applyFill="1"/>
    <xf numFmtId="175" fontId="146" fillId="20" borderId="0" xfId="0" applyNumberFormat="1" applyFont="1" applyFill="1"/>
    <xf numFmtId="165" fontId="151" fillId="0" borderId="0" xfId="0" applyNumberFormat="1" applyFont="1" applyFill="1"/>
    <xf numFmtId="176" fontId="146" fillId="0" borderId="0" xfId="3" applyNumberFormat="1" applyFont="1" applyFill="1"/>
    <xf numFmtId="4" fontId="146" fillId="0" borderId="0" xfId="0" applyNumberFormat="1" applyFont="1" applyFill="1"/>
    <xf numFmtId="165" fontId="146" fillId="16" borderId="0" xfId="0" applyNumberFormat="1" applyFont="1" applyFill="1"/>
    <xf numFmtId="165" fontId="146" fillId="20" borderId="0" xfId="0" applyNumberFormat="1" applyFont="1" applyFill="1" applyAlignment="1">
      <alignment horizontal="right"/>
    </xf>
    <xf numFmtId="165" fontId="146" fillId="0" borderId="0" xfId="0" applyNumberFormat="1" applyFont="1" applyFill="1" applyBorder="1"/>
    <xf numFmtId="0" fontId="146" fillId="0" borderId="0" xfId="0" applyFont="1" applyFill="1" applyAlignment="1"/>
    <xf numFmtId="177" fontId="146" fillId="0" borderId="0" xfId="0" applyNumberFormat="1" applyFont="1" applyFill="1"/>
    <xf numFmtId="165" fontId="0" fillId="14" borderId="0" xfId="0" applyNumberFormat="1" applyFill="1"/>
    <xf numFmtId="0" fontId="11" fillId="4" borderId="0" xfId="0" applyFont="1" applyFill="1" applyBorder="1" applyAlignment="1" applyProtection="1">
      <alignment horizontal="left" wrapText="1" indent="2"/>
    </xf>
    <xf numFmtId="0" fontId="11" fillId="4" borderId="0" xfId="0" applyFont="1" applyFill="1" applyBorder="1" applyAlignment="1" applyProtection="1">
      <alignment horizontal="left" wrapText="1" indent="3"/>
    </xf>
    <xf numFmtId="0" fontId="45" fillId="4" borderId="0" xfId="0" applyFont="1" applyFill="1" applyBorder="1" applyAlignment="1" applyProtection="1">
      <alignment horizontal="left" wrapText="1" indent="1"/>
    </xf>
    <xf numFmtId="0" fontId="11" fillId="4" borderId="0" xfId="0" applyFont="1" applyFill="1" applyBorder="1" applyAlignment="1" applyProtection="1">
      <alignment horizontal="left" wrapText="1" indent="4"/>
    </xf>
    <xf numFmtId="170" fontId="45" fillId="22" borderId="11" xfId="0" applyNumberFormat="1" applyFont="1" applyFill="1" applyBorder="1" applyProtection="1"/>
    <xf numFmtId="170" fontId="45" fillId="22" borderId="0" xfId="0" applyNumberFormat="1" applyFont="1" applyFill="1" applyBorder="1" applyProtection="1"/>
    <xf numFmtId="170" fontId="45" fillId="22" borderId="12" xfId="0" applyNumberFormat="1" applyFont="1" applyFill="1" applyBorder="1" applyProtection="1"/>
    <xf numFmtId="170" fontId="11" fillId="22" borderId="11" xfId="0" applyNumberFormat="1" applyFont="1" applyFill="1" applyBorder="1" applyProtection="1"/>
    <xf numFmtId="170" fontId="11" fillId="22" borderId="0" xfId="0" applyNumberFormat="1" applyFont="1" applyFill="1" applyBorder="1" applyProtection="1"/>
    <xf numFmtId="170" fontId="11" fillId="22" borderId="12" xfId="0" applyNumberFormat="1" applyFont="1" applyFill="1" applyBorder="1" applyProtection="1"/>
    <xf numFmtId="0" fontId="151" fillId="0" borderId="0" xfId="0" applyFont="1" applyFill="1" applyBorder="1" applyAlignment="1">
      <alignment horizontal="left"/>
    </xf>
    <xf numFmtId="0" fontId="48" fillId="4" borderId="0" xfId="0" applyFont="1" applyFill="1" applyBorder="1" applyAlignment="1" applyProtection="1">
      <alignment horizontal="left" wrapText="1" indent="3"/>
    </xf>
    <xf numFmtId="170" fontId="48" fillId="22" borderId="11" xfId="0" applyNumberFormat="1" applyFont="1" applyFill="1" applyBorder="1" applyProtection="1"/>
    <xf numFmtId="170" fontId="48" fillId="22" borderId="0" xfId="0" applyNumberFormat="1" applyFont="1" applyFill="1" applyBorder="1" applyProtection="1"/>
    <xf numFmtId="170" fontId="48" fillId="22" borderId="12" xfId="0" applyNumberFormat="1" applyFont="1" applyFill="1" applyBorder="1" applyProtection="1"/>
    <xf numFmtId="0" fontId="154" fillId="4" borderId="0" xfId="0" applyFont="1" applyFill="1" applyProtection="1">
      <protection locked="0"/>
    </xf>
    <xf numFmtId="170" fontId="11" fillId="22" borderId="7" xfId="0" applyNumberFormat="1" applyFont="1" applyFill="1" applyBorder="1" applyProtection="1">
      <protection locked="0"/>
    </xf>
    <xf numFmtId="164" fontId="11" fillId="22" borderId="4" xfId="0" applyNumberFormat="1" applyFont="1" applyFill="1" applyBorder="1" applyProtection="1">
      <protection locked="0"/>
    </xf>
    <xf numFmtId="3" fontId="38" fillId="7" borderId="0" xfId="0" applyNumberFormat="1" applyFont="1" applyFill="1" applyBorder="1" applyProtection="1"/>
    <xf numFmtId="172" fontId="8" fillId="10" borderId="11" xfId="0" applyNumberFormat="1" applyFont="1" applyFill="1" applyBorder="1" applyProtection="1"/>
    <xf numFmtId="172" fontId="8" fillId="10" borderId="0" xfId="0" applyNumberFormat="1" applyFont="1" applyFill="1" applyBorder="1" applyProtection="1"/>
    <xf numFmtId="172" fontId="8" fillId="10" borderId="12" xfId="0" applyNumberFormat="1" applyFont="1" applyFill="1" applyBorder="1" applyProtection="1"/>
    <xf numFmtId="172" fontId="37" fillId="10" borderId="11" xfId="0" applyNumberFormat="1" applyFont="1" applyFill="1" applyBorder="1" applyProtection="1"/>
    <xf numFmtId="172" fontId="37" fillId="10" borderId="0" xfId="0" applyNumberFormat="1" applyFont="1" applyFill="1" applyBorder="1" applyProtection="1"/>
    <xf numFmtId="172" fontId="37" fillId="10" borderId="12" xfId="0" applyNumberFormat="1" applyFont="1" applyFill="1" applyBorder="1" applyProtection="1"/>
    <xf numFmtId="172" fontId="37" fillId="10" borderId="3" xfId="0" applyNumberFormat="1" applyFont="1" applyFill="1" applyBorder="1" applyProtection="1"/>
    <xf numFmtId="172" fontId="37" fillId="10" borderId="4" xfId="0" applyNumberFormat="1" applyFont="1" applyFill="1" applyBorder="1" applyProtection="1"/>
    <xf numFmtId="172" fontId="37" fillId="10" borderId="5" xfId="0" applyNumberFormat="1" applyFont="1" applyFill="1" applyBorder="1" applyProtection="1"/>
    <xf numFmtId="172" fontId="8" fillId="10" borderId="7" xfId="0" applyNumberFormat="1" applyFont="1" applyFill="1" applyBorder="1" applyProtection="1"/>
    <xf numFmtId="0" fontId="47" fillId="14" borderId="0" xfId="0" applyFont="1" applyFill="1" applyBorder="1" applyAlignment="1" applyProtection="1">
      <alignment wrapText="1"/>
      <protection locked="0"/>
    </xf>
    <xf numFmtId="164" fontId="128" fillId="14" borderId="0" xfId="0" applyNumberFormat="1" applyFont="1" applyFill="1" applyBorder="1" applyProtection="1">
      <protection locked="0"/>
    </xf>
    <xf numFmtId="0" fontId="47" fillId="14" borderId="0" xfId="0" applyFont="1" applyFill="1" applyAlignment="1" applyProtection="1">
      <alignment wrapText="1"/>
      <protection locked="0"/>
    </xf>
    <xf numFmtId="0" fontId="44" fillId="14" borderId="0" xfId="0" applyFont="1" applyFill="1" applyProtection="1">
      <protection locked="0"/>
    </xf>
    <xf numFmtId="1" fontId="44" fillId="14" borderId="0" xfId="0" applyNumberFormat="1" applyFont="1" applyFill="1" applyBorder="1" applyAlignment="1" applyProtection="1">
      <alignment horizontal="left" wrapText="1"/>
      <protection locked="0"/>
    </xf>
    <xf numFmtId="164" fontId="4" fillId="14" borderId="0" xfId="0" applyNumberFormat="1" applyFont="1" applyFill="1" applyBorder="1" applyProtection="1">
      <protection locked="0"/>
    </xf>
    <xf numFmtId="164" fontId="90" fillId="14" borderId="0" xfId="0" applyNumberFormat="1" applyFont="1" applyFill="1" applyBorder="1" applyProtection="1">
      <protection locked="0"/>
    </xf>
    <xf numFmtId="0" fontId="44" fillId="14" borderId="0" xfId="0" applyFont="1" applyFill="1" applyAlignment="1" applyProtection="1">
      <alignment wrapText="1"/>
      <protection locked="0"/>
    </xf>
    <xf numFmtId="164" fontId="4" fillId="9" borderId="7" xfId="0" applyNumberFormat="1" applyFont="1" applyFill="1" applyBorder="1" applyProtection="1"/>
    <xf numFmtId="170" fontId="45" fillId="22" borderId="9" xfId="0" applyNumberFormat="1" applyFont="1" applyFill="1" applyBorder="1" applyProtection="1"/>
    <xf numFmtId="170" fontId="45" fillId="22" borderId="6" xfId="0" applyNumberFormat="1" applyFont="1" applyFill="1" applyBorder="1" applyProtection="1"/>
    <xf numFmtId="170" fontId="45" fillId="22" borderId="10" xfId="0" applyNumberFormat="1" applyFont="1" applyFill="1" applyBorder="1" applyProtection="1"/>
    <xf numFmtId="3" fontId="39" fillId="7" borderId="0" xfId="0" applyNumberFormat="1" applyFont="1" applyFill="1" applyBorder="1" applyProtection="1"/>
    <xf numFmtId="0" fontId="11" fillId="4" borderId="71" xfId="0" applyFont="1" applyFill="1" applyBorder="1" applyAlignment="1" applyProtection="1">
      <alignment wrapText="1"/>
      <protection locked="0"/>
    </xf>
    <xf numFmtId="3" fontId="11" fillId="9" borderId="2" xfId="0" applyNumberFormat="1" applyFont="1" applyFill="1" applyBorder="1" applyProtection="1">
      <protection locked="0"/>
    </xf>
    <xf numFmtId="3" fontId="11" fillId="9" borderId="7" xfId="0" applyNumberFormat="1" applyFont="1" applyFill="1" applyBorder="1" applyProtection="1">
      <protection locked="0"/>
    </xf>
    <xf numFmtId="3" fontId="11" fillId="9" borderId="67" xfId="0" applyNumberFormat="1" applyFont="1" applyFill="1" applyBorder="1" applyProtection="1">
      <protection locked="0"/>
    </xf>
    <xf numFmtId="172" fontId="45" fillId="23" borderId="9" xfId="0" applyNumberFormat="1" applyFont="1" applyFill="1" applyBorder="1" applyProtection="1"/>
    <xf numFmtId="172" fontId="45" fillId="23" borderId="6" xfId="0" applyNumberFormat="1" applyFont="1" applyFill="1" applyBorder="1" applyProtection="1"/>
    <xf numFmtId="172" fontId="45" fillId="23" borderId="10" xfId="0" applyNumberFormat="1" applyFont="1" applyFill="1" applyBorder="1" applyProtection="1"/>
    <xf numFmtId="172" fontId="45" fillId="23" borderId="11" xfId="0" applyNumberFormat="1" applyFont="1" applyFill="1" applyBorder="1" applyProtection="1"/>
    <xf numFmtId="172" fontId="45" fillId="23" borderId="0" xfId="0" applyNumberFormat="1" applyFont="1" applyFill="1" applyBorder="1" applyProtection="1"/>
    <xf numFmtId="172" fontId="45" fillId="23" borderId="12" xfId="0" applyNumberFormat="1" applyFont="1" applyFill="1" applyBorder="1" applyProtection="1"/>
    <xf numFmtId="0" fontId="27" fillId="14" borderId="0" xfId="0" applyFont="1" applyFill="1" applyProtection="1">
      <protection locked="0"/>
    </xf>
    <xf numFmtId="0" fontId="11" fillId="14" borderId="0" xfId="0" applyFont="1" applyFill="1" applyBorder="1" applyAlignment="1" applyProtection="1">
      <alignment horizontal="left" wrapText="1" indent="1"/>
      <protection locked="0"/>
    </xf>
    <xf numFmtId="0" fontId="46" fillId="14" borderId="0" xfId="0" applyFont="1" applyFill="1" applyBorder="1" applyAlignment="1" applyProtection="1">
      <alignment horizontal="center" vertical="center" wrapText="1"/>
      <protection locked="0"/>
    </xf>
    <xf numFmtId="0" fontId="46" fillId="14" borderId="0" xfId="0" applyFont="1" applyFill="1" applyProtection="1">
      <protection locked="0"/>
    </xf>
    <xf numFmtId="172" fontId="11" fillId="23" borderId="11" xfId="0" applyNumberFormat="1" applyFont="1" applyFill="1" applyBorder="1" applyProtection="1"/>
    <xf numFmtId="172" fontId="11" fillId="23" borderId="0" xfId="0" applyNumberFormat="1" applyFont="1" applyFill="1" applyBorder="1" applyProtection="1"/>
    <xf numFmtId="172" fontId="11" fillId="23" borderId="12" xfId="0" applyNumberFormat="1" applyFont="1" applyFill="1" applyBorder="1" applyProtection="1"/>
    <xf numFmtId="0" fontId="42" fillId="4" borderId="0" xfId="0" applyFont="1" applyFill="1" applyBorder="1" applyAlignment="1" applyProtection="1">
      <alignment horizontal="center" vertical="center" wrapText="1"/>
      <protection locked="0"/>
    </xf>
    <xf numFmtId="172" fontId="11" fillId="23" borderId="3" xfId="0" applyNumberFormat="1" applyFont="1" applyFill="1" applyBorder="1" applyProtection="1"/>
    <xf numFmtId="172" fontId="11" fillId="23" borderId="4" xfId="0" applyNumberFormat="1" applyFont="1" applyFill="1" applyBorder="1" applyProtection="1"/>
    <xf numFmtId="172" fontId="11" fillId="23" borderId="5" xfId="0" applyNumberFormat="1" applyFont="1" applyFill="1" applyBorder="1" applyProtection="1"/>
    <xf numFmtId="172" fontId="11" fillId="22" borderId="7" xfId="0" applyNumberFormat="1" applyFont="1" applyFill="1" applyBorder="1" applyProtection="1"/>
    <xf numFmtId="172" fontId="11" fillId="22" borderId="7" xfId="0" applyNumberFormat="1" applyFont="1" applyFill="1" applyBorder="1" applyProtection="1">
      <protection locked="0"/>
    </xf>
    <xf numFmtId="172" fontId="11" fillId="14" borderId="11" xfId="0" applyNumberFormat="1" applyFont="1" applyFill="1" applyBorder="1" applyProtection="1"/>
    <xf numFmtId="172" fontId="11" fillId="14" borderId="0" xfId="0" applyNumberFormat="1" applyFont="1" applyFill="1" applyBorder="1" applyProtection="1"/>
    <xf numFmtId="172" fontId="11" fillId="14" borderId="12" xfId="0" applyNumberFormat="1" applyFont="1" applyFill="1" applyBorder="1" applyProtection="1"/>
    <xf numFmtId="0" fontId="130" fillId="14" borderId="0" xfId="0" applyFont="1" applyFill="1" applyBorder="1" applyAlignment="1" applyProtection="1">
      <alignment wrapText="1"/>
      <protection locked="0"/>
    </xf>
    <xf numFmtId="164" fontId="3" fillId="10" borderId="4" xfId="0" applyNumberFormat="1" applyFont="1" applyFill="1" applyBorder="1" applyAlignment="1" applyProtection="1">
      <alignment horizontal="right"/>
    </xf>
    <xf numFmtId="0" fontId="11" fillId="10" borderId="0" xfId="0" applyFont="1" applyFill="1" applyBorder="1" applyAlignment="1" applyProtection="1">
      <alignment horizontal="right" wrapText="1"/>
      <protection locked="0"/>
    </xf>
    <xf numFmtId="0" fontId="56" fillId="25" borderId="0" xfId="0" applyFont="1" applyFill="1" applyBorder="1" applyAlignment="1">
      <alignment wrapText="1"/>
    </xf>
    <xf numFmtId="0" fontId="8" fillId="25" borderId="0" xfId="0" applyFont="1" applyFill="1" applyBorder="1"/>
    <xf numFmtId="0" fontId="133" fillId="25" borderId="0" xfId="0" applyFont="1" applyFill="1" applyAlignment="1">
      <alignment wrapText="1"/>
    </xf>
    <xf numFmtId="167" fontId="133" fillId="25" borderId="0" xfId="0" applyNumberFormat="1" applyFont="1" applyFill="1"/>
    <xf numFmtId="2" fontId="11" fillId="4" borderId="0" xfId="0" applyNumberFormat="1" applyFont="1" applyFill="1" applyBorder="1"/>
    <xf numFmtId="3" fontId="40" fillId="7" borderId="0" xfId="0" applyNumberFormat="1" applyFont="1" applyFill="1" applyBorder="1" applyProtection="1"/>
    <xf numFmtId="0" fontId="27" fillId="25" borderId="0" xfId="0" applyFont="1" applyFill="1" applyProtection="1">
      <protection locked="0"/>
    </xf>
    <xf numFmtId="178" fontId="11" fillId="4" borderId="0" xfId="0" applyNumberFormat="1" applyFont="1" applyFill="1" applyProtection="1">
      <protection locked="0"/>
    </xf>
    <xf numFmtId="178" fontId="27" fillId="4" borderId="0" xfId="0" applyNumberFormat="1" applyFont="1" applyFill="1" applyProtection="1">
      <protection locked="0"/>
    </xf>
    <xf numFmtId="178" fontId="42" fillId="25" borderId="0" xfId="0" applyNumberFormat="1" applyFont="1" applyFill="1" applyProtection="1">
      <protection locked="0"/>
    </xf>
    <xf numFmtId="178" fontId="154" fillId="4" borderId="0" xfId="0" applyNumberFormat="1" applyFont="1" applyFill="1" applyProtection="1">
      <protection locked="0"/>
    </xf>
    <xf numFmtId="178" fontId="42" fillId="24" borderId="0" xfId="0" applyNumberFormat="1" applyFont="1" applyFill="1" applyProtection="1">
      <protection locked="0"/>
    </xf>
    <xf numFmtId="0" fontId="83" fillId="14" borderId="0" xfId="0" applyFont="1" applyFill="1" applyProtection="1">
      <protection locked="0"/>
    </xf>
    <xf numFmtId="1" fontId="39" fillId="14" borderId="0" xfId="0" applyNumberFormat="1" applyFont="1" applyFill="1" applyBorder="1" applyAlignment="1" applyProtection="1">
      <alignment horizontal="left" wrapText="1" indent="1"/>
      <protection locked="0"/>
    </xf>
    <xf numFmtId="3" fontId="39" fillId="14" borderId="0" xfId="0" applyNumberFormat="1" applyFont="1" applyFill="1" applyBorder="1" applyProtection="1">
      <protection locked="0"/>
    </xf>
    <xf numFmtId="3" fontId="40" fillId="14" borderId="0" xfId="0" applyNumberFormat="1" applyFont="1" applyFill="1" applyBorder="1" applyProtection="1">
      <protection locked="0"/>
    </xf>
    <xf numFmtId="0" fontId="39" fillId="14" borderId="0" xfId="0" applyFont="1" applyFill="1" applyAlignment="1" applyProtection="1">
      <alignment wrapText="1"/>
      <protection locked="0"/>
    </xf>
    <xf numFmtId="0" fontId="39" fillId="14" borderId="0" xfId="0" applyFont="1" applyFill="1" applyProtection="1">
      <protection locked="0"/>
    </xf>
    <xf numFmtId="171" fontId="39" fillId="14" borderId="0" xfId="0" applyNumberFormat="1" applyFont="1" applyFill="1" applyAlignment="1" applyProtection="1">
      <alignment horizontal="right"/>
      <protection locked="0"/>
    </xf>
    <xf numFmtId="0" fontId="40" fillId="14" borderId="0" xfId="0" applyFont="1" applyFill="1" applyProtection="1">
      <protection locked="0"/>
    </xf>
    <xf numFmtId="0" fontId="45" fillId="14" borderId="0" xfId="0" applyFont="1" applyFill="1" applyBorder="1" applyAlignment="1" applyProtection="1">
      <alignment wrapText="1"/>
      <protection locked="0"/>
    </xf>
    <xf numFmtId="3" fontId="38" fillId="14" borderId="0" xfId="0" applyNumberFormat="1" applyFont="1" applyFill="1" applyBorder="1" applyProtection="1">
      <protection locked="0"/>
    </xf>
    <xf numFmtId="0" fontId="45" fillId="14" borderId="0" xfId="0" applyFont="1" applyFill="1" applyAlignment="1" applyProtection="1">
      <alignment wrapText="1"/>
      <protection locked="0"/>
    </xf>
    <xf numFmtId="0" fontId="45" fillId="14" borderId="0" xfId="0" applyFont="1" applyFill="1" applyProtection="1">
      <protection locked="0"/>
    </xf>
    <xf numFmtId="171" fontId="11" fillId="14" borderId="0" xfId="0" applyNumberFormat="1" applyFont="1" applyFill="1" applyAlignment="1" applyProtection="1">
      <alignment horizontal="right"/>
      <protection locked="0"/>
    </xf>
    <xf numFmtId="0" fontId="48" fillId="14" borderId="0" xfId="0" applyFont="1" applyFill="1" applyProtection="1">
      <protection locked="0"/>
    </xf>
    <xf numFmtId="3" fontId="38" fillId="14" borderId="0" xfId="0" applyNumberFormat="1" applyFont="1" applyFill="1" applyBorder="1" applyProtection="1"/>
    <xf numFmtId="3" fontId="39" fillId="14" borderId="0" xfId="0" applyNumberFormat="1" applyFont="1" applyFill="1" applyBorder="1" applyProtection="1"/>
    <xf numFmtId="3" fontId="40" fillId="14" borderId="0" xfId="0" applyNumberFormat="1" applyFont="1" applyFill="1" applyBorder="1" applyProtection="1"/>
    <xf numFmtId="3" fontId="39" fillId="15" borderId="0" xfId="0" applyNumberFormat="1" applyFont="1" applyFill="1" applyBorder="1" applyProtection="1">
      <protection locked="0"/>
    </xf>
    <xf numFmtId="3" fontId="8" fillId="7" borderId="0" xfId="0" applyNumberFormat="1" applyFont="1" applyFill="1" applyBorder="1" applyAlignment="1" applyProtection="1">
      <alignment horizontal="right" wrapText="1"/>
    </xf>
    <xf numFmtId="3" fontId="37" fillId="7" borderId="0" xfId="0" applyNumberFormat="1" applyFont="1" applyFill="1" applyBorder="1" applyAlignment="1" applyProtection="1">
      <alignment horizontal="right" wrapText="1"/>
    </xf>
    <xf numFmtId="3" fontId="128" fillId="4" borderId="0" xfId="0" applyNumberFormat="1" applyFont="1" applyFill="1" applyBorder="1" applyProtection="1"/>
    <xf numFmtId="3" fontId="130" fillId="7" borderId="0" xfId="0" applyNumberFormat="1" applyFont="1" applyFill="1" applyBorder="1" applyAlignment="1" applyProtection="1">
      <alignment horizontal="right" wrapText="1"/>
    </xf>
    <xf numFmtId="3" fontId="37" fillId="7" borderId="6" xfId="0" applyNumberFormat="1" applyFont="1" applyFill="1" applyBorder="1" applyAlignment="1" applyProtection="1">
      <alignment horizontal="right" wrapText="1"/>
    </xf>
    <xf numFmtId="3" fontId="79" fillId="7" borderId="0" xfId="0" applyNumberFormat="1" applyFont="1" applyFill="1" applyBorder="1" applyAlignment="1" applyProtection="1">
      <alignment horizontal="right" wrapText="1"/>
    </xf>
    <xf numFmtId="3" fontId="130" fillId="7" borderId="4" xfId="0" applyNumberFormat="1" applyFont="1" applyFill="1" applyBorder="1" applyAlignment="1" applyProtection="1">
      <alignment horizontal="right" wrapText="1"/>
    </xf>
    <xf numFmtId="3" fontId="8" fillId="7" borderId="7" xfId="0" applyNumberFormat="1" applyFont="1" applyFill="1" applyBorder="1" applyAlignment="1" applyProtection="1">
      <alignment horizontal="right" wrapText="1"/>
    </xf>
    <xf numFmtId="10" fontId="130" fillId="7" borderId="0" xfId="0" applyNumberFormat="1" applyFont="1" applyFill="1" applyBorder="1" applyAlignment="1" applyProtection="1">
      <alignment horizontal="right" wrapText="1"/>
    </xf>
    <xf numFmtId="3" fontId="79" fillId="7" borderId="6" xfId="0" applyNumberFormat="1" applyFont="1" applyFill="1" applyBorder="1" applyAlignment="1" applyProtection="1">
      <alignment horizontal="right" wrapText="1"/>
    </xf>
    <xf numFmtId="4" fontId="130" fillId="7" borderId="4" xfId="0" applyNumberFormat="1" applyFont="1" applyFill="1" applyBorder="1" applyAlignment="1" applyProtection="1">
      <alignment horizontal="right" wrapText="1"/>
    </xf>
    <xf numFmtId="3" fontId="130" fillId="14" borderId="0" xfId="0" applyNumberFormat="1" applyFont="1" applyFill="1" applyBorder="1" applyAlignment="1" applyProtection="1">
      <alignment horizontal="right" wrapText="1"/>
    </xf>
    <xf numFmtId="165" fontId="130" fillId="7" borderId="0" xfId="0" applyNumberFormat="1" applyFont="1" applyFill="1" applyBorder="1" applyAlignment="1" applyProtection="1">
      <alignment horizontal="right" wrapText="1"/>
    </xf>
    <xf numFmtId="164" fontId="130" fillId="7" borderId="7" xfId="0" applyNumberFormat="1" applyFont="1" applyFill="1" applyBorder="1" applyAlignment="1" applyProtection="1">
      <alignment horizontal="right" wrapText="1"/>
    </xf>
    <xf numFmtId="170" fontId="8" fillId="9" borderId="0" xfId="0" applyNumberFormat="1" applyFont="1" applyFill="1" applyBorder="1" applyProtection="1"/>
    <xf numFmtId="170" fontId="11" fillId="9" borderId="0" xfId="0" applyNumberFormat="1" applyFont="1" applyFill="1" applyBorder="1" applyProtection="1"/>
    <xf numFmtId="170" fontId="8" fillId="9" borderId="11" xfId="0" applyNumberFormat="1" applyFont="1" applyFill="1" applyBorder="1" applyProtection="1"/>
    <xf numFmtId="170" fontId="11" fillId="9" borderId="11" xfId="0" applyNumberFormat="1" applyFont="1" applyFill="1" applyBorder="1" applyProtection="1"/>
    <xf numFmtId="170" fontId="11" fillId="2" borderId="6" xfId="0" applyNumberFormat="1" applyFont="1" applyFill="1" applyBorder="1" applyProtection="1"/>
    <xf numFmtId="170" fontId="8" fillId="9" borderId="7" xfId="0" applyNumberFormat="1" applyFont="1" applyFill="1" applyBorder="1" applyProtection="1"/>
    <xf numFmtId="164" fontId="44" fillId="10" borderId="4" xfId="0" applyNumberFormat="1" applyFont="1" applyFill="1" applyBorder="1" applyProtection="1"/>
    <xf numFmtId="2" fontId="117" fillId="16" borderId="0" xfId="0" applyNumberFormat="1" applyFont="1" applyFill="1" applyBorder="1" applyAlignment="1">
      <alignment wrapText="1"/>
    </xf>
    <xf numFmtId="0" fontId="0" fillId="16" borderId="0" xfId="0" applyFill="1" applyAlignment="1">
      <alignment horizontal="left"/>
    </xf>
    <xf numFmtId="2" fontId="0" fillId="16" borderId="0" xfId="0" applyNumberFormat="1" applyFill="1"/>
    <xf numFmtId="0" fontId="117" fillId="16" borderId="11" xfId="0" applyFont="1" applyFill="1" applyBorder="1" applyAlignment="1">
      <alignment wrapText="1"/>
    </xf>
    <xf numFmtId="0" fontId="117" fillId="16" borderId="0" xfId="0" applyFont="1" applyFill="1" applyBorder="1" applyAlignment="1">
      <alignment wrapText="1"/>
    </xf>
    <xf numFmtId="0" fontId="11" fillId="16" borderId="0" xfId="0" applyFont="1" applyFill="1" applyBorder="1"/>
    <xf numFmtId="167" fontId="0" fillId="16" borderId="0" xfId="0" applyNumberFormat="1" applyFill="1"/>
    <xf numFmtId="0" fontId="0" fillId="16" borderId="6" xfId="0" applyFill="1" applyBorder="1"/>
    <xf numFmtId="2" fontId="35" fillId="4" borderId="0" xfId="0" applyNumberFormat="1" applyFont="1" applyFill="1" applyBorder="1"/>
    <xf numFmtId="2" fontId="35" fillId="4" borderId="4" xfId="0" applyNumberFormat="1" applyFont="1" applyFill="1" applyBorder="1"/>
    <xf numFmtId="0" fontId="21" fillId="16" borderId="0" xfId="0" applyFont="1" applyFill="1" applyAlignment="1">
      <alignment wrapText="1"/>
    </xf>
    <xf numFmtId="174" fontId="0" fillId="16" borderId="21" xfId="0" applyNumberFormat="1" applyFill="1" applyBorder="1" applyAlignment="1">
      <alignment wrapText="1"/>
    </xf>
    <xf numFmtId="174" fontId="0" fillId="16" borderId="0" xfId="0" applyNumberFormat="1" applyFill="1" applyBorder="1" applyAlignment="1">
      <alignment wrapText="1"/>
    </xf>
    <xf numFmtId="174" fontId="0" fillId="16" borderId="12" xfId="0" applyNumberFormat="1" applyFill="1" applyBorder="1" applyAlignment="1">
      <alignment wrapText="1"/>
    </xf>
    <xf numFmtId="0" fontId="0" fillId="16" borderId="21" xfId="0" applyFill="1" applyBorder="1" applyAlignment="1">
      <alignment wrapText="1"/>
    </xf>
    <xf numFmtId="0" fontId="0" fillId="16" borderId="0" xfId="0" applyFill="1" applyBorder="1" applyAlignment="1">
      <alignment wrapText="1"/>
    </xf>
    <xf numFmtId="0" fontId="0" fillId="16" borderId="12" xfId="0" applyFill="1" applyBorder="1" applyAlignment="1">
      <alignment wrapText="1"/>
    </xf>
    <xf numFmtId="3" fontId="0" fillId="0" borderId="0" xfId="0" applyNumberFormat="1"/>
    <xf numFmtId="0" fontId="0" fillId="16" borderId="0" xfId="0" applyFill="1"/>
    <xf numFmtId="3" fontId="0" fillId="16" borderId="0" xfId="0" applyNumberFormat="1" applyFill="1"/>
    <xf numFmtId="0" fontId="0" fillId="20" borderId="0" xfId="0" applyFill="1"/>
    <xf numFmtId="176" fontId="0" fillId="0" borderId="0" xfId="0" applyNumberFormat="1"/>
    <xf numFmtId="0" fontId="133" fillId="0" borderId="0" xfId="0" applyFont="1"/>
    <xf numFmtId="10" fontId="0" fillId="0" borderId="0" xfId="0" applyNumberFormat="1"/>
    <xf numFmtId="174" fontId="0" fillId="4" borderId="22" xfId="0" applyNumberFormat="1" applyFill="1" applyBorder="1" applyAlignment="1">
      <alignment wrapText="1"/>
    </xf>
    <xf numFmtId="1" fontId="0" fillId="4" borderId="21" xfId="0" applyNumberFormat="1" applyFill="1" applyBorder="1" applyAlignment="1">
      <alignment horizontal="right" vertical="center" wrapText="1"/>
    </xf>
    <xf numFmtId="0" fontId="0" fillId="26" borderId="21" xfId="0" applyFill="1" applyBorder="1" applyAlignment="1">
      <alignment wrapText="1"/>
    </xf>
    <xf numFmtId="0" fontId="0" fillId="26" borderId="0" xfId="0" applyFill="1" applyBorder="1" applyAlignment="1">
      <alignment wrapText="1"/>
    </xf>
    <xf numFmtId="0" fontId="0" fillId="26" borderId="12" xfId="0" applyFill="1" applyBorder="1" applyAlignment="1">
      <alignment wrapText="1"/>
    </xf>
    <xf numFmtId="3" fontId="0" fillId="26" borderId="21" xfId="0" applyNumberFormat="1" applyFill="1" applyBorder="1" applyAlignment="1">
      <alignment wrapText="1"/>
    </xf>
    <xf numFmtId="3" fontId="0" fillId="26" borderId="0" xfId="0" applyNumberFormat="1" applyFill="1" applyBorder="1" applyAlignment="1">
      <alignment wrapText="1"/>
    </xf>
    <xf numFmtId="3" fontId="0" fillId="26" borderId="12" xfId="0" applyNumberFormat="1" applyFill="1" applyBorder="1" applyAlignment="1">
      <alignment wrapText="1"/>
    </xf>
    <xf numFmtId="174" fontId="0" fillId="26" borderId="21" xfId="0" applyNumberFormat="1" applyFill="1" applyBorder="1" applyAlignment="1">
      <alignment wrapText="1"/>
    </xf>
    <xf numFmtId="174" fontId="0" fillId="26" borderId="0" xfId="0" applyNumberFormat="1" applyFill="1" applyBorder="1" applyAlignment="1">
      <alignment wrapText="1"/>
    </xf>
    <xf numFmtId="174" fontId="0" fillId="26" borderId="12" xfId="0" applyNumberFormat="1" applyFill="1" applyBorder="1" applyAlignment="1">
      <alignment wrapText="1"/>
    </xf>
    <xf numFmtId="1" fontId="3" fillId="16" borderId="0" xfId="0" applyNumberFormat="1" applyFont="1" applyFill="1" applyBorder="1" applyAlignment="1" applyProtection="1">
      <alignment horizontal="left" wrapText="1" indent="2"/>
      <protection locked="0"/>
    </xf>
    <xf numFmtId="3" fontId="37" fillId="16" borderId="0" xfId="0" applyNumberFormat="1" applyFont="1" applyFill="1" applyBorder="1" applyAlignment="1" applyProtection="1">
      <alignment horizontal="right" wrapText="1"/>
    </xf>
    <xf numFmtId="164" fontId="45" fillId="22" borderId="4" xfId="0" applyNumberFormat="1" applyFont="1" applyFill="1" applyBorder="1" applyProtection="1">
      <protection locked="0"/>
    </xf>
    <xf numFmtId="0" fontId="42" fillId="16" borderId="0" xfId="0" applyFont="1" applyFill="1" applyProtection="1">
      <protection locked="0"/>
    </xf>
    <xf numFmtId="0" fontId="27" fillId="16" borderId="0" xfId="0" applyFont="1" applyFill="1" applyProtection="1">
      <protection locked="0"/>
    </xf>
    <xf numFmtId="0" fontId="46" fillId="16" borderId="0" xfId="0" applyFont="1" applyFill="1" applyProtection="1">
      <protection locked="0"/>
    </xf>
    <xf numFmtId="0" fontId="0" fillId="16" borderId="0" xfId="0" applyFill="1" applyAlignment="1">
      <alignment horizontal="left" wrapText="1"/>
    </xf>
    <xf numFmtId="2" fontId="0" fillId="16" borderId="21" xfId="0" applyNumberFormat="1" applyFill="1" applyBorder="1" applyAlignment="1">
      <alignment wrapText="1"/>
    </xf>
    <xf numFmtId="2" fontId="0" fillId="16" borderId="0" xfId="0" applyNumberFormat="1" applyFill="1" applyBorder="1" applyAlignment="1">
      <alignment wrapText="1"/>
    </xf>
    <xf numFmtId="2" fontId="0" fillId="16" borderId="12" xfId="0" applyNumberFormat="1" applyFill="1" applyBorder="1" applyAlignment="1">
      <alignment wrapText="1"/>
    </xf>
    <xf numFmtId="0" fontId="0" fillId="16" borderId="0" xfId="0" applyFill="1" applyBorder="1"/>
    <xf numFmtId="0" fontId="110" fillId="16" borderId="0" xfId="1" applyFont="1" applyFill="1" applyAlignment="1" applyProtection="1">
      <protection locked="0"/>
    </xf>
    <xf numFmtId="0" fontId="61" fillId="16" borderId="0" xfId="0" applyFont="1" applyFill="1" applyBorder="1" applyAlignment="1" applyProtection="1">
      <alignment wrapText="1"/>
      <protection locked="0"/>
    </xf>
    <xf numFmtId="0" fontId="44" fillId="16" borderId="0" xfId="0" applyFont="1" applyFill="1" applyProtection="1">
      <protection locked="0"/>
    </xf>
    <xf numFmtId="44" fontId="8" fillId="16" borderId="0" xfId="2" applyFont="1" applyFill="1" applyBorder="1"/>
    <xf numFmtId="44" fontId="0" fillId="16" borderId="0" xfId="2" applyFont="1" applyFill="1" applyBorder="1"/>
    <xf numFmtId="0" fontId="45" fillId="16" borderId="0" xfId="0" applyFont="1" applyFill="1" applyBorder="1" applyAlignment="1" applyProtection="1">
      <alignment wrapText="1"/>
      <protection locked="0"/>
    </xf>
    <xf numFmtId="0" fontId="44" fillId="16" borderId="0" xfId="0" applyFont="1" applyFill="1" applyAlignment="1" applyProtection="1">
      <alignment wrapText="1"/>
      <protection locked="0"/>
    </xf>
    <xf numFmtId="0" fontId="50" fillId="16" borderId="0" xfId="0" applyFont="1" applyFill="1" applyBorder="1" applyAlignment="1" applyProtection="1">
      <alignment horizontal="left" wrapText="1"/>
      <protection locked="0"/>
    </xf>
    <xf numFmtId="0" fontId="38" fillId="16" borderId="0" xfId="0" applyFont="1" applyFill="1" applyBorder="1" applyAlignment="1" applyProtection="1">
      <alignment horizontal="left" wrapText="1"/>
      <protection locked="0"/>
    </xf>
    <xf numFmtId="0" fontId="39" fillId="16" borderId="0" xfId="0" applyFont="1" applyFill="1" applyBorder="1" applyProtection="1">
      <protection locked="0"/>
    </xf>
    <xf numFmtId="2" fontId="39" fillId="16" borderId="0" xfId="0" applyNumberFormat="1" applyFont="1" applyFill="1" applyBorder="1" applyProtection="1">
      <protection locked="0"/>
    </xf>
    <xf numFmtId="0" fontId="51" fillId="16" borderId="0" xfId="0" applyFont="1" applyFill="1" applyProtection="1">
      <protection locked="0"/>
    </xf>
    <xf numFmtId="3" fontId="39" fillId="16" borderId="0" xfId="0" applyNumberFormat="1" applyFont="1" applyFill="1" applyBorder="1" applyProtection="1">
      <protection locked="0"/>
    </xf>
    <xf numFmtId="10" fontId="92" fillId="14" borderId="0" xfId="0" applyNumberFormat="1" applyFont="1" applyFill="1" applyProtection="1">
      <protection locked="0"/>
    </xf>
    <xf numFmtId="0" fontId="133" fillId="26" borderId="0" xfId="0" applyFont="1" applyFill="1"/>
    <xf numFmtId="3" fontId="133" fillId="26" borderId="0" xfId="0" applyNumberFormat="1" applyFont="1" applyFill="1"/>
    <xf numFmtId="0" fontId="0" fillId="25" borderId="0" xfId="0" applyFill="1"/>
    <xf numFmtId="2" fontId="0" fillId="25" borderId="0" xfId="0" applyNumberFormat="1" applyFill="1"/>
    <xf numFmtId="3" fontId="117" fillId="12" borderId="0" xfId="0" applyNumberFormat="1" applyFont="1" applyFill="1" applyBorder="1" applyAlignment="1">
      <alignment wrapText="1"/>
    </xf>
    <xf numFmtId="3" fontId="117" fillId="2" borderId="12" xfId="0" applyNumberFormat="1" applyFont="1" applyFill="1" applyBorder="1" applyAlignment="1">
      <alignment vertical="center" wrapText="1"/>
    </xf>
    <xf numFmtId="3" fontId="117" fillId="9" borderId="11" xfId="0" applyNumberFormat="1" applyFont="1" applyFill="1" applyBorder="1" applyAlignment="1">
      <alignment vertical="center" wrapText="1"/>
    </xf>
    <xf numFmtId="3" fontId="117" fillId="9" borderId="0" xfId="0" applyNumberFormat="1" applyFont="1" applyFill="1" applyBorder="1" applyAlignment="1">
      <alignment vertical="center" wrapText="1"/>
    </xf>
    <xf numFmtId="3" fontId="117" fillId="9" borderId="12" xfId="0" applyNumberFormat="1" applyFont="1" applyFill="1" applyBorder="1" applyAlignment="1">
      <alignment vertical="center" wrapText="1"/>
    </xf>
    <xf numFmtId="3" fontId="117" fillId="16" borderId="11" xfId="0" applyNumberFormat="1" applyFont="1" applyFill="1" applyBorder="1" applyAlignment="1">
      <alignment wrapText="1"/>
    </xf>
    <xf numFmtId="3" fontId="117" fillId="16" borderId="0" xfId="0" applyNumberFormat="1" applyFont="1" applyFill="1" applyBorder="1" applyAlignment="1">
      <alignment wrapText="1"/>
    </xf>
    <xf numFmtId="3" fontId="117" fillId="16" borderId="12" xfId="0" applyNumberFormat="1" applyFont="1" applyFill="1" applyBorder="1" applyAlignment="1">
      <alignment wrapText="1"/>
    </xf>
    <xf numFmtId="3" fontId="117" fillId="2" borderId="12" xfId="0" applyNumberFormat="1" applyFont="1" applyFill="1" applyBorder="1" applyAlignment="1">
      <alignment wrapText="1"/>
    </xf>
    <xf numFmtId="164" fontId="117" fillId="16" borderId="11" xfId="0" applyNumberFormat="1" applyFont="1" applyFill="1" applyBorder="1" applyAlignment="1">
      <alignment wrapText="1"/>
    </xf>
    <xf numFmtId="164" fontId="117" fillId="16" borderId="0" xfId="0" applyNumberFormat="1" applyFont="1" applyFill="1" applyBorder="1" applyAlignment="1">
      <alignment wrapText="1"/>
    </xf>
    <xf numFmtId="164" fontId="117" fillId="16" borderId="12" xfId="0" applyNumberFormat="1" applyFont="1" applyFill="1" applyBorder="1" applyAlignment="1">
      <alignment wrapText="1"/>
    </xf>
    <xf numFmtId="164" fontId="8" fillId="2" borderId="12" xfId="0" applyNumberFormat="1" applyFont="1" applyFill="1" applyBorder="1" applyAlignment="1">
      <alignment vertical="center" wrapText="1"/>
    </xf>
    <xf numFmtId="164" fontId="8" fillId="5" borderId="12" xfId="0" applyNumberFormat="1" applyFont="1" applyFill="1" applyBorder="1" applyAlignment="1">
      <alignment wrapText="1"/>
    </xf>
    <xf numFmtId="164" fontId="117" fillId="12" borderId="0" xfId="0" applyNumberFormat="1" applyFont="1" applyFill="1" applyBorder="1" applyAlignment="1">
      <alignment vertical="center" wrapText="1"/>
    </xf>
    <xf numFmtId="164" fontId="117" fillId="9" borderId="11" xfId="0" applyNumberFormat="1" applyFont="1" applyFill="1" applyBorder="1" applyAlignment="1">
      <alignment vertical="center" wrapText="1"/>
    </xf>
    <xf numFmtId="164" fontId="117" fillId="9" borderId="0" xfId="0" applyNumberFormat="1" applyFont="1" applyFill="1" applyBorder="1" applyAlignment="1">
      <alignment vertical="center" wrapText="1"/>
    </xf>
    <xf numFmtId="164" fontId="117" fillId="9" borderId="12" xfId="0" applyNumberFormat="1" applyFont="1" applyFill="1" applyBorder="1" applyAlignment="1">
      <alignment vertical="center" wrapText="1"/>
    </xf>
    <xf numFmtId="164" fontId="117" fillId="12" borderId="0" xfId="0" applyNumberFormat="1" applyFont="1" applyFill="1" applyBorder="1" applyAlignment="1">
      <alignment wrapText="1"/>
    </xf>
    <xf numFmtId="164" fontId="117" fillId="15" borderId="12" xfId="0" applyNumberFormat="1" applyFont="1" applyFill="1" applyBorder="1" applyAlignment="1">
      <alignment vertical="center" wrapText="1"/>
    </xf>
    <xf numFmtId="164" fontId="9" fillId="9" borderId="12" xfId="0" applyNumberFormat="1" applyFont="1" applyFill="1" applyBorder="1" applyAlignment="1">
      <alignment vertical="center" wrapText="1"/>
    </xf>
    <xf numFmtId="164" fontId="9" fillId="9" borderId="5" xfId="0" applyNumberFormat="1" applyFont="1" applyFill="1" applyBorder="1" applyAlignment="1">
      <alignment vertical="center" wrapText="1"/>
    </xf>
    <xf numFmtId="3" fontId="8" fillId="12" borderId="0" xfId="0" applyNumberFormat="1" applyFont="1" applyFill="1" applyBorder="1" applyAlignment="1">
      <alignment wrapText="1"/>
    </xf>
    <xf numFmtId="164" fontId="5" fillId="13" borderId="0" xfId="0" applyNumberFormat="1" applyFont="1" applyFill="1" applyBorder="1" applyAlignment="1">
      <alignment wrapText="1"/>
    </xf>
    <xf numFmtId="0" fontId="8" fillId="12" borderId="0" xfId="0" applyFont="1" applyFill="1" applyBorder="1" applyAlignment="1">
      <alignment wrapText="1"/>
    </xf>
    <xf numFmtId="0" fontId="36" fillId="12" borderId="0" xfId="0" applyFont="1" applyFill="1" applyBorder="1" applyAlignment="1">
      <alignment wrapText="1"/>
    </xf>
    <xf numFmtId="0" fontId="6" fillId="12" borderId="0" xfId="0" applyFont="1" applyFill="1" applyBorder="1" applyAlignment="1">
      <alignment horizontal="left" wrapText="1"/>
    </xf>
    <xf numFmtId="0" fontId="34" fillId="12" borderId="0" xfId="0" applyFont="1" applyFill="1" applyBorder="1" applyAlignment="1">
      <alignment wrapText="1"/>
    </xf>
    <xf numFmtId="0" fontId="131" fillId="12" borderId="0" xfId="0" applyFont="1" applyFill="1" applyBorder="1" applyAlignment="1">
      <alignment wrapText="1"/>
    </xf>
    <xf numFmtId="0" fontId="3" fillId="4" borderId="0" xfId="0" applyFont="1" applyFill="1" applyBorder="1" applyAlignment="1">
      <alignment horizontal="left" wrapText="1"/>
    </xf>
    <xf numFmtId="0" fontId="3" fillId="4" borderId="4" xfId="0" applyFont="1" applyFill="1" applyBorder="1" applyAlignment="1">
      <alignment horizontal="left" wrapText="1"/>
    </xf>
    <xf numFmtId="0" fontId="3" fillId="4" borderId="7" xfId="0" applyFont="1" applyFill="1" applyBorder="1" applyAlignment="1">
      <alignment horizontal="left" wrapText="1"/>
    </xf>
    <xf numFmtId="1" fontId="8" fillId="12" borderId="0" xfId="0" applyNumberFormat="1" applyFont="1" applyFill="1" applyBorder="1" applyAlignment="1">
      <alignment wrapText="1"/>
    </xf>
    <xf numFmtId="0" fontId="0" fillId="12" borderId="0" xfId="0" applyFill="1" applyBorder="1" applyAlignment="1">
      <alignment wrapText="1"/>
    </xf>
    <xf numFmtId="0" fontId="6" fillId="12" borderId="0" xfId="0" applyFont="1" applyFill="1" applyBorder="1" applyAlignment="1">
      <alignment wrapText="1"/>
    </xf>
    <xf numFmtId="0" fontId="8" fillId="12" borderId="6" xfId="0" applyFont="1" applyFill="1" applyBorder="1" applyAlignment="1">
      <alignment wrapText="1"/>
    </xf>
    <xf numFmtId="0" fontId="8" fillId="14" borderId="0" xfId="0" applyFont="1" applyFill="1" applyBorder="1" applyAlignment="1">
      <alignment wrapText="1"/>
    </xf>
    <xf numFmtId="0" fontId="0" fillId="14" borderId="0" xfId="0" applyFill="1" applyBorder="1" applyAlignment="1">
      <alignment wrapText="1"/>
    </xf>
    <xf numFmtId="0" fontId="6" fillId="14" borderId="0" xfId="0" applyFont="1" applyFill="1" applyBorder="1" applyAlignment="1">
      <alignment wrapText="1"/>
    </xf>
    <xf numFmtId="1" fontId="11" fillId="14" borderId="0" xfId="0" applyNumberFormat="1" applyFont="1" applyFill="1" applyBorder="1" applyAlignment="1" applyProtection="1">
      <alignment horizontal="left" wrapText="1" indent="1"/>
      <protection locked="0"/>
    </xf>
    <xf numFmtId="1" fontId="37" fillId="14" borderId="0" xfId="0" applyNumberFormat="1" applyFont="1" applyFill="1" applyBorder="1" applyAlignment="1" applyProtection="1">
      <alignment horizontal="left" wrapText="1" indent="1"/>
      <protection locked="0"/>
    </xf>
    <xf numFmtId="1" fontId="8" fillId="14" borderId="0" xfId="0" applyNumberFormat="1" applyFont="1" applyFill="1" applyBorder="1" applyAlignment="1" applyProtection="1">
      <alignment horizontal="left" wrapText="1" indent="1"/>
      <protection locked="0"/>
    </xf>
    <xf numFmtId="1" fontId="3" fillId="14" borderId="0" xfId="0" applyNumberFormat="1" applyFont="1" applyFill="1" applyBorder="1" applyAlignment="1" applyProtection="1">
      <alignment horizontal="left" wrapText="1" indent="1"/>
      <protection locked="0"/>
    </xf>
    <xf numFmtId="1" fontId="3" fillId="25" borderId="0" xfId="0" applyNumberFormat="1" applyFont="1" applyFill="1" applyBorder="1" applyAlignment="1" applyProtection="1">
      <alignment horizontal="left" wrapText="1" indent="1"/>
      <protection locked="0"/>
    </xf>
    <xf numFmtId="3" fontId="39" fillId="15" borderId="0" xfId="0" applyNumberFormat="1" applyFont="1" applyFill="1" applyBorder="1" applyProtection="1"/>
    <xf numFmtId="1" fontId="8" fillId="15" borderId="0" xfId="0" applyNumberFormat="1" applyFont="1" applyFill="1" applyBorder="1" applyAlignment="1" applyProtection="1">
      <alignment horizontal="left" wrapText="1" indent="1"/>
      <protection locked="0"/>
    </xf>
    <xf numFmtId="1" fontId="3" fillId="15" borderId="0" xfId="0" applyNumberFormat="1" applyFont="1" applyFill="1" applyBorder="1" applyAlignment="1" applyProtection="1">
      <alignment horizontal="left" wrapText="1" indent="1"/>
      <protection locked="0"/>
    </xf>
    <xf numFmtId="1" fontId="52" fillId="15" borderId="0" xfId="0" applyNumberFormat="1" applyFont="1" applyFill="1" applyBorder="1" applyAlignment="1" applyProtection="1">
      <alignment horizontal="left" wrapText="1" indent="2"/>
      <protection locked="0"/>
    </xf>
    <xf numFmtId="3" fontId="39" fillId="15" borderId="72" xfId="0" applyNumberFormat="1" applyFont="1" applyFill="1" applyBorder="1" applyProtection="1"/>
    <xf numFmtId="1" fontId="52" fillId="15" borderId="73" xfId="0" applyNumberFormat="1" applyFont="1" applyFill="1" applyBorder="1" applyAlignment="1" applyProtection="1">
      <alignment horizontal="left" wrapText="1" indent="2"/>
      <protection locked="0"/>
    </xf>
    <xf numFmtId="3" fontId="39" fillId="15" borderId="73" xfId="0" applyNumberFormat="1" applyFont="1" applyFill="1" applyBorder="1" applyProtection="1"/>
    <xf numFmtId="1" fontId="11" fillId="14" borderId="0" xfId="0" applyNumberFormat="1" applyFont="1" applyFill="1" applyBorder="1" applyAlignment="1" applyProtection="1">
      <alignment horizontal="left" wrapText="1" indent="2"/>
      <protection locked="0"/>
    </xf>
    <xf numFmtId="3" fontId="38" fillId="15" borderId="0" xfId="0" applyNumberFormat="1" applyFont="1" applyFill="1" applyBorder="1" applyProtection="1"/>
    <xf numFmtId="3" fontId="38" fillId="15" borderId="0" xfId="0" applyNumberFormat="1" applyFont="1" applyFill="1" applyBorder="1" applyProtection="1">
      <protection locked="0"/>
    </xf>
    <xf numFmtId="3" fontId="40" fillId="15" borderId="0" xfId="0" applyNumberFormat="1" applyFont="1" applyFill="1" applyBorder="1" applyProtection="1"/>
    <xf numFmtId="3" fontId="39" fillId="23" borderId="0" xfId="0" applyNumberFormat="1" applyFont="1" applyFill="1" applyBorder="1" applyProtection="1"/>
    <xf numFmtId="0" fontId="45" fillId="23" borderId="6" xfId="0" applyFont="1" applyFill="1" applyBorder="1" applyAlignment="1" applyProtection="1">
      <alignment wrapText="1"/>
      <protection locked="0"/>
    </xf>
    <xf numFmtId="3" fontId="11" fillId="23" borderId="2" xfId="0" applyNumberFormat="1" applyFont="1" applyFill="1" applyBorder="1" applyProtection="1">
      <protection locked="0"/>
    </xf>
    <xf numFmtId="3" fontId="11" fillId="23" borderId="7" xfId="0" applyNumberFormat="1" applyFont="1" applyFill="1" applyBorder="1" applyProtection="1">
      <protection locked="0"/>
    </xf>
    <xf numFmtId="3" fontId="11" fillId="23" borderId="67" xfId="0" applyNumberFormat="1" applyFont="1" applyFill="1" applyBorder="1" applyProtection="1">
      <protection locked="0"/>
    </xf>
    <xf numFmtId="0" fontId="45" fillId="23" borderId="7" xfId="0" applyFont="1" applyFill="1" applyBorder="1" applyAlignment="1" applyProtection="1">
      <alignment horizontal="left" wrapText="1"/>
      <protection locked="0"/>
    </xf>
    <xf numFmtId="3" fontId="45" fillId="23" borderId="2" xfId="0" applyNumberFormat="1" applyFont="1" applyFill="1" applyBorder="1" applyProtection="1">
      <protection locked="0"/>
    </xf>
    <xf numFmtId="3" fontId="45" fillId="23" borderId="7" xfId="0" applyNumberFormat="1" applyFont="1" applyFill="1" applyBorder="1" applyProtection="1">
      <protection locked="0"/>
    </xf>
    <xf numFmtId="3" fontId="45" fillId="23" borderId="67" xfId="0" applyNumberFormat="1" applyFont="1" applyFill="1" applyBorder="1" applyProtection="1">
      <protection locked="0"/>
    </xf>
    <xf numFmtId="1" fontId="8" fillId="15" borderId="72" xfId="0" applyNumberFormat="1" applyFont="1" applyFill="1" applyBorder="1" applyAlignment="1" applyProtection="1">
      <alignment horizontal="left" wrapText="1" indent="1"/>
      <protection locked="0"/>
    </xf>
    <xf numFmtId="165" fontId="39" fillId="14" borderId="0" xfId="0" applyNumberFormat="1" applyFont="1" applyFill="1" applyBorder="1" applyProtection="1">
      <protection locked="0"/>
    </xf>
    <xf numFmtId="0" fontId="27" fillId="14" borderId="0" xfId="0" applyFont="1" applyFill="1" applyBorder="1" applyAlignment="1" applyProtection="1">
      <alignment horizontal="center" vertical="center" wrapText="1"/>
      <protection locked="0"/>
    </xf>
    <xf numFmtId="165" fontId="39" fillId="25" borderId="0" xfId="0" applyNumberFormat="1" applyFont="1" applyFill="1" applyBorder="1" applyProtection="1">
      <protection locked="0"/>
    </xf>
    <xf numFmtId="0" fontId="45" fillId="25" borderId="6" xfId="0" applyFont="1" applyFill="1" applyBorder="1" applyAlignment="1" applyProtection="1">
      <alignment wrapText="1"/>
      <protection locked="0"/>
    </xf>
    <xf numFmtId="165" fontId="39" fillId="25" borderId="7" xfId="0" applyNumberFormat="1" applyFont="1" applyFill="1" applyBorder="1" applyProtection="1">
      <protection locked="0"/>
    </xf>
    <xf numFmtId="0" fontId="45" fillId="25" borderId="7" xfId="0" applyFont="1" applyFill="1" applyBorder="1" applyAlignment="1" applyProtection="1">
      <alignment horizontal="left" wrapText="1"/>
      <protection locked="0"/>
    </xf>
    <xf numFmtId="165" fontId="39" fillId="25" borderId="67" xfId="0" applyNumberFormat="1" applyFont="1" applyFill="1" applyBorder="1" applyProtection="1">
      <protection locked="0"/>
    </xf>
    <xf numFmtId="165" fontId="39" fillId="15" borderId="0" xfId="0" applyNumberFormat="1" applyFont="1" applyFill="1" applyBorder="1" applyProtection="1">
      <protection locked="0"/>
    </xf>
    <xf numFmtId="165" fontId="38" fillId="15" borderId="0" xfId="0" applyNumberFormat="1" applyFont="1" applyFill="1" applyBorder="1" applyProtection="1">
      <protection locked="0"/>
    </xf>
    <xf numFmtId="0" fontId="27" fillId="26" borderId="0" xfId="0" applyFont="1" applyFill="1" applyProtection="1">
      <protection locked="0"/>
    </xf>
    <xf numFmtId="0" fontId="11" fillId="14" borderId="0" xfId="0" applyFont="1" applyFill="1" applyAlignment="1" applyProtection="1">
      <alignment wrapText="1"/>
      <protection locked="0"/>
    </xf>
    <xf numFmtId="0" fontId="11" fillId="14" borderId="0" xfId="0" applyFont="1" applyFill="1" applyProtection="1">
      <protection locked="0"/>
    </xf>
    <xf numFmtId="1" fontId="8" fillId="23" borderId="0" xfId="0" applyNumberFormat="1" applyFont="1" applyFill="1" applyBorder="1" applyAlignment="1" applyProtection="1">
      <alignment horizontal="left" wrapText="1" indent="1"/>
      <protection locked="0"/>
    </xf>
    <xf numFmtId="165" fontId="27" fillId="4" borderId="0" xfId="0" applyNumberFormat="1" applyFont="1" applyFill="1" applyBorder="1" applyAlignment="1" applyProtection="1">
      <alignment horizontal="center" vertical="center"/>
      <protection locked="0"/>
    </xf>
    <xf numFmtId="0" fontId="3" fillId="16" borderId="0" xfId="0" applyFont="1" applyFill="1" applyAlignment="1">
      <alignment wrapText="1"/>
    </xf>
    <xf numFmtId="4" fontId="117" fillId="4" borderId="0" xfId="0" applyNumberFormat="1" applyFont="1" applyFill="1" applyBorder="1" applyAlignment="1">
      <alignment wrapText="1"/>
    </xf>
    <xf numFmtId="0" fontId="56" fillId="16" borderId="0" xfId="0" applyFont="1" applyFill="1" applyBorder="1" applyAlignment="1">
      <alignment wrapText="1"/>
    </xf>
    <xf numFmtId="3" fontId="0" fillId="12" borderId="0" xfId="0" applyNumberFormat="1" applyFill="1" applyBorder="1" applyAlignment="1">
      <alignment wrapText="1"/>
    </xf>
    <xf numFmtId="3" fontId="0" fillId="4" borderId="0" xfId="0" applyNumberFormat="1" applyFill="1" applyBorder="1" applyAlignment="1">
      <alignment wrapText="1"/>
    </xf>
    <xf numFmtId="3" fontId="8" fillId="4" borderId="0" xfId="0" applyNumberFormat="1" applyFont="1" applyFill="1" applyBorder="1" applyAlignment="1">
      <alignment wrapText="1"/>
    </xf>
    <xf numFmtId="3" fontId="133" fillId="25" borderId="0" xfId="0" applyNumberFormat="1" applyFont="1" applyFill="1"/>
    <xf numFmtId="3" fontId="7" fillId="4" borderId="19" xfId="0" applyNumberFormat="1" applyFont="1" applyFill="1" applyBorder="1" applyAlignment="1">
      <alignment wrapText="1"/>
    </xf>
    <xf numFmtId="3" fontId="7" fillId="4" borderId="0" xfId="0" applyNumberFormat="1" applyFont="1" applyFill="1"/>
    <xf numFmtId="3" fontId="0" fillId="4" borderId="0" xfId="0" applyNumberFormat="1" applyFill="1" applyAlignment="1">
      <alignment wrapText="1"/>
    </xf>
    <xf numFmtId="3" fontId="133" fillId="25" borderId="0" xfId="0" applyNumberFormat="1" applyFont="1" applyFill="1" applyAlignment="1">
      <alignment wrapText="1"/>
    </xf>
    <xf numFmtId="0" fontId="50" fillId="14" borderId="0" xfId="0" applyFont="1" applyFill="1" applyBorder="1" applyAlignment="1" applyProtection="1">
      <alignment horizontal="left" wrapText="1"/>
      <protection locked="0"/>
    </xf>
    <xf numFmtId="1" fontId="44" fillId="14" borderId="0" xfId="0" applyNumberFormat="1" applyFont="1" applyFill="1" applyProtection="1">
      <protection locked="0"/>
    </xf>
    <xf numFmtId="1" fontId="44" fillId="14" borderId="0" xfId="0" applyNumberFormat="1" applyFont="1" applyFill="1" applyAlignment="1" applyProtection="1">
      <alignment wrapText="1"/>
      <protection locked="0"/>
    </xf>
    <xf numFmtId="0" fontId="11" fillId="27" borderId="0" xfId="0" applyFont="1" applyFill="1" applyBorder="1" applyAlignment="1" applyProtection="1">
      <alignment wrapText="1"/>
      <protection locked="0"/>
    </xf>
    <xf numFmtId="164" fontId="44" fillId="27" borderId="0" xfId="0" applyNumberFormat="1" applyFont="1" applyFill="1" applyProtection="1">
      <protection locked="0"/>
    </xf>
    <xf numFmtId="0" fontId="11" fillId="14" borderId="0" xfId="0" applyFont="1" applyFill="1" applyBorder="1" applyAlignment="1" applyProtection="1">
      <alignment wrapText="1"/>
      <protection locked="0"/>
    </xf>
    <xf numFmtId="164" fontId="44" fillId="14" borderId="0" xfId="0" applyNumberFormat="1" applyFont="1" applyFill="1" applyProtection="1">
      <protection locked="0"/>
    </xf>
    <xf numFmtId="2" fontId="11" fillId="4" borderId="0" xfId="0" applyNumberFormat="1" applyFont="1" applyFill="1" applyProtection="1">
      <protection locked="0"/>
    </xf>
    <xf numFmtId="179" fontId="44" fillId="4" borderId="0" xfId="0" applyNumberFormat="1" applyFont="1" applyFill="1" applyAlignment="1" applyProtection="1">
      <alignment wrapText="1"/>
      <protection locked="0"/>
    </xf>
    <xf numFmtId="0" fontId="3" fillId="12" borderId="0" xfId="0" applyFont="1" applyFill="1" applyBorder="1" applyAlignment="1">
      <alignment wrapText="1"/>
    </xf>
    <xf numFmtId="11" fontId="0" fillId="4" borderId="0" xfId="0" applyNumberFormat="1" applyFill="1" applyAlignment="1">
      <alignment horizontal="left" vertical="center" wrapText="1"/>
    </xf>
    <xf numFmtId="49" fontId="15" fillId="4" borderId="2" xfId="0" applyNumberFormat="1" applyFont="1" applyFill="1" applyBorder="1" applyAlignment="1">
      <alignment horizontal="center" vertical="center" wrapText="1"/>
    </xf>
    <xf numFmtId="49" fontId="15" fillId="4" borderId="67" xfId="0" applyNumberFormat="1" applyFont="1" applyFill="1" applyBorder="1" applyAlignment="1">
      <alignment horizontal="center" vertical="center" wrapText="1"/>
    </xf>
    <xf numFmtId="49" fontId="0" fillId="4" borderId="0" xfId="0" applyNumberFormat="1" applyFill="1" applyAlignment="1">
      <alignment horizontal="left" vertical="center" wrapText="1"/>
    </xf>
    <xf numFmtId="49" fontId="0" fillId="4" borderId="0" xfId="0" applyNumberFormat="1" applyFill="1" applyAlignment="1">
      <alignment vertical="center" wrapText="1"/>
    </xf>
    <xf numFmtId="49" fontId="0" fillId="4" borderId="3" xfId="0" applyNumberFormat="1" applyFill="1" applyBorder="1" applyAlignment="1">
      <alignment horizontal="center" vertical="center" wrapText="1"/>
    </xf>
    <xf numFmtId="49" fontId="0" fillId="4" borderId="5" xfId="0" applyNumberFormat="1" applyFill="1" applyBorder="1" applyAlignment="1">
      <alignment horizontal="center" vertical="center" wrapText="1"/>
    </xf>
    <xf numFmtId="0" fontId="0" fillId="4" borderId="0" xfId="0" applyFill="1" applyAlignment="1">
      <alignment horizontal="left" vertical="center" wrapText="1"/>
    </xf>
    <xf numFmtId="11" fontId="0" fillId="4" borderId="0" xfId="0" applyNumberFormat="1" applyFill="1" applyAlignment="1">
      <alignment horizontal="left" vertical="center" wrapText="1" indent="1"/>
    </xf>
    <xf numFmtId="49" fontId="0" fillId="4" borderId="0" xfId="0" applyNumberFormat="1" applyFill="1" applyAlignment="1">
      <alignment horizontal="left" wrapText="1" indent="1"/>
    </xf>
    <xf numFmtId="49" fontId="0" fillId="4" borderId="0" xfId="0" applyNumberFormat="1" applyFill="1" applyAlignment="1">
      <alignment horizontal="left" vertical="center" wrapText="1" indent="1"/>
    </xf>
    <xf numFmtId="11" fontId="8" fillId="4" borderId="0" xfId="0" applyNumberFormat="1" applyFont="1" applyFill="1" applyAlignment="1">
      <alignment horizontal="left" vertical="center" wrapText="1" indent="1"/>
    </xf>
    <xf numFmtId="49" fontId="8" fillId="4" borderId="0" xfId="0" applyNumberFormat="1" applyFont="1" applyFill="1" applyAlignment="1">
      <alignment horizontal="left" vertical="center" wrapText="1" indent="1"/>
    </xf>
    <xf numFmtId="168" fontId="0" fillId="4" borderId="0" xfId="0" applyNumberFormat="1" applyFill="1" applyAlignment="1">
      <alignment horizontal="right"/>
    </xf>
    <xf numFmtId="49" fontId="21" fillId="4" borderId="0" xfId="0" applyNumberFormat="1" applyFont="1" applyFill="1" applyAlignment="1">
      <alignment horizontal="center"/>
    </xf>
    <xf numFmtId="0" fontId="0" fillId="4" borderId="0" xfId="0" applyFill="1" applyAlignment="1">
      <alignment horizontal="left" vertical="center" wrapText="1" indent="1"/>
    </xf>
    <xf numFmtId="11" fontId="0" fillId="4" borderId="0" xfId="0" applyNumberFormat="1" applyFill="1" applyAlignment="1">
      <alignment horizontal="left" wrapText="1" indent="1"/>
    </xf>
    <xf numFmtId="49" fontId="22" fillId="4" borderId="0" xfId="1" applyNumberFormat="1" applyFont="1" applyFill="1" applyAlignment="1" applyProtection="1">
      <alignment horizontal="left" vertical="center" indent="1"/>
    </xf>
    <xf numFmtId="49" fontId="23" fillId="4" borderId="0" xfId="1" applyNumberFormat="1" applyFont="1" applyFill="1" applyAlignment="1" applyProtection="1">
      <alignment horizontal="left" vertical="center" wrapText="1" indent="1"/>
    </xf>
    <xf numFmtId="49" fontId="0" fillId="4" borderId="0" xfId="0" applyNumberFormat="1" applyFill="1" applyAlignment="1">
      <alignment horizontal="left"/>
    </xf>
    <xf numFmtId="0" fontId="10" fillId="8" borderId="9" xfId="0" applyFont="1" applyFill="1" applyBorder="1" applyAlignment="1">
      <alignment horizontal="center"/>
    </xf>
    <xf numFmtId="0" fontId="10" fillId="8" borderId="6" xfId="0" applyFont="1" applyFill="1" applyBorder="1" applyAlignment="1">
      <alignment horizontal="center"/>
    </xf>
    <xf numFmtId="0" fontId="10" fillId="8" borderId="10" xfId="0" applyFont="1" applyFill="1" applyBorder="1" applyAlignment="1">
      <alignment horizont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3" xfId="0" applyFont="1" applyFill="1" applyBorder="1" applyAlignment="1">
      <alignment horizontal="center" vertical="center"/>
    </xf>
    <xf numFmtId="0" fontId="10" fillId="3" borderId="9" xfId="0" applyFont="1" applyFill="1" applyBorder="1" applyAlignment="1">
      <alignment horizontal="center"/>
    </xf>
    <xf numFmtId="0" fontId="10" fillId="3" borderId="6" xfId="0" applyFont="1" applyFill="1" applyBorder="1" applyAlignment="1">
      <alignment horizontal="center"/>
    </xf>
    <xf numFmtId="0" fontId="10" fillId="3" borderId="10" xfId="0" applyFont="1" applyFill="1" applyBorder="1" applyAlignment="1">
      <alignment horizontal="center"/>
    </xf>
    <xf numFmtId="0" fontId="10" fillId="4" borderId="9" xfId="0" applyFont="1" applyFill="1" applyBorder="1" applyAlignment="1">
      <alignment horizontal="center"/>
    </xf>
    <xf numFmtId="0" fontId="10" fillId="4" borderId="6" xfId="0" applyFont="1" applyFill="1" applyBorder="1" applyAlignment="1">
      <alignment horizontal="center"/>
    </xf>
    <xf numFmtId="0" fontId="10" fillId="4" borderId="10" xfId="0" applyFont="1" applyFill="1" applyBorder="1" applyAlignment="1">
      <alignment horizontal="center"/>
    </xf>
    <xf numFmtId="0" fontId="10" fillId="3" borderId="9" xfId="0" applyFont="1" applyFill="1" applyBorder="1" applyAlignment="1">
      <alignment horizontal="center" wrapText="1"/>
    </xf>
    <xf numFmtId="0" fontId="10" fillId="3" borderId="6" xfId="0" applyFont="1" applyFill="1" applyBorder="1" applyAlignment="1">
      <alignment horizontal="center" wrapText="1"/>
    </xf>
    <xf numFmtId="0" fontId="8" fillId="3" borderId="9" xfId="0" applyFont="1" applyFill="1" applyBorder="1" applyAlignment="1">
      <alignment horizontal="center" wrapText="1"/>
    </xf>
    <xf numFmtId="0" fontId="8" fillId="3" borderId="6" xfId="0" applyFont="1" applyFill="1" applyBorder="1" applyAlignment="1">
      <alignment horizontal="center" wrapText="1"/>
    </xf>
    <xf numFmtId="0" fontId="8" fillId="3" borderId="10" xfId="0" applyFont="1" applyFill="1" applyBorder="1" applyAlignment="1">
      <alignment horizont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4" xfId="0" applyFont="1" applyFill="1" applyBorder="1" applyAlignment="1">
      <alignment horizontal="left" vertical="center"/>
    </xf>
    <xf numFmtId="168" fontId="0" fillId="4" borderId="0" xfId="0" applyNumberFormat="1" applyFill="1" applyAlignment="1">
      <alignment horizontal="right" vertical="center"/>
    </xf>
    <xf numFmtId="0" fontId="10" fillId="3" borderId="10" xfId="0" applyFont="1" applyFill="1" applyBorder="1" applyAlignment="1">
      <alignment horizontal="center" wrapText="1"/>
    </xf>
    <xf numFmtId="0" fontId="119" fillId="4" borderId="0" xfId="0" applyFont="1" applyFill="1" applyAlignment="1" applyProtection="1">
      <alignment wrapText="1"/>
      <protection locked="0"/>
    </xf>
    <xf numFmtId="0" fontId="118" fillId="4" borderId="6" xfId="0" applyFont="1" applyFill="1" applyBorder="1" applyAlignment="1">
      <alignment horizontal="center"/>
    </xf>
    <xf numFmtId="0" fontId="118" fillId="4" borderId="9" xfId="0" applyFont="1" applyFill="1" applyBorder="1" applyAlignment="1">
      <alignment horizontal="center"/>
    </xf>
    <xf numFmtId="0" fontId="119" fillId="4" borderId="4" xfId="0" applyFont="1" applyFill="1" applyBorder="1" applyAlignment="1">
      <alignment horizontal="center"/>
    </xf>
    <xf numFmtId="0" fontId="119" fillId="4" borderId="3" xfId="0" applyFont="1" applyFill="1" applyBorder="1" applyAlignment="1">
      <alignment horizontal="center"/>
    </xf>
    <xf numFmtId="0" fontId="27" fillId="2" borderId="9" xfId="0" applyFont="1" applyFill="1" applyBorder="1" applyAlignment="1" applyProtection="1">
      <alignment horizontal="center"/>
      <protection locked="0"/>
    </xf>
    <xf numFmtId="0" fontId="27" fillId="2" borderId="6" xfId="0" applyFont="1" applyFill="1" applyBorder="1" applyAlignment="1" applyProtection="1">
      <alignment horizontal="center"/>
      <protection locked="0"/>
    </xf>
    <xf numFmtId="0" fontId="27" fillId="2" borderId="10" xfId="0" applyFont="1" applyFill="1" applyBorder="1" applyAlignment="1" applyProtection="1">
      <alignment horizontal="center"/>
      <protection locked="0"/>
    </xf>
    <xf numFmtId="0" fontId="27" fillId="2" borderId="6"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168" fontId="42" fillId="4" borderId="0" xfId="0" applyNumberFormat="1" applyFont="1" applyFill="1" applyAlignment="1">
      <alignment horizontal="right" vertical="center"/>
    </xf>
    <xf numFmtId="0" fontId="85" fillId="4" borderId="6" xfId="0" applyNumberFormat="1" applyFont="1" applyFill="1" applyBorder="1" applyAlignment="1"/>
    <xf numFmtId="0" fontId="0" fillId="4" borderId="0" xfId="0" applyFill="1" applyAlignment="1"/>
    <xf numFmtId="0" fontId="0" fillId="4" borderId="4" xfId="0" applyFill="1" applyBorder="1" applyAlignment="1"/>
    <xf numFmtId="0" fontId="42" fillId="4" borderId="0" xfId="0" applyFont="1" applyFill="1" applyAlignment="1" applyProtection="1">
      <protection locked="0"/>
    </xf>
    <xf numFmtId="0" fontId="42" fillId="4" borderId="4" xfId="0" applyFont="1" applyFill="1" applyBorder="1" applyAlignment="1" applyProtection="1">
      <protection locked="0"/>
    </xf>
    <xf numFmtId="0" fontId="97" fillId="4" borderId="0" xfId="0" applyFont="1" applyFill="1" applyBorder="1" applyAlignment="1">
      <alignment horizontal="left" wrapText="1" readingOrder="1"/>
    </xf>
    <xf numFmtId="0" fontId="98" fillId="4" borderId="0" xfId="0" applyFont="1" applyFill="1" applyBorder="1" applyAlignment="1">
      <alignment wrapText="1"/>
    </xf>
    <xf numFmtId="0" fontId="10" fillId="5" borderId="0" xfId="0" applyFont="1" applyFill="1" applyBorder="1" applyAlignment="1">
      <alignment horizontal="center" vertical="center"/>
    </xf>
    <xf numFmtId="0" fontId="53" fillId="5" borderId="0" xfId="0" applyFont="1" applyFill="1" applyBorder="1" applyAlignment="1">
      <alignment horizontal="center" vertical="center" wrapText="1"/>
    </xf>
    <xf numFmtId="0" fontId="56" fillId="16" borderId="0" xfId="0" applyFont="1" applyFill="1" applyBorder="1" applyAlignment="1">
      <alignment wrapText="1"/>
    </xf>
    <xf numFmtId="0" fontId="0" fillId="16" borderId="0" xfId="0" applyFill="1" applyAlignment="1"/>
    <xf numFmtId="0" fontId="56" fillId="4" borderId="0" xfId="0" applyFont="1" applyFill="1" applyBorder="1" applyAlignment="1">
      <alignment wrapText="1"/>
    </xf>
    <xf numFmtId="0" fontId="0" fillId="0" borderId="0" xfId="0" applyAlignment="1"/>
    <xf numFmtId="0" fontId="21" fillId="4" borderId="0" xfId="0" applyFont="1" applyFill="1" applyAlignment="1">
      <alignment wrapText="1"/>
    </xf>
    <xf numFmtId="0" fontId="0" fillId="0" borderId="0" xfId="0" applyAlignment="1">
      <alignment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168" fontId="0" fillId="4" borderId="0" xfId="0" applyNumberFormat="1" applyFill="1" applyAlignment="1">
      <alignment horizontal="right" vertical="center" wrapText="1"/>
    </xf>
    <xf numFmtId="0" fontId="10" fillId="4" borderId="10" xfId="0" applyFont="1" applyFill="1" applyBorder="1" applyAlignment="1">
      <alignment horizontal="center" vertical="center" wrapText="1"/>
    </xf>
  </cellXfs>
  <cellStyles count="4">
    <cellStyle name="Currency" xfId="2" builtinId="4"/>
    <cellStyle name="Hyperlink" xfId="1" builtinId="8"/>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5.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036166253866155"/>
          <c:y val="5.1400554097404488E-2"/>
          <c:w val="0.51337334006958069"/>
          <c:h val="0.89719889180519152"/>
        </c:manualLayout>
      </c:layout>
      <c:lineChart>
        <c:grouping val="standard"/>
        <c:ser>
          <c:idx val="0"/>
          <c:order val="0"/>
          <c:tx>
            <c:strRef>
              <c:f>MCFinance!$A$15</c:f>
              <c:strCache>
                <c:ptCount val="1"/>
                <c:pt idx="0">
                  <c:v>Deficit base scenario</c:v>
                </c:pt>
              </c:strCache>
            </c:strRef>
          </c:tx>
          <c:marker>
            <c:symbol val="none"/>
          </c:marker>
          <c:cat>
            <c:numRef>
              <c:f>MCFinance!$B$14:$Q$14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MCFinance!$B$15:$Q$15</c:f>
              <c:numCache>
                <c:formatCode>General</c:formatCode>
                <c:ptCount val="16"/>
                <c:pt idx="0">
                  <c:v>-3.2910044031340675</c:v>
                </c:pt>
                <c:pt idx="1">
                  <c:v>-0.20466710802502419</c:v>
                </c:pt>
                <c:pt idx="2">
                  <c:v>-2.5373952194550569</c:v>
                </c:pt>
                <c:pt idx="3">
                  <c:v>-1.1953755041958551</c:v>
                </c:pt>
                <c:pt idx="4">
                  <c:v>-8.9926307428474246</c:v>
                </c:pt>
                <c:pt idx="5">
                  <c:v>-6.4139757811575073</c:v>
                </c:pt>
                <c:pt idx="6">
                  <c:v>-3.9371596114726763</c:v>
                </c:pt>
                <c:pt idx="7">
                  <c:v>-3.7570230896071273</c:v>
                </c:pt>
                <c:pt idx="8">
                  <c:v>-3.5645143922856413</c:v>
                </c:pt>
                <c:pt idx="9">
                  <c:v>-3.349645554534785</c:v>
                </c:pt>
                <c:pt idx="10">
                  <c:v>-3.0380957966810698</c:v>
                </c:pt>
                <c:pt idx="11">
                  <c:v>-2.9388151720636522</c:v>
                </c:pt>
                <c:pt idx="12">
                  <c:v>-3.0294302497309289</c:v>
                </c:pt>
                <c:pt idx="13">
                  <c:v>-2.9901966590619793</c:v>
                </c:pt>
                <c:pt idx="14">
                  <c:v>-2.9789377438899116</c:v>
                </c:pt>
                <c:pt idx="15">
                  <c:v>-2.9757775686240251</c:v>
                </c:pt>
              </c:numCache>
            </c:numRef>
          </c:val>
        </c:ser>
        <c:ser>
          <c:idx val="1"/>
          <c:order val="1"/>
          <c:tx>
            <c:strRef>
              <c:f>MCFinance!$A$16</c:f>
              <c:strCache>
                <c:ptCount val="1"/>
                <c:pt idx="0">
                  <c:v>Additional expenditure closing the gap</c:v>
                </c:pt>
              </c:strCache>
            </c:strRef>
          </c:tx>
          <c:marker>
            <c:symbol val="none"/>
          </c:marker>
          <c:cat>
            <c:numRef>
              <c:f>MCFinance!$B$14:$Q$14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MCFinance!$B$16:$Q$16</c:f>
              <c:numCache>
                <c:formatCode>General</c:formatCode>
                <c:ptCount val="16"/>
                <c:pt idx="0">
                  <c:v>0</c:v>
                </c:pt>
                <c:pt idx="1">
                  <c:v>0</c:v>
                </c:pt>
                <c:pt idx="2">
                  <c:v>0</c:v>
                </c:pt>
                <c:pt idx="3">
                  <c:v>0</c:v>
                </c:pt>
                <c:pt idx="4">
                  <c:v>0</c:v>
                </c:pt>
                <c:pt idx="5">
                  <c:v>0</c:v>
                </c:pt>
                <c:pt idx="6">
                  <c:v>0.73698788112152758</c:v>
                </c:pt>
                <c:pt idx="7">
                  <c:v>1.5080225678807597</c:v>
                </c:pt>
                <c:pt idx="8">
                  <c:v>1.7680745877234318</c:v>
                </c:pt>
                <c:pt idx="9">
                  <c:v>2.0149094331526038</c:v>
                </c:pt>
                <c:pt idx="10">
                  <c:v>2.1671290856597056</c:v>
                </c:pt>
                <c:pt idx="11">
                  <c:v>2.3255734536918147</c:v>
                </c:pt>
                <c:pt idx="12">
                  <c:v>2.3137184871146932</c:v>
                </c:pt>
                <c:pt idx="13">
                  <c:v>2.2966150864939805</c:v>
                </c:pt>
                <c:pt idx="14">
                  <c:v>2.311969695077186</c:v>
                </c:pt>
                <c:pt idx="15">
                  <c:v>2.3024331848347583</c:v>
                </c:pt>
              </c:numCache>
            </c:numRef>
          </c:val>
        </c:ser>
        <c:ser>
          <c:idx val="2"/>
          <c:order val="2"/>
          <c:tx>
            <c:strRef>
              <c:f>MCFinance!$A$17</c:f>
              <c:strCache>
                <c:ptCount val="1"/>
                <c:pt idx="0">
                  <c:v>Addtional Revenue</c:v>
                </c:pt>
              </c:strCache>
            </c:strRef>
          </c:tx>
          <c:marker>
            <c:symbol val="none"/>
          </c:marker>
          <c:cat>
            <c:numRef>
              <c:f>MCFinance!$B$14:$Q$14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MCFinance!$B$17:$Q$17</c:f>
              <c:numCache>
                <c:formatCode>General</c:formatCode>
                <c:ptCount val="16"/>
                <c:pt idx="0">
                  <c:v>0</c:v>
                </c:pt>
                <c:pt idx="1">
                  <c:v>0</c:v>
                </c:pt>
                <c:pt idx="2">
                  <c:v>0</c:v>
                </c:pt>
                <c:pt idx="3">
                  <c:v>0</c:v>
                </c:pt>
                <c:pt idx="4">
                  <c:v>0</c:v>
                </c:pt>
                <c:pt idx="5">
                  <c:v>0</c:v>
                </c:pt>
                <c:pt idx="6">
                  <c:v>0.91307992412022676</c:v>
                </c:pt>
                <c:pt idx="7">
                  <c:v>1.0612927873185392</c:v>
                </c:pt>
                <c:pt idx="8">
                  <c:v>1.2137850294500891</c:v>
                </c:pt>
                <c:pt idx="9">
                  <c:v>1.3670071061583644</c:v>
                </c:pt>
                <c:pt idx="10">
                  <c:v>1.5206416411854831</c:v>
                </c:pt>
                <c:pt idx="11">
                  <c:v>1.653788506227069</c:v>
                </c:pt>
                <c:pt idx="12">
                  <c:v>1.7869511055938627</c:v>
                </c:pt>
                <c:pt idx="13">
                  <c:v>1.9296647550483748</c:v>
                </c:pt>
                <c:pt idx="14">
                  <c:v>2.0726326774919763</c:v>
                </c:pt>
                <c:pt idx="15">
                  <c:v>2.21585995838445</c:v>
                </c:pt>
              </c:numCache>
            </c:numRef>
          </c:val>
        </c:ser>
        <c:ser>
          <c:idx val="3"/>
          <c:order val="3"/>
          <c:tx>
            <c:strRef>
              <c:f>MCFinance!$A$18</c:f>
              <c:strCache>
                <c:ptCount val="1"/>
                <c:pt idx="0">
                  <c:v>Deficit new scenario</c:v>
                </c:pt>
              </c:strCache>
            </c:strRef>
          </c:tx>
          <c:marker>
            <c:symbol val="none"/>
          </c:marker>
          <c:cat>
            <c:numRef>
              <c:f>MCFinance!$B$14:$Q$14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MCFinance!$B$18:$Q$18</c:f>
              <c:numCache>
                <c:formatCode>General</c:formatCode>
                <c:ptCount val="16"/>
                <c:pt idx="0">
                  <c:v>-3.2910044031340675</c:v>
                </c:pt>
                <c:pt idx="1">
                  <c:v>-0.20466710802502419</c:v>
                </c:pt>
                <c:pt idx="2">
                  <c:v>-2.5373952194550569</c:v>
                </c:pt>
                <c:pt idx="3">
                  <c:v>-1.1953755041958551</c:v>
                </c:pt>
                <c:pt idx="4">
                  <c:v>-8.9926307428474246</c:v>
                </c:pt>
                <c:pt idx="5">
                  <c:v>-6.4139757811575073</c:v>
                </c:pt>
                <c:pt idx="6">
                  <c:v>-3.7610675684739787</c:v>
                </c:pt>
                <c:pt idx="7">
                  <c:v>-4.2037528701693478</c:v>
                </c:pt>
                <c:pt idx="8">
                  <c:v>-4.1188039505589833</c:v>
                </c:pt>
                <c:pt idx="9">
                  <c:v>-3.997547881529024</c:v>
                </c:pt>
                <c:pt idx="10">
                  <c:v>-3.6845832411552908</c:v>
                </c:pt>
                <c:pt idx="11">
                  <c:v>-3.6106001195283972</c:v>
                </c:pt>
                <c:pt idx="12">
                  <c:v>-3.5561976312517611</c:v>
                </c:pt>
                <c:pt idx="13">
                  <c:v>-3.357146990507585</c:v>
                </c:pt>
                <c:pt idx="14">
                  <c:v>-3.2182747614751199</c:v>
                </c:pt>
                <c:pt idx="15">
                  <c:v>-3.0623507950743343</c:v>
                </c:pt>
              </c:numCache>
            </c:numRef>
          </c:val>
        </c:ser>
        <c:marker val="1"/>
        <c:axId val="132894720"/>
        <c:axId val="132896256"/>
      </c:lineChart>
      <c:catAx>
        <c:axId val="132894720"/>
        <c:scaling>
          <c:orientation val="minMax"/>
        </c:scaling>
        <c:axPos val="b"/>
        <c:numFmt formatCode="General" sourceLinked="1"/>
        <c:tickLblPos val="nextTo"/>
        <c:txPr>
          <a:bodyPr/>
          <a:lstStyle/>
          <a:p>
            <a:pPr>
              <a:defRPr lang="en-US"/>
            </a:pPr>
            <a:endParaRPr lang="en-US"/>
          </a:p>
        </c:txPr>
        <c:crossAx val="132896256"/>
        <c:crosses val="autoZero"/>
        <c:auto val="1"/>
        <c:lblAlgn val="ctr"/>
        <c:lblOffset val="100"/>
      </c:catAx>
      <c:valAx>
        <c:axId val="132896256"/>
        <c:scaling>
          <c:orientation val="minMax"/>
        </c:scaling>
        <c:axPos val="l"/>
        <c:majorGridlines/>
        <c:title>
          <c:tx>
            <c:rich>
              <a:bodyPr rot="-5400000" vert="horz"/>
              <a:lstStyle/>
              <a:p>
                <a:pPr>
                  <a:defRPr lang="en-GB" b="0"/>
                </a:pPr>
                <a:r>
                  <a:rPr lang="en-US" b="0"/>
                  <a:t>Percentage of GDP</a:t>
                </a:r>
              </a:p>
            </c:rich>
          </c:tx>
          <c:layout/>
        </c:title>
        <c:numFmt formatCode="General" sourceLinked="1"/>
        <c:tickLblPos val="nextTo"/>
        <c:spPr>
          <a:ln>
            <a:noFill/>
          </a:ln>
        </c:spPr>
        <c:txPr>
          <a:bodyPr/>
          <a:lstStyle/>
          <a:p>
            <a:pPr>
              <a:defRPr lang="en-US"/>
            </a:pPr>
            <a:endParaRPr lang="en-US"/>
          </a:p>
        </c:txPr>
        <c:crossAx val="132894720"/>
        <c:crosses val="autoZero"/>
        <c:crossBetween val="between"/>
      </c:valAx>
    </c:plotArea>
    <c:legend>
      <c:legendPos val="r"/>
      <c:layout/>
      <c:txPr>
        <a:bodyPr/>
        <a:lstStyle/>
        <a:p>
          <a:pPr>
            <a:defRPr lang="en-US"/>
          </a:pPr>
          <a:endParaRPr lang="en-US"/>
        </a:p>
      </c:txPr>
    </c:legend>
    <c:plotVisOnly val="1"/>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900"/>
            </a:pPr>
            <a:r>
              <a:rPr lang="en-GB" sz="900"/>
              <a:t>IMF:</a:t>
            </a:r>
            <a:r>
              <a:rPr lang="en-GB" sz="900" baseline="0"/>
              <a:t> General government revenue and expenditure (millions Dong) and balance in millions Dong and as percentage of GDP | STATUS QUO </a:t>
            </a:r>
            <a:endParaRPr lang="en-GB" sz="900">
              <a:solidFill>
                <a:srgbClr val="FF0000"/>
              </a:solidFill>
            </a:endParaRPr>
          </a:p>
        </c:rich>
      </c:tx>
      <c:overlay val="1"/>
      <c:spPr>
        <a:noFill/>
        <a:ln w="25400">
          <a:noFill/>
        </a:ln>
      </c:spPr>
    </c:title>
    <c:plotArea>
      <c:layout>
        <c:manualLayout>
          <c:layoutTarget val="inner"/>
          <c:xMode val="edge"/>
          <c:yMode val="edge"/>
          <c:x val="0.16987542468856168"/>
          <c:y val="0.23851903658696763"/>
          <c:w val="0.45526613816534539"/>
          <c:h val="0.6121350826469506"/>
        </c:manualLayout>
      </c:layout>
      <c:lineChart>
        <c:grouping val="standard"/>
        <c:ser>
          <c:idx val="0"/>
          <c:order val="0"/>
          <c:tx>
            <c:strRef>
              <c:f>'Budget modified'!$B$183</c:f>
              <c:strCache>
                <c:ptCount val="1"/>
                <c:pt idx="0">
                  <c:v>Total revenue IMF (projections from Article IV)</c:v>
                </c:pt>
              </c:strCache>
            </c:strRef>
          </c:tx>
          <c:marker>
            <c:symbol val="none"/>
          </c:marker>
          <c:cat>
            <c:numRef>
              <c:f>'Budget modified'!$C$14:$R$14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'Budget modified'!$C$183:$R$183</c:f>
              <c:numCache>
                <c:formatCode>#,###,###,###</c:formatCode>
                <c:ptCount val="16"/>
                <c:pt idx="0">
                  <c:v>228289000.00000003</c:v>
                </c:pt>
                <c:pt idx="1">
                  <c:v>279472000</c:v>
                </c:pt>
                <c:pt idx="2">
                  <c:v>327910600</c:v>
                </c:pt>
                <c:pt idx="3">
                  <c:v>430534999.99999994</c:v>
                </c:pt>
                <c:pt idx="4">
                  <c:v>442341000</c:v>
                </c:pt>
                <c:pt idx="5">
                  <c:v>557986681.45034456</c:v>
                </c:pt>
                <c:pt idx="6">
                  <c:v>669005206.87984276</c:v>
                </c:pt>
                <c:pt idx="7">
                  <c:v>773892538.63292456</c:v>
                </c:pt>
                <c:pt idx="8">
                  <c:v>889647518.68079495</c:v>
                </c:pt>
                <c:pt idx="9">
                  <c:v>1023344157.7558947</c:v>
                </c:pt>
                <c:pt idx="10">
                  <c:v>1175398833.2093289</c:v>
                </c:pt>
                <c:pt idx="11">
                  <c:v>1332120728.0891364</c:v>
                </c:pt>
                <c:pt idx="12">
                  <c:v>1500755611.4114084</c:v>
                </c:pt>
                <c:pt idx="13">
                  <c:v>1693975948.0717642</c:v>
                </c:pt>
                <c:pt idx="14">
                  <c:v>1911250153.1182034</c:v>
                </c:pt>
                <c:pt idx="15">
                  <c:v>2156631720.0761657</c:v>
                </c:pt>
              </c:numCache>
            </c:numRef>
          </c:val>
        </c:ser>
        <c:ser>
          <c:idx val="1"/>
          <c:order val="1"/>
          <c:tx>
            <c:strRef>
              <c:f>'Budget modified'!$B$213</c:f>
              <c:strCache>
                <c:ptCount val="1"/>
                <c:pt idx="0">
                  <c:v>Total expenditure IMF</c:v>
                </c:pt>
              </c:strCache>
            </c:strRef>
          </c:tx>
          <c:marker>
            <c:symbol val="none"/>
          </c:marker>
          <c:cat>
            <c:numRef>
              <c:f>'Budget modified'!$C$14:$R$14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'Budget modified'!$C$213:$R$213</c:f>
              <c:numCache>
                <c:formatCode>#,##0</c:formatCode>
                <c:ptCount val="16"/>
                <c:pt idx="0">
                  <c:v>255907479.99999997</c:v>
                </c:pt>
                <c:pt idx="1">
                  <c:v>281466000</c:v>
                </c:pt>
                <c:pt idx="2">
                  <c:v>356931178.92700005</c:v>
                </c:pt>
                <c:pt idx="3">
                  <c:v>448286780.48000002</c:v>
                </c:pt>
                <c:pt idx="4">
                  <c:v>591473799.05000007</c:v>
                </c:pt>
                <c:pt idx="5">
                  <c:v>685042000</c:v>
                </c:pt>
                <c:pt idx="6">
                  <c:v>763802586.29371738</c:v>
                </c:pt>
                <c:pt idx="7">
                  <c:v>877373099.71108425</c:v>
                </c:pt>
                <c:pt idx="8">
                  <c:v>1002389012.8821763</c:v>
                </c:pt>
                <c:pt idx="9">
                  <c:v>1144676302.8963153</c:v>
                </c:pt>
                <c:pt idx="10">
                  <c:v>1300851167.6789532</c:v>
                </c:pt>
                <c:pt idx="11">
                  <c:v>1469895442.276958</c:v>
                </c:pt>
                <c:pt idx="12">
                  <c:v>1661713214.4005201</c:v>
                </c:pt>
                <c:pt idx="13">
                  <c:v>1874029225.4743962</c:v>
                </c:pt>
                <c:pt idx="14">
                  <c:v>2114604066.9078875</c:v>
                </c:pt>
                <c:pt idx="15">
                  <c:v>2387002378.7881999</c:v>
                </c:pt>
              </c:numCache>
            </c:numRef>
          </c:val>
        </c:ser>
        <c:ser>
          <c:idx val="2"/>
          <c:order val="2"/>
          <c:tx>
            <c:strRef>
              <c:f>'Budget modified'!$B$215</c:f>
              <c:strCache>
                <c:ptCount val="1"/>
                <c:pt idx="0">
                  <c:v>General government fiscal balance</c:v>
                </c:pt>
              </c:strCache>
            </c:strRef>
          </c:tx>
          <c:marker>
            <c:symbol val="none"/>
          </c:marker>
          <c:cat>
            <c:numRef>
              <c:f>'Budget modified'!$C$14:$R$14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'Budget modified'!$C$215:$R$215</c:f>
              <c:numCache>
                <c:formatCode>#,##0</c:formatCode>
                <c:ptCount val="16"/>
                <c:pt idx="0">
                  <c:v>-27618479.99999994</c:v>
                </c:pt>
                <c:pt idx="1">
                  <c:v>-1994000</c:v>
                </c:pt>
                <c:pt idx="2">
                  <c:v>-29020578.927000046</c:v>
                </c:pt>
                <c:pt idx="3">
                  <c:v>-17751780.480000079</c:v>
                </c:pt>
                <c:pt idx="4">
                  <c:v>-149132799.05000007</c:v>
                </c:pt>
                <c:pt idx="5">
                  <c:v>-127055318.54965544</c:v>
                </c:pt>
                <c:pt idx="6">
                  <c:v>-94797379.413874626</c:v>
                </c:pt>
                <c:pt idx="7">
                  <c:v>-103480561.07815969</c:v>
                </c:pt>
                <c:pt idx="8">
                  <c:v>-112741494.20138133</c:v>
                </c:pt>
                <c:pt idx="9">
                  <c:v>-121332145.14042068</c:v>
                </c:pt>
                <c:pt idx="10">
                  <c:v>-125452334.46962428</c:v>
                </c:pt>
                <c:pt idx="11">
                  <c:v>-137774714.18782163</c:v>
                </c:pt>
                <c:pt idx="12">
                  <c:v>-160957602.98911166</c:v>
                </c:pt>
                <c:pt idx="13">
                  <c:v>-180053277.402632</c:v>
                </c:pt>
                <c:pt idx="14">
                  <c:v>-203353913.78968406</c:v>
                </c:pt>
                <c:pt idx="15">
                  <c:v>-230370658.71203423</c:v>
                </c:pt>
              </c:numCache>
            </c:numRef>
          </c:val>
        </c:ser>
        <c:marker val="1"/>
        <c:axId val="133399680"/>
        <c:axId val="133401216"/>
      </c:lineChart>
      <c:lineChart>
        <c:grouping val="standard"/>
        <c:ser>
          <c:idx val="3"/>
          <c:order val="3"/>
          <c:tx>
            <c:strRef>
              <c:f>'Budget modified'!$B$216</c:f>
              <c:strCache>
                <c:ptCount val="1"/>
                <c:pt idx="0">
                  <c:v>Balance as a percentage of GDP </c:v>
                </c:pt>
              </c:strCache>
            </c:strRef>
          </c:tx>
          <c:spPr>
            <a:ln>
              <a:solidFill>
                <a:srgbClr val="F79646">
                  <a:lumMod val="75000"/>
                </a:srgbClr>
              </a:solidFill>
            </a:ln>
          </c:spPr>
          <c:marker>
            <c:symbol val="none"/>
          </c:marker>
          <c:cat>
            <c:numRef>
              <c:f>'Budget modified'!$C$14:$R$14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'Budget modified'!$C$216:$R$216</c:f>
              <c:numCache>
                <c:formatCode>#,##0.00</c:formatCode>
                <c:ptCount val="16"/>
                <c:pt idx="0">
                  <c:v>-3.2910044031340679</c:v>
                </c:pt>
                <c:pt idx="1">
                  <c:v>-0.20466710802502394</c:v>
                </c:pt>
                <c:pt idx="2">
                  <c:v>-2.5373952194550626</c:v>
                </c:pt>
                <c:pt idx="3">
                  <c:v>-1.1953755041958576</c:v>
                </c:pt>
                <c:pt idx="4">
                  <c:v>-8.9926307428474317</c:v>
                </c:pt>
                <c:pt idx="5">
                  <c:v>-6.4139757811575144</c:v>
                </c:pt>
                <c:pt idx="6">
                  <c:v>-3.9371596114726799</c:v>
                </c:pt>
                <c:pt idx="7">
                  <c:v>-3.7570230896071366</c:v>
                </c:pt>
                <c:pt idx="8">
                  <c:v>-3.5645143922856395</c:v>
                </c:pt>
                <c:pt idx="9">
                  <c:v>-3.349645554534781</c:v>
                </c:pt>
                <c:pt idx="10">
                  <c:v>-3.0380957966810649</c:v>
                </c:pt>
                <c:pt idx="11">
                  <c:v>-2.9388151720636637</c:v>
                </c:pt>
                <c:pt idx="12">
                  <c:v>-3.0294302497309267</c:v>
                </c:pt>
                <c:pt idx="13">
                  <c:v>-2.9901966590619695</c:v>
                </c:pt>
                <c:pt idx="14">
                  <c:v>-2.9789377438899174</c:v>
                </c:pt>
                <c:pt idx="15">
                  <c:v>-2.9757775686240375</c:v>
                </c:pt>
              </c:numCache>
            </c:numRef>
          </c:val>
        </c:ser>
        <c:marker val="1"/>
        <c:axId val="133415680"/>
        <c:axId val="133417216"/>
      </c:lineChart>
      <c:catAx>
        <c:axId val="133399680"/>
        <c:scaling>
          <c:orientation val="minMax"/>
        </c:scaling>
        <c:axPos val="b"/>
        <c:numFmt formatCode="General" sourceLinked="1"/>
        <c:tickLblPos val="low"/>
        <c:txPr>
          <a:bodyPr/>
          <a:lstStyle/>
          <a:p>
            <a:pPr>
              <a:defRPr lang="en-GB"/>
            </a:pPr>
            <a:endParaRPr lang="en-US"/>
          </a:p>
        </c:txPr>
        <c:crossAx val="133401216"/>
        <c:crosses val="autoZero"/>
        <c:auto val="1"/>
        <c:lblAlgn val="ctr"/>
        <c:lblOffset val="100"/>
      </c:catAx>
      <c:valAx>
        <c:axId val="133401216"/>
        <c:scaling>
          <c:orientation val="minMax"/>
        </c:scaling>
        <c:axPos val="l"/>
        <c:majorGridlines/>
        <c:title>
          <c:tx>
            <c:rich>
              <a:bodyPr rot="-5400000" vert="horz"/>
              <a:lstStyle/>
              <a:p>
                <a:pPr>
                  <a:defRPr lang="en-GB"/>
                </a:pPr>
                <a:r>
                  <a:rPr lang="en-US"/>
                  <a:t>Millions de VND</a:t>
                </a:r>
              </a:p>
            </c:rich>
          </c:tx>
          <c:spPr>
            <a:noFill/>
            <a:ln w="25400">
              <a:noFill/>
            </a:ln>
          </c:spPr>
        </c:title>
        <c:numFmt formatCode="#,###,###,###" sourceLinked="1"/>
        <c:tickLblPos val="nextTo"/>
        <c:txPr>
          <a:bodyPr/>
          <a:lstStyle/>
          <a:p>
            <a:pPr>
              <a:defRPr lang="en-GB" sz="800"/>
            </a:pPr>
            <a:endParaRPr lang="en-US"/>
          </a:p>
        </c:txPr>
        <c:crossAx val="133399680"/>
        <c:crosses val="autoZero"/>
        <c:crossBetween val="between"/>
      </c:valAx>
      <c:catAx>
        <c:axId val="133415680"/>
        <c:scaling>
          <c:orientation val="minMax"/>
        </c:scaling>
        <c:delete val="1"/>
        <c:axPos val="b"/>
        <c:numFmt formatCode="General" sourceLinked="1"/>
        <c:tickLblPos val="none"/>
        <c:crossAx val="133417216"/>
        <c:crosses val="autoZero"/>
        <c:auto val="1"/>
        <c:lblAlgn val="ctr"/>
        <c:lblOffset val="100"/>
      </c:catAx>
      <c:valAx>
        <c:axId val="133417216"/>
        <c:scaling>
          <c:orientation val="minMax"/>
        </c:scaling>
        <c:axPos val="r"/>
        <c:numFmt formatCode="#,##0.00" sourceLinked="1"/>
        <c:tickLblPos val="nextTo"/>
        <c:txPr>
          <a:bodyPr/>
          <a:lstStyle/>
          <a:p>
            <a:pPr>
              <a:defRPr lang="en-GB"/>
            </a:pPr>
            <a:endParaRPr lang="en-US"/>
          </a:p>
        </c:txPr>
        <c:crossAx val="133415680"/>
        <c:crosses val="max"/>
        <c:crossBetween val="between"/>
      </c:valAx>
    </c:plotArea>
    <c:legend>
      <c:legendPos val="r"/>
      <c:layout>
        <c:manualLayout>
          <c:xMode val="edge"/>
          <c:yMode val="edge"/>
          <c:x val="0.73610043876453224"/>
          <c:y val="0.11686605930778725"/>
          <c:w val="0.23830589744175421"/>
          <c:h val="0.80743822794471198"/>
        </c:manualLayout>
      </c:layout>
      <c:txPr>
        <a:bodyPr/>
        <a:lstStyle/>
        <a:p>
          <a:pPr>
            <a:defRPr lang="en-GB"/>
          </a:pPr>
          <a:endParaRPr lang="en-US"/>
        </a:p>
      </c:txPr>
    </c:legend>
    <c:plotVisOnly val="1"/>
    <c:dispBlanksAs val="gap"/>
  </c:chart>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style val="3"/>
  <c:chart>
    <c:title>
      <c:tx>
        <c:rich>
          <a:bodyPr/>
          <a:lstStyle/>
          <a:p>
            <a:pPr>
              <a:defRPr lang="en-GB" sz="1200"/>
            </a:pPr>
            <a:r>
              <a:rPr lang="en-US" sz="1200"/>
              <a:t>REVENUE. Total as a percentage of GDP and composition</a:t>
            </a:r>
          </a:p>
        </c:rich>
      </c:tx>
      <c:overlay val="1"/>
      <c:spPr>
        <a:noFill/>
        <a:ln w="25400">
          <a:noFill/>
        </a:ln>
      </c:spPr>
    </c:title>
    <c:plotArea>
      <c:layout>
        <c:manualLayout>
          <c:layoutTarget val="inner"/>
          <c:xMode val="edge"/>
          <c:yMode val="edge"/>
          <c:x val="5.9457504704542523E-2"/>
          <c:y val="0.16504886970173321"/>
          <c:w val="0.69565280504314664"/>
          <c:h val="0.65695922645984572"/>
        </c:manualLayout>
      </c:layout>
      <c:areaChart>
        <c:grouping val="stacked"/>
        <c:ser>
          <c:idx val="2"/>
          <c:order val="0"/>
          <c:tx>
            <c:strRef>
              <c:f>'Budget modified'!$B$231</c:f>
              <c:strCache>
                <c:ptCount val="1"/>
                <c:pt idx="0">
                  <c:v>Oil</c:v>
                </c:pt>
              </c:strCache>
            </c:strRef>
          </c:tx>
          <c:cat>
            <c:numRef>
              <c:f>'Budget modified'!$C$228:$R$228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'Budget modified'!$C$231:$R$231</c:f>
              <c:numCache>
                <c:formatCode>#,###,###,###.0</c:formatCode>
                <c:ptCount val="16"/>
                <c:pt idx="0">
                  <c:v>7.9310183277210689</c:v>
                </c:pt>
                <c:pt idx="1">
                  <c:v>8.5547566627149685</c:v>
                </c:pt>
                <c:pt idx="2">
                  <c:v>6.8753120393816696</c:v>
                </c:pt>
                <c:pt idx="3">
                  <c:v>6.03371765570982</c:v>
                </c:pt>
                <c:pt idx="4">
                  <c:v>3.648118746566698</c:v>
                </c:pt>
                <c:pt idx="5">
                  <c:v>3.4892783932108151</c:v>
                </c:pt>
                <c:pt idx="6">
                  <c:v>3.4395311241044735</c:v>
                </c:pt>
                <c:pt idx="7">
                  <c:v>3.3877434113585845</c:v>
                </c:pt>
                <c:pt idx="8">
                  <c:v>3.1167160262428126</c:v>
                </c:pt>
                <c:pt idx="9">
                  <c:v>2.9153720163410273</c:v>
                </c:pt>
                <c:pt idx="10">
                  <c:v>2.7790301051572461</c:v>
                </c:pt>
                <c:pt idx="11">
                  <c:v>2.7109438675808932</c:v>
                </c:pt>
                <c:pt idx="12">
                  <c:v>2.5847494305450027</c:v>
                </c:pt>
                <c:pt idx="13">
                  <c:v>2.4156680465459015</c:v>
                </c:pt>
                <c:pt idx="14">
                  <c:v>2.2215449623254733</c:v>
                </c:pt>
                <c:pt idx="15">
                  <c:v>2.0174405189118207</c:v>
                </c:pt>
              </c:numCache>
            </c:numRef>
          </c:val>
        </c:ser>
        <c:ser>
          <c:idx val="4"/>
          <c:order val="1"/>
          <c:tx>
            <c:strRef>
              <c:f>'Budget modified'!$B$233</c:f>
              <c:strCache>
                <c:ptCount val="1"/>
                <c:pt idx="0">
                  <c:v>Non-Oil | Domestic</c:v>
                </c:pt>
              </c:strCache>
            </c:strRef>
          </c:tx>
          <c:cat>
            <c:numRef>
              <c:f>'Budget modified'!$C$228:$R$228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'Budget modified'!$C$233:$R$233</c:f>
              <c:numCache>
                <c:formatCode>#,###,###,###.0</c:formatCode>
                <c:ptCount val="16"/>
                <c:pt idx="0">
                  <c:v>16.00097663816582</c:v>
                </c:pt>
                <c:pt idx="1">
                  <c:v>16.622684793151755</c:v>
                </c:pt>
                <c:pt idx="2">
                  <c:v>17.920158000593815</c:v>
                </c:pt>
                <c:pt idx="3">
                  <c:v>18.252596903244225</c:v>
                </c:pt>
                <c:pt idx="4">
                  <c:v>17.98619021230845</c:v>
                </c:pt>
                <c:pt idx="5">
                  <c:v>20.472284679683273</c:v>
                </c:pt>
                <c:pt idx="6">
                  <c:v>20.506199830102666</c:v>
                </c:pt>
                <c:pt idx="7">
                  <c:v>20.899750767668486</c:v>
                </c:pt>
                <c:pt idx="8">
                  <c:v>21.298621229153166</c:v>
                </c:pt>
                <c:pt idx="9">
                  <c:v>21.717694391889161</c:v>
                </c:pt>
                <c:pt idx="10">
                  <c:v>22.148742810085597</c:v>
                </c:pt>
                <c:pt idx="11">
                  <c:v>22.180211460501461</c:v>
                </c:pt>
                <c:pt idx="12">
                  <c:v>22.211837454169395</c:v>
                </c:pt>
                <c:pt idx="13">
                  <c:v>22.338973948714511</c:v>
                </c:pt>
                <c:pt idx="14">
                  <c:v>22.468653173150535</c:v>
                </c:pt>
                <c:pt idx="15">
                  <c:v>22.600925982075275</c:v>
                </c:pt>
              </c:numCache>
            </c:numRef>
          </c:val>
        </c:ser>
        <c:ser>
          <c:idx val="5"/>
          <c:order val="2"/>
          <c:tx>
            <c:strRef>
              <c:f>'Budget modified'!$B$234</c:f>
              <c:strCache>
                <c:ptCount val="1"/>
                <c:pt idx="0">
                  <c:v>Non-Oil | Foreign</c:v>
                </c:pt>
              </c:strCache>
            </c:strRef>
          </c:tx>
          <c:cat>
            <c:numRef>
              <c:f>'Budget modified'!$C$228:$R$228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'Budget modified'!$C$234:$R$234</c:f>
              <c:numCache>
                <c:formatCode>#,###,###,###.0</c:formatCode>
                <c:ptCount val="16"/>
                <c:pt idx="0">
                  <c:v>2.8193138861426199</c:v>
                </c:pt>
                <c:pt idx="1">
                  <c:v>2.6974180536096437</c:v>
                </c:pt>
                <c:pt idx="2">
                  <c:v>3.3495222030759262</c:v>
                </c:pt>
                <c:pt idx="3">
                  <c:v>4.0722190273918919</c:v>
                </c:pt>
                <c:pt idx="4">
                  <c:v>4.6454722022396435</c:v>
                </c:pt>
                <c:pt idx="5">
                  <c:v>3.928935606621494</c:v>
                </c:pt>
                <c:pt idx="6">
                  <c:v>3.6319774012228603</c:v>
                </c:pt>
                <c:pt idx="7">
                  <c:v>3.606372284321707</c:v>
                </c:pt>
                <c:pt idx="8">
                  <c:v>3.5170162889584629</c:v>
                </c:pt>
                <c:pt idx="9">
                  <c:v>3.4349943853848064</c:v>
                </c:pt>
                <c:pt idx="10">
                  <c:v>3.36806181003886</c:v>
                </c:pt>
                <c:pt idx="11">
                  <c:v>3.3716992993793946</c:v>
                </c:pt>
                <c:pt idx="12">
                  <c:v>3.3127214829174654</c:v>
                </c:pt>
                <c:pt idx="13">
                  <c:v>3.2545368752072652</c:v>
                </c:pt>
                <c:pt idx="14">
                  <c:v>3.1969131733611476</c:v>
                </c:pt>
                <c:pt idx="15">
                  <c:v>3.139826275942784</c:v>
                </c:pt>
              </c:numCache>
            </c:numRef>
          </c:val>
        </c:ser>
        <c:ser>
          <c:idx val="6"/>
          <c:order val="3"/>
          <c:tx>
            <c:strRef>
              <c:f>'Budget modified'!$B$235</c:f>
              <c:strCache>
                <c:ptCount val="1"/>
                <c:pt idx="0">
                  <c:v>Grants</c:v>
                </c:pt>
              </c:strCache>
            </c:strRef>
          </c:tx>
          <c:cat>
            <c:numRef>
              <c:f>'Budget modified'!$C$228:$R$228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'Budget modified'!$C$235:$R$235</c:f>
              <c:numCache>
                <c:formatCode>#,###,###,###.0</c:formatCode>
                <c:ptCount val="16"/>
                <c:pt idx="0">
                  <c:v>0.45149536409950913</c:v>
                </c:pt>
                <c:pt idx="1">
                  <c:v>0.81055975530271529</c:v>
                </c:pt>
                <c:pt idx="2">
                  <c:v>0.52565526338177626</c:v>
                </c:pt>
                <c:pt idx="3">
                  <c:v>0.63298043551747496</c:v>
                </c:pt>
                <c:pt idx="4">
                  <c:v>0.39315263186140287</c:v>
                </c:pt>
                <c:pt idx="5">
                  <c:v>0.27764966629539017</c:v>
                </c:pt>
                <c:pt idx="6">
                  <c:v>0.20766183811281783</c:v>
                </c:pt>
                <c:pt idx="7">
                  <c:v>0.20350860135056151</c:v>
                </c:pt>
                <c:pt idx="8">
                  <c:v>0.19536825729653901</c:v>
                </c:pt>
                <c:pt idx="9">
                  <c:v>0.18364616185874666</c:v>
                </c:pt>
                <c:pt idx="10">
                  <c:v>0.1689544689100469</c:v>
                </c:pt>
                <c:pt idx="11">
                  <c:v>0.15205902201904223</c:v>
                </c:pt>
                <c:pt idx="12">
                  <c:v>0.13685311981713799</c:v>
                </c:pt>
                <c:pt idx="13">
                  <c:v>0.12316780783542419</c:v>
                </c:pt>
                <c:pt idx="14">
                  <c:v>0.11085102705188178</c:v>
                </c:pt>
                <c:pt idx="15">
                  <c:v>9.9765924346693624E-2</c:v>
                </c:pt>
              </c:numCache>
            </c:numRef>
          </c:val>
        </c:ser>
        <c:axId val="133722496"/>
        <c:axId val="133724032"/>
      </c:areaChart>
      <c:catAx>
        <c:axId val="133722496"/>
        <c:scaling>
          <c:orientation val="minMax"/>
        </c:scaling>
        <c:axPos val="b"/>
        <c:numFmt formatCode="General" sourceLinked="1"/>
        <c:tickLblPos val="nextTo"/>
        <c:txPr>
          <a:bodyPr rot="5400000" vert="horz"/>
          <a:lstStyle/>
          <a:p>
            <a:pPr>
              <a:defRPr lang="en-GB"/>
            </a:pPr>
            <a:endParaRPr lang="en-US"/>
          </a:p>
        </c:txPr>
        <c:crossAx val="133724032"/>
        <c:crosses val="autoZero"/>
        <c:auto val="1"/>
        <c:lblAlgn val="ctr"/>
        <c:lblOffset val="100"/>
      </c:catAx>
      <c:valAx>
        <c:axId val="133724032"/>
        <c:scaling>
          <c:orientation val="minMax"/>
        </c:scaling>
        <c:axPos val="l"/>
        <c:majorGridlines/>
        <c:numFmt formatCode="#,###,###,###.0" sourceLinked="1"/>
        <c:tickLblPos val="nextTo"/>
        <c:txPr>
          <a:bodyPr/>
          <a:lstStyle/>
          <a:p>
            <a:pPr>
              <a:defRPr lang="en-GB"/>
            </a:pPr>
            <a:endParaRPr lang="en-US"/>
          </a:p>
        </c:txPr>
        <c:crossAx val="133722496"/>
        <c:crosses val="autoZero"/>
        <c:crossBetween val="midCat"/>
      </c:valAx>
    </c:plotArea>
    <c:legend>
      <c:legendPos val="r"/>
      <c:layout>
        <c:manualLayout>
          <c:xMode val="edge"/>
          <c:yMode val="edge"/>
          <c:x val="0.79375768780564049"/>
          <c:y val="0.33657024409765446"/>
          <c:w val="0.18877757743692244"/>
          <c:h val="0.31068022532091172"/>
        </c:manualLayout>
      </c:layout>
      <c:txPr>
        <a:bodyPr/>
        <a:lstStyle/>
        <a:p>
          <a:pPr>
            <a:defRPr lang="en-GB"/>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900"/>
            </a:pPr>
            <a:r>
              <a:rPr lang="en-GB" sz="900"/>
              <a:t>IMF:</a:t>
            </a:r>
            <a:r>
              <a:rPr lang="en-GB" sz="900" baseline="0"/>
              <a:t> General government revenue and expenditure (millions Dong) and balance in millions Dong and as percentage of GDP | STATUS QUO </a:t>
            </a:r>
            <a:endParaRPr lang="en-GB" sz="900">
              <a:solidFill>
                <a:srgbClr val="FF0000"/>
              </a:solidFill>
            </a:endParaRPr>
          </a:p>
        </c:rich>
      </c:tx>
      <c:overlay val="1"/>
      <c:spPr>
        <a:noFill/>
        <a:ln w="25400">
          <a:noFill/>
        </a:ln>
      </c:spPr>
    </c:title>
    <c:plotArea>
      <c:layout>
        <c:manualLayout>
          <c:layoutTarget val="inner"/>
          <c:xMode val="edge"/>
          <c:yMode val="edge"/>
          <c:x val="0.16308040770101925"/>
          <c:y val="0.22179274112584421"/>
          <c:w val="0.37372593431483753"/>
          <c:h val="0.58027170643389792"/>
        </c:manualLayout>
      </c:layout>
      <c:lineChart>
        <c:grouping val="standard"/>
        <c:ser>
          <c:idx val="0"/>
          <c:order val="0"/>
          <c:tx>
            <c:strRef>
              <c:f>'[1]GGO(SQ) (SQ and Post SPF)'!$B$38</c:f>
              <c:strCache>
                <c:ptCount val="1"/>
                <c:pt idx="0">
                  <c:v>Total revenue IMF (projections from Article IV)</c:v>
                </c:pt>
              </c:strCache>
            </c:strRef>
          </c:tx>
          <c:marker>
            <c:symbol val="none"/>
          </c:marker>
          <c:cat>
            <c:numRef>
              <c:f>'[1]GGO(SQ)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'[1]GGO(SQ) (SQ and Post SPF)'!$C$38:$R$38</c:f>
              <c:numCache>
                <c:formatCode>General</c:formatCode>
                <c:ptCount val="16"/>
                <c:pt idx="0">
                  <c:v>0</c:v>
                </c:pt>
                <c:pt idx="1">
                  <c:v>279614342</c:v>
                </c:pt>
                <c:pt idx="2">
                  <c:v>328246205</c:v>
                </c:pt>
                <c:pt idx="3">
                  <c:v>430661020</c:v>
                </c:pt>
                <c:pt idx="4">
                  <c:v>442789863</c:v>
                </c:pt>
                <c:pt idx="5">
                  <c:v>525357000</c:v>
                </c:pt>
                <c:pt idx="6">
                  <c:v>618399169.91999996</c:v>
                </c:pt>
                <c:pt idx="7">
                  <c:v>707212158.17651296</c:v>
                </c:pt>
                <c:pt idx="8">
                  <c:v>799931037.82387066</c:v>
                </c:pt>
                <c:pt idx="9">
                  <c:v>907236986.96171618</c:v>
                </c:pt>
                <c:pt idx="10">
                  <c:v>1034646790.5370665</c:v>
                </c:pt>
                <c:pt idx="11">
                  <c:v>1165595622.5713463</c:v>
                </c:pt>
                <c:pt idx="12">
                  <c:v>1313117836.7182224</c:v>
                </c:pt>
                <c:pt idx="13">
                  <c:v>1479311023.2378218</c:v>
                </c:pt>
                <c:pt idx="14">
                  <c:v>1666538251.3896384</c:v>
                </c:pt>
                <c:pt idx="15">
                  <c:v>1877461669.4641721</c:v>
                </c:pt>
              </c:numCache>
            </c:numRef>
          </c:val>
        </c:ser>
        <c:ser>
          <c:idx val="1"/>
          <c:order val="1"/>
          <c:tx>
            <c:strRef>
              <c:f>'[1]GGO(SQ) (SQ and Post SPF)'!$B$74</c:f>
              <c:strCache>
                <c:ptCount val="1"/>
                <c:pt idx="0">
                  <c:v>Total expenditure IMF</c:v>
                </c:pt>
              </c:strCache>
            </c:strRef>
          </c:tx>
          <c:marker>
            <c:symbol val="none"/>
          </c:marker>
          <c:cat>
            <c:numRef>
              <c:f>'[1]GGO(SQ)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'[1]GGO(SQ) (SQ and Post SPF)'!$C$74:$R$74</c:f>
              <c:numCache>
                <c:formatCode>General</c:formatCode>
                <c:ptCount val="16"/>
                <c:pt idx="0">
                  <c:v>266300000</c:v>
                </c:pt>
                <c:pt idx="1">
                  <c:v>283511406</c:v>
                </c:pt>
                <c:pt idx="2">
                  <c:v>349976790</c:v>
                </c:pt>
                <c:pt idx="3">
                  <c:v>442541324</c:v>
                </c:pt>
                <c:pt idx="4">
                  <c:v>590386484</c:v>
                </c:pt>
                <c:pt idx="5">
                  <c:v>640583999.99999988</c:v>
                </c:pt>
                <c:pt idx="6">
                  <c:v>716160803.39999998</c:v>
                </c:pt>
                <c:pt idx="7">
                  <c:v>802711610.19304931</c:v>
                </c:pt>
                <c:pt idx="8">
                  <c:v>905416449.40504038</c:v>
                </c:pt>
                <c:pt idx="9">
                  <c:v>1023549421.1875772</c:v>
                </c:pt>
                <c:pt idx="10">
                  <c:v>1159257535.3827715</c:v>
                </c:pt>
                <c:pt idx="11">
                  <c:v>1295118077.3591888</c:v>
                </c:pt>
                <c:pt idx="12">
                  <c:v>1447020528.972203</c:v>
                </c:pt>
                <c:pt idx="13">
                  <c:v>1616738650.3238144</c:v>
                </c:pt>
                <c:pt idx="14">
                  <c:v>1806360129.1422658</c:v>
                </c:pt>
                <c:pt idx="15">
                  <c:v>2018217029.3485899</c:v>
                </c:pt>
              </c:numCache>
            </c:numRef>
          </c:val>
        </c:ser>
        <c:ser>
          <c:idx val="2"/>
          <c:order val="2"/>
          <c:tx>
            <c:strRef>
              <c:f>'[1]GGO(SQ) (SQ and Post SPF)'!$B$77</c:f>
              <c:strCache>
                <c:ptCount val="1"/>
                <c:pt idx="0">
                  <c:v>General government fiscal balance</c:v>
                </c:pt>
              </c:strCache>
            </c:strRef>
          </c:tx>
          <c:marker>
            <c:symbol val="none"/>
          </c:marker>
          <c:cat>
            <c:numRef>
              <c:f>'[1]GGO(SQ)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'[1]GGO(SQ) (SQ and Post SPF)'!$C$77:$R$77</c:f>
              <c:numCache>
                <c:formatCode>General</c:formatCode>
                <c:ptCount val="16"/>
                <c:pt idx="0">
                  <c:v>-49500000</c:v>
                </c:pt>
                <c:pt idx="1">
                  <c:v>-3897064</c:v>
                </c:pt>
                <c:pt idx="2">
                  <c:v>-21730585</c:v>
                </c:pt>
                <c:pt idx="3">
                  <c:v>-11880304</c:v>
                </c:pt>
                <c:pt idx="4">
                  <c:v>-147596621</c:v>
                </c:pt>
                <c:pt idx="5">
                  <c:v>-115226999.99999988</c:v>
                </c:pt>
                <c:pt idx="6">
                  <c:v>-97761633.480000019</c:v>
                </c:pt>
                <c:pt idx="7">
                  <c:v>-95499452.016536355</c:v>
                </c:pt>
                <c:pt idx="8">
                  <c:v>-105485411.58116972</c:v>
                </c:pt>
                <c:pt idx="9">
                  <c:v>-116312434.22586107</c:v>
                </c:pt>
                <c:pt idx="10">
                  <c:v>-124610744.84570503</c:v>
                </c:pt>
                <c:pt idx="11">
                  <c:v>-129522454.78784251</c:v>
                </c:pt>
                <c:pt idx="12">
                  <c:v>-133902692.25398064</c:v>
                </c:pt>
                <c:pt idx="13">
                  <c:v>-137427627.08599257</c:v>
                </c:pt>
                <c:pt idx="14">
                  <c:v>-139821877.75262737</c:v>
                </c:pt>
                <c:pt idx="15">
                  <c:v>-140755359.88441777</c:v>
                </c:pt>
              </c:numCache>
            </c:numRef>
          </c:val>
        </c:ser>
        <c:marker val="1"/>
        <c:axId val="133768320"/>
        <c:axId val="133769856"/>
      </c:lineChart>
      <c:lineChart>
        <c:grouping val="standard"/>
        <c:ser>
          <c:idx val="3"/>
          <c:order val="3"/>
          <c:tx>
            <c:strRef>
              <c:f>'[1]GGO(SQ) (SQ and Post SPF)'!$B$78</c:f>
              <c:strCache>
                <c:ptCount val="1"/>
                <c:pt idx="0">
                  <c:v>Balance as a percentage of GDP </c:v>
                </c:pt>
              </c:strCache>
            </c:strRef>
          </c:tx>
          <c:spPr>
            <a:ln>
              <a:solidFill>
                <a:srgbClr val="F79646">
                  <a:lumMod val="75000"/>
                </a:srgbClr>
              </a:solidFill>
            </a:ln>
          </c:spPr>
          <c:marker>
            <c:symbol val="none"/>
          </c:marker>
          <c:cat>
            <c:numRef>
              <c:f>'[1]GGO(SQ)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'[1]GGO(SQ) (SQ and Post SPF)'!$C$78:$R$78</c:f>
              <c:numCache>
                <c:formatCode>General</c:formatCode>
                <c:ptCount val="16"/>
                <c:pt idx="0">
                  <c:v>-5.8983974232940222</c:v>
                </c:pt>
                <c:pt idx="1">
                  <c:v>-0.4</c:v>
                </c:pt>
                <c:pt idx="2">
                  <c:v>-1.9</c:v>
                </c:pt>
                <c:pt idx="3">
                  <c:v>-0.8</c:v>
                </c:pt>
                <c:pt idx="4">
                  <c:v>-8.9</c:v>
                </c:pt>
                <c:pt idx="5">
                  <c:v>-5.8999999999999941</c:v>
                </c:pt>
                <c:pt idx="6">
                  <c:v>-4.3000000000000007</c:v>
                </c:pt>
                <c:pt idx="7">
                  <c:v>-3.6999999999999975</c:v>
                </c:pt>
                <c:pt idx="8">
                  <c:v>-3.5999999999999983</c:v>
                </c:pt>
                <c:pt idx="9">
                  <c:v>-3.5000000000000009</c:v>
                </c:pt>
                <c:pt idx="10">
                  <c:v>-3.299999999999998</c:v>
                </c:pt>
                <c:pt idx="11">
                  <c:v>-3.0558753669051941</c:v>
                </c:pt>
                <c:pt idx="12">
                  <c:v>-2.8145696664417712</c:v>
                </c:pt>
                <c:pt idx="13">
                  <c:v>-2.5735278027909212</c:v>
                </c:pt>
                <c:pt idx="14">
                  <c:v>-2.3327170833575366</c:v>
                </c:pt>
                <c:pt idx="15">
                  <c:v>-2.0921075371854148</c:v>
                </c:pt>
              </c:numCache>
            </c:numRef>
          </c:val>
        </c:ser>
        <c:marker val="1"/>
        <c:axId val="133780224"/>
        <c:axId val="133781760"/>
      </c:lineChart>
      <c:catAx>
        <c:axId val="133768320"/>
        <c:scaling>
          <c:orientation val="minMax"/>
        </c:scaling>
        <c:axPos val="b"/>
        <c:numFmt formatCode="General" sourceLinked="1"/>
        <c:tickLblPos val="low"/>
        <c:txPr>
          <a:bodyPr/>
          <a:lstStyle/>
          <a:p>
            <a:pPr>
              <a:defRPr lang="en-GB"/>
            </a:pPr>
            <a:endParaRPr lang="en-US"/>
          </a:p>
        </c:txPr>
        <c:crossAx val="133769856"/>
        <c:crosses val="autoZero"/>
        <c:auto val="1"/>
        <c:lblAlgn val="ctr"/>
        <c:lblOffset val="100"/>
      </c:catAx>
      <c:valAx>
        <c:axId val="133769856"/>
        <c:scaling>
          <c:orientation val="minMax"/>
        </c:scaling>
        <c:axPos val="l"/>
        <c:majorGridlines/>
        <c:title>
          <c:tx>
            <c:rich>
              <a:bodyPr rot="-5400000" vert="horz"/>
              <a:lstStyle/>
              <a:p>
                <a:pPr>
                  <a:defRPr lang="en-GB"/>
                </a:pPr>
                <a:r>
                  <a:rPr lang="en-US"/>
                  <a:t>Millions de VND</a:t>
                </a:r>
              </a:p>
            </c:rich>
          </c:tx>
          <c:spPr>
            <a:noFill/>
            <a:ln w="25400">
              <a:noFill/>
            </a:ln>
          </c:spPr>
        </c:title>
        <c:numFmt formatCode="General" sourceLinked="1"/>
        <c:tickLblPos val="nextTo"/>
        <c:txPr>
          <a:bodyPr/>
          <a:lstStyle/>
          <a:p>
            <a:pPr>
              <a:defRPr lang="en-GB" sz="800"/>
            </a:pPr>
            <a:endParaRPr lang="en-US"/>
          </a:p>
        </c:txPr>
        <c:crossAx val="133768320"/>
        <c:crosses val="autoZero"/>
        <c:crossBetween val="between"/>
      </c:valAx>
      <c:catAx>
        <c:axId val="133780224"/>
        <c:scaling>
          <c:orientation val="minMax"/>
        </c:scaling>
        <c:delete val="1"/>
        <c:axPos val="b"/>
        <c:numFmt formatCode="General" sourceLinked="1"/>
        <c:tickLblPos val="none"/>
        <c:crossAx val="133781760"/>
        <c:crosses val="autoZero"/>
        <c:auto val="1"/>
        <c:lblAlgn val="ctr"/>
        <c:lblOffset val="100"/>
      </c:catAx>
      <c:valAx>
        <c:axId val="133781760"/>
        <c:scaling>
          <c:orientation val="minMax"/>
        </c:scaling>
        <c:axPos val="r"/>
        <c:numFmt formatCode="General" sourceLinked="1"/>
        <c:tickLblPos val="nextTo"/>
        <c:txPr>
          <a:bodyPr/>
          <a:lstStyle/>
          <a:p>
            <a:pPr>
              <a:defRPr lang="en-GB"/>
            </a:pPr>
            <a:endParaRPr lang="en-US"/>
          </a:p>
        </c:txPr>
        <c:crossAx val="133780224"/>
        <c:crosses val="max"/>
        <c:crossBetween val="between"/>
      </c:valAx>
    </c:plotArea>
    <c:legend>
      <c:legendPos val="r"/>
      <c:layout>
        <c:manualLayout>
          <c:xMode val="edge"/>
          <c:yMode val="edge"/>
          <c:x val="0.72027180067950713"/>
          <c:y val="0.21147679967813054"/>
          <c:w val="0.26953567383918481"/>
          <c:h val="0.74274778423538812"/>
        </c:manualLayout>
      </c:layout>
      <c:txPr>
        <a:bodyPr/>
        <a:lstStyle/>
        <a:p>
          <a:pPr>
            <a:defRPr lang="en-GB"/>
          </a:pPr>
          <a:endParaRPr lang="en-US"/>
        </a:p>
      </c:txPr>
    </c:legend>
    <c:plotVisOnly val="1"/>
    <c:dispBlanksAs val="gap"/>
  </c:chart>
  <c:printSettings>
    <c:headerFooter/>
    <c:pageMargins b="0.75000000000000688" l="0.70000000000000062" r="0.70000000000000062" t="0.750000000000006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50"/>
            </a:pPr>
            <a:r>
              <a:rPr lang="en-GB" sz="1050"/>
              <a:t>Total additional costs to</a:t>
            </a:r>
            <a:r>
              <a:rPr lang="en-GB" sz="1050" baseline="0"/>
              <a:t> fill the gaps toward the </a:t>
            </a:r>
            <a:r>
              <a:rPr lang="en-GB" sz="1050"/>
              <a:t> SPF components </a:t>
            </a:r>
          </a:p>
          <a:p>
            <a:pPr>
              <a:defRPr lang="en-GB" sz="1050"/>
            </a:pPr>
            <a:r>
              <a:rPr lang="en-GB" sz="1050"/>
              <a:t>as a percentage of GDP</a:t>
            </a:r>
          </a:p>
        </c:rich>
      </c:tx>
      <c:overlay val="1"/>
      <c:spPr>
        <a:noFill/>
        <a:ln w="25400">
          <a:noFill/>
        </a:ln>
      </c:spPr>
    </c:title>
    <c:plotArea>
      <c:layout>
        <c:manualLayout>
          <c:layoutTarget val="inner"/>
          <c:xMode val="edge"/>
          <c:yMode val="edge"/>
          <c:x val="0.11446513481450062"/>
          <c:y val="9.7222339959934734E-2"/>
          <c:w val="0.60682201607139719"/>
          <c:h val="0.74008026132766647"/>
        </c:manualLayout>
      </c:layout>
      <c:barChart>
        <c:barDir val="col"/>
        <c:grouping val="stacked"/>
        <c:ser>
          <c:idx val="2"/>
          <c:order val="0"/>
          <c:tx>
            <c:strRef>
              <c:f>'GGO(SQ) (SQ and Post SPF)'!$B$417</c:f>
              <c:strCache>
                <c:ptCount val="1"/>
                <c:pt idx="0">
                  <c:v>Scenario 2. Old-age universal pension (65+ as an objective in 2020)</c:v>
                </c:pt>
              </c:strCache>
            </c:strRef>
          </c:tx>
          <c:dLbls>
            <c:dLbl>
              <c:idx val="0"/>
              <c:delete val="1"/>
            </c:dLbl>
            <c:spPr>
              <a:noFill/>
              <a:ln w="25400">
                <a:noFill/>
              </a:ln>
            </c:spPr>
            <c:txPr>
              <a:bodyPr rot="-5400000" vert="horz"/>
              <a:lstStyle/>
              <a:p>
                <a:pPr>
                  <a:defRPr lang="en-GB" b="1"/>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SPF)'!$H$417:$R$417</c:f>
              <c:numCache>
                <c:formatCode>0.00</c:formatCode>
                <c:ptCount val="11"/>
                <c:pt idx="0">
                  <c:v>0</c:v>
                </c:pt>
                <c:pt idx="1">
                  <c:v>9.8761085462372805E-2</c:v>
                </c:pt>
                <c:pt idx="2">
                  <c:v>0.23102173281882363</c:v>
                </c:pt>
                <c:pt idx="3">
                  <c:v>0.29001509507730305</c:v>
                </c:pt>
                <c:pt idx="4">
                  <c:v>0.34484086873381609</c:v>
                </c:pt>
                <c:pt idx="5">
                  <c:v>0.3988210229028365</c:v>
                </c:pt>
                <c:pt idx="6">
                  <c:v>0.46914078369009687</c:v>
                </c:pt>
                <c:pt idx="7">
                  <c:v>0.51119079212710039</c:v>
                </c:pt>
                <c:pt idx="8">
                  <c:v>0.56402756459667358</c:v>
                </c:pt>
                <c:pt idx="9">
                  <c:v>0.64109530194321152</c:v>
                </c:pt>
                <c:pt idx="10">
                  <c:v>0.75516828554998416</c:v>
                </c:pt>
              </c:numCache>
            </c:numRef>
          </c:val>
        </c:ser>
        <c:ser>
          <c:idx val="3"/>
          <c:order val="1"/>
          <c:tx>
            <c:strRef>
              <c:f>'GGO(SQ) (SQ and Post SPF)'!$B$419</c:f>
              <c:strCache>
                <c:ptCount val="1"/>
                <c:pt idx="0">
                  <c:v>Scenario 2a. Child benefit (targeted for all poor children cash and kind )</c:v>
                </c:pt>
              </c:strCache>
            </c:strRef>
          </c:tx>
          <c:dLbls>
            <c:dLbl>
              <c:idx val="0"/>
              <c:delete val="1"/>
            </c:dLbl>
            <c:numFmt formatCode="#,##0.0" sourceLinked="0"/>
            <c:spPr>
              <a:noFill/>
              <a:ln w="25400">
                <a:noFill/>
              </a:ln>
            </c:spPr>
            <c:txPr>
              <a:bodyPr rot="-5400000" vert="horz"/>
              <a:lstStyle/>
              <a:p>
                <a:pPr>
                  <a:defRPr lang="en-GB" b="1"/>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SPF)'!$H$419:$R$419</c:f>
              <c:numCache>
                <c:formatCode>0.00</c:formatCode>
                <c:ptCount val="11"/>
                <c:pt idx="0">
                  <c:v>0</c:v>
                </c:pt>
                <c:pt idx="1">
                  <c:v>0.23656098230020256</c:v>
                </c:pt>
                <c:pt idx="2">
                  <c:v>0.47317831008327843</c:v>
                </c:pt>
                <c:pt idx="3">
                  <c:v>0.54195122982304422</c:v>
                </c:pt>
                <c:pt idx="4">
                  <c:v>0.59958036507729495</c:v>
                </c:pt>
                <c:pt idx="5">
                  <c:v>0.74269096813190094</c:v>
                </c:pt>
                <c:pt idx="6">
                  <c:v>0.86914323447464259</c:v>
                </c:pt>
                <c:pt idx="7">
                  <c:v>0.8189414057595944</c:v>
                </c:pt>
                <c:pt idx="8">
                  <c:v>0.7752964958610058</c:v>
                </c:pt>
                <c:pt idx="9">
                  <c:v>0.73730811594077217</c:v>
                </c:pt>
                <c:pt idx="10">
                  <c:v>0.70443414467270338</c:v>
                </c:pt>
              </c:numCache>
            </c:numRef>
          </c:val>
        </c:ser>
        <c:ser>
          <c:idx val="1"/>
          <c:order val="2"/>
          <c:tx>
            <c:strRef>
              <c:f>'GGO(SQ) (SQ and Post SPF)'!$B$421</c:f>
              <c:strCache>
                <c:ptCount val="1"/>
                <c:pt idx="0">
                  <c:v>3. Working-age income security (scenario 1 - high cost )</c:v>
                </c:pt>
              </c:strCache>
            </c:strRef>
          </c:tx>
          <c:spPr>
            <a:solidFill>
              <a:srgbClr val="993300"/>
            </a:solidFill>
            <a:ln w="25400">
              <a:noFill/>
            </a:ln>
          </c:spPr>
          <c:dLbls>
            <c:dLbl>
              <c:idx val="0"/>
              <c:delete val="1"/>
            </c:dLbl>
            <c:spPr>
              <a:noFill/>
              <a:ln w="25400">
                <a:noFill/>
              </a:ln>
            </c:spPr>
            <c:txPr>
              <a:bodyPr rot="-5400000" vert="horz"/>
              <a:lstStyle/>
              <a:p>
                <a:pPr algn="ctr">
                  <a:defRPr lang="en-GB" sz="1000" b="1" i="0" u="none" strike="noStrike" baseline="0">
                    <a:solidFill>
                      <a:srgbClr val="FFFFFF"/>
                    </a:solidFill>
                    <a:latin typeface="Calibri"/>
                    <a:ea typeface="Calibri"/>
                    <a:cs typeface="Calibri"/>
                  </a:defRPr>
                </a:pPr>
                <a:endParaRPr lang="en-US"/>
              </a:p>
            </c:txPr>
            <c:dLblPos val="ct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SPF)'!$H$421:$R$421</c:f>
              <c:numCache>
                <c:formatCode>0.00</c:formatCode>
                <c:ptCount val="11"/>
                <c:pt idx="0">
                  <c:v>0</c:v>
                </c:pt>
                <c:pt idx="1">
                  <c:v>0.42390700550183824</c:v>
                </c:pt>
                <c:pt idx="2">
                  <c:v>0.86247284695467963</c:v>
                </c:pt>
                <c:pt idx="3">
                  <c:v>1.0048534111917509</c:v>
                </c:pt>
                <c:pt idx="4">
                  <c:v>1.1379858403547509</c:v>
                </c:pt>
                <c:pt idx="5">
                  <c:v>1.1024998034793749</c:v>
                </c:pt>
                <c:pt idx="6">
                  <c:v>1.0766767531565709</c:v>
                </c:pt>
                <c:pt idx="7">
                  <c:v>1.0539955292479177</c:v>
                </c:pt>
                <c:pt idx="8">
                  <c:v>1.0325452416827277</c:v>
                </c:pt>
                <c:pt idx="9">
                  <c:v>1.0125828141550952</c:v>
                </c:pt>
                <c:pt idx="10">
                  <c:v>0.99461641629182718</c:v>
                </c:pt>
              </c:numCache>
            </c:numRef>
          </c:val>
        </c:ser>
        <c:gapWidth val="45"/>
        <c:overlap val="100"/>
        <c:axId val="134505600"/>
        <c:axId val="134507136"/>
      </c:barChart>
      <c:catAx>
        <c:axId val="134505600"/>
        <c:scaling>
          <c:orientation val="minMax"/>
        </c:scaling>
        <c:axPos val="b"/>
        <c:numFmt formatCode="General" sourceLinked="1"/>
        <c:tickLblPos val="nextTo"/>
        <c:txPr>
          <a:bodyPr rot="-5400000" vert="horz"/>
          <a:lstStyle/>
          <a:p>
            <a:pPr>
              <a:defRPr lang="en-GB"/>
            </a:pPr>
            <a:endParaRPr lang="en-US"/>
          </a:p>
        </c:txPr>
        <c:crossAx val="134507136"/>
        <c:crosses val="autoZero"/>
        <c:auto val="1"/>
        <c:lblAlgn val="ctr"/>
        <c:lblOffset val="100"/>
      </c:catAx>
      <c:valAx>
        <c:axId val="134507136"/>
        <c:scaling>
          <c:orientation val="minMax"/>
        </c:scaling>
        <c:axPos val="l"/>
        <c:majorGridlines/>
        <c:title>
          <c:tx>
            <c:rich>
              <a:bodyPr rot="-5400000" vert="horz"/>
              <a:lstStyle/>
              <a:p>
                <a:pPr>
                  <a:defRPr lang="en-GB"/>
                </a:pPr>
                <a:r>
                  <a:rPr lang="en-US"/>
                  <a:t>Total child benefit cost as percentage of GDP</a:t>
                </a:r>
              </a:p>
            </c:rich>
          </c:tx>
          <c:layout>
            <c:manualLayout>
              <c:xMode val="edge"/>
              <c:yMode val="edge"/>
              <c:x val="1.597745336777958E-2"/>
              <c:y val="0.11600401543432565"/>
            </c:manualLayout>
          </c:layout>
          <c:spPr>
            <a:noFill/>
            <a:ln w="25400">
              <a:noFill/>
            </a:ln>
          </c:spPr>
        </c:title>
        <c:numFmt formatCode="0.0" sourceLinked="0"/>
        <c:tickLblPos val="nextTo"/>
        <c:spPr>
          <a:ln>
            <a:noFill/>
          </a:ln>
        </c:spPr>
        <c:txPr>
          <a:bodyPr/>
          <a:lstStyle/>
          <a:p>
            <a:pPr>
              <a:defRPr lang="en-GB"/>
            </a:pPr>
            <a:endParaRPr lang="en-US"/>
          </a:p>
        </c:txPr>
        <c:crossAx val="134505600"/>
        <c:crosses val="autoZero"/>
        <c:crossBetween val="between"/>
      </c:valAx>
    </c:plotArea>
    <c:legend>
      <c:legendPos val="r"/>
      <c:layout>
        <c:manualLayout>
          <c:xMode val="edge"/>
          <c:yMode val="edge"/>
          <c:x val="0.72128715088589435"/>
          <c:y val="0.26587333784961903"/>
          <c:w val="0.23677034735602254"/>
          <c:h val="0.5873022985334837"/>
        </c:manualLayout>
      </c:layout>
      <c:txPr>
        <a:bodyPr/>
        <a:lstStyle/>
        <a:p>
          <a:pPr>
            <a:defRPr lang="en-GB"/>
          </a:pPr>
          <a:endParaRPr lang="en-US"/>
        </a:p>
      </c:txPr>
    </c:legend>
    <c:plotVisOnly val="1"/>
    <c:dispBlanksAs val="gap"/>
  </c:chart>
  <c:printSettings>
    <c:headerFooter/>
    <c:pageMargins b="0.7500000000000091" l="0.70000000000000062" r="0.70000000000000062" t="0.750000000000009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900"/>
            </a:pPr>
            <a:r>
              <a:rPr lang="en-GB" sz="900"/>
              <a:t>IMF:</a:t>
            </a:r>
            <a:r>
              <a:rPr lang="en-GB" sz="900" baseline="0"/>
              <a:t> General government revenue and expenditure (millions Dong) and balance in millions Dong and as percentage of GDP | STATUS QUO </a:t>
            </a:r>
            <a:endParaRPr lang="en-GB" sz="900">
              <a:solidFill>
                <a:srgbClr val="FF0000"/>
              </a:solidFill>
            </a:endParaRPr>
          </a:p>
        </c:rich>
      </c:tx>
      <c:overlay val="1"/>
      <c:spPr>
        <a:noFill/>
        <a:ln w="25400">
          <a:noFill/>
        </a:ln>
      </c:spPr>
    </c:title>
    <c:plotArea>
      <c:layout>
        <c:manualLayout>
          <c:layoutTarget val="inner"/>
          <c:xMode val="edge"/>
          <c:yMode val="edge"/>
          <c:x val="0.16987542468856168"/>
          <c:y val="0.23851903658696749"/>
          <c:w val="0.45526613816534539"/>
          <c:h val="0.6121350826469506"/>
        </c:manualLayout>
      </c:layout>
      <c:lineChart>
        <c:grouping val="standard"/>
        <c:ser>
          <c:idx val="0"/>
          <c:order val="0"/>
          <c:tx>
            <c:strRef>
              <c:f>'GGO(SQ) (SQ and Post SPF)'!$B$160</c:f>
              <c:strCache>
                <c:ptCount val="1"/>
                <c:pt idx="0">
                  <c:v>Total revenue IMF (projections from Article IV)</c:v>
                </c:pt>
              </c:strCache>
            </c:strRef>
          </c:tx>
          <c:marker>
            <c:symbol val="none"/>
          </c:marker>
          <c:cat>
            <c:numRef>
              <c:f>'GGO(SQ)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SPF)'!$C$160:$R$160</c:f>
              <c:numCache>
                <c:formatCode>#,###,###,###</c:formatCode>
                <c:ptCount val="16"/>
                <c:pt idx="0">
                  <c:v>228289000.00000003</c:v>
                </c:pt>
                <c:pt idx="1">
                  <c:v>279472000</c:v>
                </c:pt>
                <c:pt idx="2">
                  <c:v>327910600</c:v>
                </c:pt>
                <c:pt idx="3">
                  <c:v>430534999.99999994</c:v>
                </c:pt>
                <c:pt idx="4">
                  <c:v>442341000</c:v>
                </c:pt>
                <c:pt idx="5">
                  <c:v>557986681.45034456</c:v>
                </c:pt>
                <c:pt idx="6">
                  <c:v>669005206.87984276</c:v>
                </c:pt>
                <c:pt idx="7">
                  <c:v>773892538.63292456</c:v>
                </c:pt>
                <c:pt idx="8">
                  <c:v>889647518.68079495</c:v>
                </c:pt>
                <c:pt idx="9">
                  <c:v>1023344157.7558947</c:v>
                </c:pt>
                <c:pt idx="10">
                  <c:v>1175398833.2093289</c:v>
                </c:pt>
                <c:pt idx="11">
                  <c:v>1332120728.0891364</c:v>
                </c:pt>
                <c:pt idx="12">
                  <c:v>1500755611.4114084</c:v>
                </c:pt>
                <c:pt idx="13">
                  <c:v>1693975948.0717642</c:v>
                </c:pt>
                <c:pt idx="14">
                  <c:v>1911250153.1182034</c:v>
                </c:pt>
                <c:pt idx="15">
                  <c:v>2156631720.0761657</c:v>
                </c:pt>
              </c:numCache>
            </c:numRef>
          </c:val>
        </c:ser>
        <c:ser>
          <c:idx val="1"/>
          <c:order val="1"/>
          <c:tx>
            <c:strRef>
              <c:f>'GGO(SQ) (SQ and Post SPF)'!$B$190</c:f>
              <c:strCache>
                <c:ptCount val="1"/>
                <c:pt idx="0">
                  <c:v>Total expenditure IMF</c:v>
                </c:pt>
              </c:strCache>
            </c:strRef>
          </c:tx>
          <c:marker>
            <c:symbol val="none"/>
          </c:marker>
          <c:cat>
            <c:numRef>
              <c:f>'GGO(SQ)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SPF)'!$C$190:$R$190</c:f>
              <c:numCache>
                <c:formatCode>#,##0</c:formatCode>
                <c:ptCount val="16"/>
                <c:pt idx="0">
                  <c:v>255907479.99999997</c:v>
                </c:pt>
                <c:pt idx="1">
                  <c:v>281466000</c:v>
                </c:pt>
                <c:pt idx="2">
                  <c:v>356931178.92700005</c:v>
                </c:pt>
                <c:pt idx="3">
                  <c:v>448286780.48000002</c:v>
                </c:pt>
                <c:pt idx="4">
                  <c:v>591473799.05000007</c:v>
                </c:pt>
                <c:pt idx="5">
                  <c:v>685042000</c:v>
                </c:pt>
                <c:pt idx="6">
                  <c:v>763802586.29371738</c:v>
                </c:pt>
                <c:pt idx="7">
                  <c:v>877373099.71108425</c:v>
                </c:pt>
                <c:pt idx="8">
                  <c:v>1002389012.8821763</c:v>
                </c:pt>
                <c:pt idx="9">
                  <c:v>1144676302.8963153</c:v>
                </c:pt>
                <c:pt idx="10">
                  <c:v>1300851167.6789532</c:v>
                </c:pt>
                <c:pt idx="11">
                  <c:v>1469895442.276958</c:v>
                </c:pt>
                <c:pt idx="12">
                  <c:v>1661713214.4005201</c:v>
                </c:pt>
                <c:pt idx="13">
                  <c:v>1874029225.4743962</c:v>
                </c:pt>
                <c:pt idx="14">
                  <c:v>2114604066.9078875</c:v>
                </c:pt>
                <c:pt idx="15">
                  <c:v>2387002378.7881999</c:v>
                </c:pt>
              </c:numCache>
            </c:numRef>
          </c:val>
        </c:ser>
        <c:ser>
          <c:idx val="2"/>
          <c:order val="2"/>
          <c:tx>
            <c:strRef>
              <c:f>'GGO(SQ) (SQ and Post SPF)'!$B$192</c:f>
              <c:strCache>
                <c:ptCount val="1"/>
                <c:pt idx="0">
                  <c:v>General government fiscal balance</c:v>
                </c:pt>
              </c:strCache>
            </c:strRef>
          </c:tx>
          <c:marker>
            <c:symbol val="none"/>
          </c:marker>
          <c:cat>
            <c:numRef>
              <c:f>'GGO(SQ)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SPF)'!$C$192:$R$192</c:f>
              <c:numCache>
                <c:formatCode>#,##0</c:formatCode>
                <c:ptCount val="16"/>
                <c:pt idx="0">
                  <c:v>-27618479.99999994</c:v>
                </c:pt>
                <c:pt idx="1">
                  <c:v>-1994000</c:v>
                </c:pt>
                <c:pt idx="2">
                  <c:v>-29020578.927000046</c:v>
                </c:pt>
                <c:pt idx="3">
                  <c:v>-17751780.480000079</c:v>
                </c:pt>
                <c:pt idx="4">
                  <c:v>-149132799.05000007</c:v>
                </c:pt>
                <c:pt idx="5">
                  <c:v>-127055318.54965544</c:v>
                </c:pt>
                <c:pt idx="6">
                  <c:v>-94797379.413874626</c:v>
                </c:pt>
                <c:pt idx="7">
                  <c:v>-103480561.07815969</c:v>
                </c:pt>
                <c:pt idx="8">
                  <c:v>-112741494.20138133</c:v>
                </c:pt>
                <c:pt idx="9">
                  <c:v>-121332145.14042068</c:v>
                </c:pt>
                <c:pt idx="10">
                  <c:v>-125452334.46962428</c:v>
                </c:pt>
                <c:pt idx="11">
                  <c:v>-137774714.18782163</c:v>
                </c:pt>
                <c:pt idx="12">
                  <c:v>-160957602.98911166</c:v>
                </c:pt>
                <c:pt idx="13">
                  <c:v>-180053277.402632</c:v>
                </c:pt>
                <c:pt idx="14">
                  <c:v>-203353913.78968406</c:v>
                </c:pt>
                <c:pt idx="15">
                  <c:v>-230370658.71203423</c:v>
                </c:pt>
              </c:numCache>
            </c:numRef>
          </c:val>
        </c:ser>
        <c:marker val="1"/>
        <c:axId val="132589824"/>
        <c:axId val="132608000"/>
      </c:lineChart>
      <c:lineChart>
        <c:grouping val="standard"/>
        <c:ser>
          <c:idx val="3"/>
          <c:order val="3"/>
          <c:tx>
            <c:strRef>
              <c:f>'GGO(SQ) (SQ and Post SPF)'!$B$193</c:f>
              <c:strCache>
                <c:ptCount val="1"/>
                <c:pt idx="0">
                  <c:v>Balance as a percentage of GDP </c:v>
                </c:pt>
              </c:strCache>
            </c:strRef>
          </c:tx>
          <c:spPr>
            <a:ln>
              <a:solidFill>
                <a:srgbClr val="F79646">
                  <a:lumMod val="75000"/>
                </a:srgbClr>
              </a:solidFill>
            </a:ln>
          </c:spPr>
          <c:marker>
            <c:symbol val="none"/>
          </c:marker>
          <c:cat>
            <c:numRef>
              <c:f>'GGO(SQ)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SPF)'!$C$193:$R$193</c:f>
              <c:numCache>
                <c:formatCode>#,##0.00</c:formatCode>
                <c:ptCount val="16"/>
                <c:pt idx="0">
                  <c:v>-3.2910044031340679</c:v>
                </c:pt>
                <c:pt idx="1">
                  <c:v>-0.20466710802502394</c:v>
                </c:pt>
                <c:pt idx="2">
                  <c:v>-2.5373952194550626</c:v>
                </c:pt>
                <c:pt idx="3">
                  <c:v>-1.1953755041958576</c:v>
                </c:pt>
                <c:pt idx="4">
                  <c:v>-8.9926307428474317</c:v>
                </c:pt>
                <c:pt idx="5">
                  <c:v>-6.4139757811575144</c:v>
                </c:pt>
                <c:pt idx="6">
                  <c:v>-3.9371596114726799</c:v>
                </c:pt>
                <c:pt idx="7">
                  <c:v>-3.7570230896071366</c:v>
                </c:pt>
                <c:pt idx="8">
                  <c:v>-3.5645143922856395</c:v>
                </c:pt>
                <c:pt idx="9">
                  <c:v>-3.349645554534781</c:v>
                </c:pt>
                <c:pt idx="10">
                  <c:v>-3.0380957966810649</c:v>
                </c:pt>
                <c:pt idx="11">
                  <c:v>-2.9388151720636637</c:v>
                </c:pt>
                <c:pt idx="12">
                  <c:v>-3.0294302497309267</c:v>
                </c:pt>
                <c:pt idx="13">
                  <c:v>-2.9901966590619695</c:v>
                </c:pt>
                <c:pt idx="14">
                  <c:v>-2.9789377438899174</c:v>
                </c:pt>
                <c:pt idx="15">
                  <c:v>-2.9757775686240375</c:v>
                </c:pt>
              </c:numCache>
            </c:numRef>
          </c:val>
        </c:ser>
        <c:marker val="1"/>
        <c:axId val="132609920"/>
        <c:axId val="132611456"/>
      </c:lineChart>
      <c:catAx>
        <c:axId val="132589824"/>
        <c:scaling>
          <c:orientation val="minMax"/>
        </c:scaling>
        <c:axPos val="b"/>
        <c:numFmt formatCode="General" sourceLinked="1"/>
        <c:tickLblPos val="low"/>
        <c:txPr>
          <a:bodyPr/>
          <a:lstStyle/>
          <a:p>
            <a:pPr>
              <a:defRPr lang="en-GB"/>
            </a:pPr>
            <a:endParaRPr lang="en-US"/>
          </a:p>
        </c:txPr>
        <c:crossAx val="132608000"/>
        <c:crosses val="autoZero"/>
        <c:auto val="1"/>
        <c:lblAlgn val="ctr"/>
        <c:lblOffset val="100"/>
      </c:catAx>
      <c:valAx>
        <c:axId val="132608000"/>
        <c:scaling>
          <c:orientation val="minMax"/>
        </c:scaling>
        <c:axPos val="l"/>
        <c:majorGridlines/>
        <c:title>
          <c:tx>
            <c:rich>
              <a:bodyPr rot="-5400000" vert="horz"/>
              <a:lstStyle/>
              <a:p>
                <a:pPr>
                  <a:defRPr lang="en-GB"/>
                </a:pPr>
                <a:r>
                  <a:rPr lang="en-US"/>
                  <a:t>Millions de VND</a:t>
                </a:r>
              </a:p>
            </c:rich>
          </c:tx>
          <c:spPr>
            <a:noFill/>
            <a:ln w="25400">
              <a:noFill/>
            </a:ln>
          </c:spPr>
        </c:title>
        <c:numFmt formatCode="#,###,###,###" sourceLinked="1"/>
        <c:tickLblPos val="nextTo"/>
        <c:txPr>
          <a:bodyPr/>
          <a:lstStyle/>
          <a:p>
            <a:pPr>
              <a:defRPr lang="en-GB" sz="800"/>
            </a:pPr>
            <a:endParaRPr lang="en-US"/>
          </a:p>
        </c:txPr>
        <c:crossAx val="132589824"/>
        <c:crosses val="autoZero"/>
        <c:crossBetween val="between"/>
      </c:valAx>
      <c:catAx>
        <c:axId val="132609920"/>
        <c:scaling>
          <c:orientation val="minMax"/>
        </c:scaling>
        <c:delete val="1"/>
        <c:axPos val="b"/>
        <c:numFmt formatCode="General" sourceLinked="1"/>
        <c:tickLblPos val="none"/>
        <c:crossAx val="132611456"/>
        <c:crosses val="autoZero"/>
        <c:auto val="1"/>
        <c:lblAlgn val="ctr"/>
        <c:lblOffset val="100"/>
      </c:catAx>
      <c:valAx>
        <c:axId val="132611456"/>
        <c:scaling>
          <c:orientation val="minMax"/>
        </c:scaling>
        <c:axPos val="r"/>
        <c:numFmt formatCode="#,##0.00" sourceLinked="1"/>
        <c:tickLblPos val="nextTo"/>
        <c:txPr>
          <a:bodyPr/>
          <a:lstStyle/>
          <a:p>
            <a:pPr>
              <a:defRPr lang="en-GB"/>
            </a:pPr>
            <a:endParaRPr lang="en-US"/>
          </a:p>
        </c:txPr>
        <c:crossAx val="132609920"/>
        <c:crosses val="max"/>
        <c:crossBetween val="between"/>
      </c:valAx>
    </c:plotArea>
    <c:legend>
      <c:legendPos val="r"/>
      <c:layout>
        <c:manualLayout>
          <c:xMode val="edge"/>
          <c:yMode val="edge"/>
          <c:x val="0.73610043876453202"/>
          <c:y val="0.11686605930778725"/>
          <c:w val="0.23830589744175421"/>
          <c:h val="0.80743822794471198"/>
        </c:manualLayout>
      </c:layout>
      <c:txPr>
        <a:bodyPr/>
        <a:lstStyle/>
        <a:p>
          <a:pPr>
            <a:defRPr lang="en-GB"/>
          </a:pPr>
          <a:endParaRPr lang="en-US"/>
        </a:p>
      </c:txPr>
    </c:legend>
    <c:plotVisOnly val="1"/>
    <c:dispBlanksAs val="gap"/>
  </c:chart>
  <c:printSettings>
    <c:headerFooter/>
    <c:pageMargins b="0.75000000000000722" l="0.70000000000000062" r="0.70000000000000062" t="0.750000000000007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100"/>
            </a:pPr>
            <a:r>
              <a:rPr lang="en-GB" sz="1100"/>
              <a:t>State and non-state</a:t>
            </a:r>
            <a:r>
              <a:rPr lang="en-GB" sz="1100" baseline="0"/>
              <a:t> social protection budget as a percentage of GDP </a:t>
            </a:r>
            <a:br>
              <a:rPr lang="en-GB" sz="1100" baseline="0"/>
            </a:br>
            <a:r>
              <a:rPr lang="en-GB" sz="1100" baseline="0"/>
              <a:t>
(Status -quo inccludin</a:t>
            </a:r>
            <a:endParaRPr lang="en-GB" sz="1100"/>
          </a:p>
        </c:rich>
      </c:tx>
      <c:layout>
        <c:manualLayout>
          <c:xMode val="edge"/>
          <c:yMode val="edge"/>
          <c:x val="7.3350769964943482E-2"/>
          <c:y val="1.3821261898398485E-2"/>
        </c:manualLayout>
      </c:layout>
      <c:overlay val="1"/>
      <c:spPr>
        <a:noFill/>
        <a:ln w="25400">
          <a:noFill/>
        </a:ln>
      </c:spPr>
    </c:title>
    <c:plotArea>
      <c:layout>
        <c:manualLayout>
          <c:layoutTarget val="inner"/>
          <c:xMode val="edge"/>
          <c:yMode val="edge"/>
          <c:x val="0.10562600204932222"/>
          <c:y val="0.12819977750141545"/>
          <c:w val="0.52718265934113051"/>
          <c:h val="0.6835533062043585"/>
        </c:manualLayout>
      </c:layout>
      <c:areaChart>
        <c:grouping val="stacked"/>
        <c:ser>
          <c:idx val="0"/>
          <c:order val="0"/>
          <c:tx>
            <c:strRef>
              <c:f>'GGO(SQ) (SQ and Post SPF)'!$B$674</c:f>
              <c:strCache>
                <c:ptCount val="1"/>
                <c:pt idx="0">
                  <c:v>Labour market policies</c:v>
                </c:pt>
              </c:strCache>
            </c:strRef>
          </c:tx>
          <c:spPr>
            <a:solidFill>
              <a:srgbClr val="92D050"/>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SPF)'!$C$674:$R$674</c:f>
              <c:numCache>
                <c:formatCode>0.00</c:formatCode>
                <c:ptCount val="16"/>
                <c:pt idx="0">
                  <c:v>0.16038869360726821</c:v>
                </c:pt>
                <c:pt idx="1">
                  <c:v>0.17038485422344021</c:v>
                </c:pt>
                <c:pt idx="2">
                  <c:v>0.18273777452892756</c:v>
                </c:pt>
                <c:pt idx="3">
                  <c:v>0.15938986073083652</c:v>
                </c:pt>
                <c:pt idx="4">
                  <c:v>0.15208834107486019</c:v>
                </c:pt>
                <c:pt idx="5">
                  <c:v>0.13516150514267389</c:v>
                </c:pt>
                <c:pt idx="6">
                  <c:v>0.16720502336097634</c:v>
                </c:pt>
                <c:pt idx="7">
                  <c:v>0.16446934570261074</c:v>
                </c:pt>
                <c:pt idx="8">
                  <c:v>0.15642144208141132</c:v>
                </c:pt>
                <c:pt idx="9">
                  <c:v>0.14500281467069259</c:v>
                </c:pt>
                <c:pt idx="10">
                  <c:v>0.13613053221765695</c:v>
                </c:pt>
                <c:pt idx="11">
                  <c:v>0.13038104065956599</c:v>
                </c:pt>
                <c:pt idx="12">
                  <c:v>0.12600939774404454</c:v>
                </c:pt>
                <c:pt idx="13">
                  <c:v>0.12190552275508446</c:v>
                </c:pt>
                <c:pt idx="14">
                  <c:v>0.11825137671963477</c:v>
                </c:pt>
                <c:pt idx="15">
                  <c:v>0.11570601198999671</c:v>
                </c:pt>
              </c:numCache>
            </c:numRef>
          </c:val>
        </c:ser>
        <c:ser>
          <c:idx val="1"/>
          <c:order val="1"/>
          <c:tx>
            <c:strRef>
              <c:f>'GGO(SQ) (SQ and Post SPF)'!$B$675</c:f>
              <c:strCache>
                <c:ptCount val="1"/>
                <c:pt idx="0">
                  <c:v>Health insurance</c:v>
                </c:pt>
              </c:strCache>
            </c:strRef>
          </c:tx>
          <c:spPr>
            <a:solidFill>
              <a:schemeClr val="accent3">
                <a:lumMod val="40000"/>
                <a:lumOff val="6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SPF)'!$C$675:$R$675</c:f>
              <c:numCache>
                <c:formatCode>0.00</c:formatCode>
                <c:ptCount val="16"/>
                <c:pt idx="0">
                  <c:v>0.27186343263749058</c:v>
                </c:pt>
                <c:pt idx="1">
                  <c:v>0.33347180393842679</c:v>
                </c:pt>
                <c:pt idx="2">
                  <c:v>0.38243295110043352</c:v>
                </c:pt>
                <c:pt idx="3">
                  <c:v>0.75496333156898654</c:v>
                </c:pt>
                <c:pt idx="4">
                  <c:v>0.71737884575586541</c:v>
                </c:pt>
                <c:pt idx="5">
                  <c:v>0.95252396069783318</c:v>
                </c:pt>
                <c:pt idx="6">
                  <c:v>0.98904278878202778</c:v>
                </c:pt>
                <c:pt idx="7">
                  <c:v>0.99091366900566669</c:v>
                </c:pt>
                <c:pt idx="8">
                  <c:v>1.0429889906323369</c:v>
                </c:pt>
                <c:pt idx="9">
                  <c:v>1.6564967044566499</c:v>
                </c:pt>
                <c:pt idx="10">
                  <c:v>1.6719486259964988</c:v>
                </c:pt>
                <c:pt idx="11">
                  <c:v>1.4569552966296815</c:v>
                </c:pt>
                <c:pt idx="12">
                  <c:v>1.3974432470961757</c:v>
                </c:pt>
                <c:pt idx="13">
                  <c:v>1.2260384670183544</c:v>
                </c:pt>
                <c:pt idx="14">
                  <c:v>1.2212514037947646</c:v>
                </c:pt>
                <c:pt idx="15">
                  <c:v>1.136985454072664</c:v>
                </c:pt>
              </c:numCache>
            </c:numRef>
          </c:val>
        </c:ser>
        <c:ser>
          <c:idx val="2"/>
          <c:order val="2"/>
          <c:tx>
            <c:strRef>
              <c:f>'GGO(SQ) (SQ and Post SPF)'!$B$676</c:f>
              <c:strCache>
                <c:ptCount val="1"/>
                <c:pt idx="0">
                  <c:v>Social insurance</c:v>
                </c:pt>
              </c:strCache>
            </c:strRef>
          </c:tx>
          <c:spPr>
            <a:solidFill>
              <a:schemeClr val="accent3">
                <a:lumMod val="60000"/>
                <a:lumOff val="4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SPF)'!$C$676:$R$676</c:f>
              <c:numCache>
                <c:formatCode>0.00</c:formatCode>
                <c:ptCount val="16"/>
                <c:pt idx="0">
                  <c:v>1.0366064518765172</c:v>
                </c:pt>
                <c:pt idx="1">
                  <c:v>0.98948562713384969</c:v>
                </c:pt>
                <c:pt idx="2">
                  <c:v>0.92515204581868093</c:v>
                </c:pt>
                <c:pt idx="3">
                  <c:v>0.77587240191833473</c:v>
                </c:pt>
                <c:pt idx="4">
                  <c:v>0.71153390428904195</c:v>
                </c:pt>
                <c:pt idx="5">
                  <c:v>0.90643707517120831</c:v>
                </c:pt>
                <c:pt idx="6">
                  <c:v>0.83643516712717225</c:v>
                </c:pt>
                <c:pt idx="7">
                  <c:v>0.75944919137973099</c:v>
                </c:pt>
                <c:pt idx="8">
                  <c:v>0.74335893195015246</c:v>
                </c:pt>
                <c:pt idx="9">
                  <c:v>0.59912194492249027</c:v>
                </c:pt>
                <c:pt idx="10">
                  <c:v>0.59986790218385155</c:v>
                </c:pt>
                <c:pt idx="11">
                  <c:v>0.51823748681461057</c:v>
                </c:pt>
                <c:pt idx="12">
                  <c:v>0.49040307154288493</c:v>
                </c:pt>
                <c:pt idx="13">
                  <c:v>0.41845275853958563</c:v>
                </c:pt>
                <c:pt idx="14">
                  <c:v>0.42490312580775269</c:v>
                </c:pt>
                <c:pt idx="15">
                  <c:v>0.40589393072508317</c:v>
                </c:pt>
              </c:numCache>
            </c:numRef>
          </c:val>
        </c:ser>
        <c:ser>
          <c:idx val="3"/>
          <c:order val="3"/>
          <c:tx>
            <c:strRef>
              <c:f>'GGO(SQ) (SQ and Post SPF)'!$B$677</c:f>
              <c:strCache>
                <c:ptCount val="1"/>
                <c:pt idx="0">
                  <c:v>Social assistance</c:v>
                </c:pt>
              </c:strCache>
            </c:strRef>
          </c:tx>
          <c:spPr>
            <a:solidFill>
              <a:schemeClr val="accent3">
                <a:lumMod val="75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SPF)'!$C$677:$R$677</c:f>
              <c:numCache>
                <c:formatCode>0.00</c:formatCode>
                <c:ptCount val="16"/>
                <c:pt idx="0">
                  <c:v>1.2556660375557214</c:v>
                </c:pt>
                <c:pt idx="1">
                  <c:v>1.3179478370989854</c:v>
                </c:pt>
                <c:pt idx="2">
                  <c:v>1.1934117884433535</c:v>
                </c:pt>
                <c:pt idx="3">
                  <c:v>1.2264655823942461</c:v>
                </c:pt>
                <c:pt idx="4">
                  <c:v>0.75652670559480006</c:v>
                </c:pt>
                <c:pt idx="5">
                  <c:v>1.1746606649177453</c:v>
                </c:pt>
                <c:pt idx="6">
                  <c:v>1.0225512046322736</c:v>
                </c:pt>
                <c:pt idx="7">
                  <c:v>0.95099460293190785</c:v>
                </c:pt>
                <c:pt idx="8">
                  <c:v>0.87883471632212196</c:v>
                </c:pt>
                <c:pt idx="9">
                  <c:v>0.82810119871645038</c:v>
                </c:pt>
                <c:pt idx="10">
                  <c:v>0.76813230404555477</c:v>
                </c:pt>
                <c:pt idx="11">
                  <c:v>0.72926455932039191</c:v>
                </c:pt>
                <c:pt idx="12">
                  <c:v>0.68158645990132549</c:v>
                </c:pt>
                <c:pt idx="13">
                  <c:v>0.63362771055541722</c:v>
                </c:pt>
                <c:pt idx="14">
                  <c:v>0.59485080910846833</c:v>
                </c:pt>
                <c:pt idx="15">
                  <c:v>0.56196113728112296</c:v>
                </c:pt>
              </c:numCache>
            </c:numRef>
          </c:val>
        </c:ser>
        <c:ser>
          <c:idx val="4"/>
          <c:order val="4"/>
          <c:tx>
            <c:strRef>
              <c:f>'GGO(SQ) (SQ and Post SPF)'!$B$678</c:f>
              <c:strCache>
                <c:ptCount val="1"/>
                <c:pt idx="0">
                  <c:v>Monitoring and evaluation</c:v>
                </c:pt>
              </c:strCache>
            </c:strRef>
          </c:tx>
          <c:spPr>
            <a:solidFill>
              <a:srgbClr val="3F601A"/>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SPF)'!$C$678:$R$678</c:f>
              <c:numCache>
                <c:formatCode>0.00</c:formatCode>
                <c:ptCount val="16"/>
                <c:pt idx="0">
                  <c:v>1.0886064691544411E-2</c:v>
                </c:pt>
                <c:pt idx="1">
                  <c:v>9.4031028600353311E-3</c:v>
                </c:pt>
                <c:pt idx="2">
                  <c:v>9.2649644993530629E-3</c:v>
                </c:pt>
                <c:pt idx="3">
                  <c:v>1.1219990415828855E-2</c:v>
                </c:pt>
                <c:pt idx="4">
                  <c:v>1.091836716234852E-2</c:v>
                </c:pt>
                <c:pt idx="5">
                  <c:v>9.8700347042361622E-3</c:v>
                </c:pt>
                <c:pt idx="6">
                  <c:v>1.0120670698369983E-2</c:v>
                </c:pt>
                <c:pt idx="7">
                  <c:v>1.0595930939340329E-2</c:v>
                </c:pt>
                <c:pt idx="8">
                  <c:v>9.988618464408525E-3</c:v>
                </c:pt>
                <c:pt idx="9">
                  <c:v>9.719184419555495E-3</c:v>
                </c:pt>
                <c:pt idx="10">
                  <c:v>9.4004980321764613E-3</c:v>
                </c:pt>
                <c:pt idx="11">
                  <c:v>9.5818188227964514E-3</c:v>
                </c:pt>
                <c:pt idx="12">
                  <c:v>9.6032968216498878E-3</c:v>
                </c:pt>
                <c:pt idx="13">
                  <c:v>8.9804046121600752E-3</c:v>
                </c:pt>
                <c:pt idx="14">
                  <c:v>8.5919993999354852E-3</c:v>
                </c:pt>
                <c:pt idx="15">
                  <c:v>8.1675862699698391E-3</c:v>
                </c:pt>
              </c:numCache>
            </c:numRef>
          </c:val>
        </c:ser>
        <c:ser>
          <c:idx val="5"/>
          <c:order val="5"/>
          <c:tx>
            <c:strRef>
              <c:f>'GGO(SQ) (SQ and Post SPF)'!$B$679</c:f>
              <c:strCache>
                <c:ptCount val="1"/>
                <c:pt idx="0">
                  <c:v>Labour market policies</c:v>
                </c:pt>
              </c:strCache>
            </c:strRef>
          </c:tx>
          <c:spPr>
            <a:solidFill>
              <a:schemeClr val="accent1">
                <a:lumMod val="75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SPF)'!$C$679:$R$679</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6"/>
          <c:order val="6"/>
          <c:tx>
            <c:strRef>
              <c:f>'GGO(SQ) (SQ and Post SPF)'!$B$680</c:f>
              <c:strCache>
                <c:ptCount val="1"/>
                <c:pt idx="0">
                  <c:v>Health insurance</c:v>
                </c:pt>
              </c:strCache>
            </c:strRef>
          </c:tx>
          <c:spPr>
            <a:solidFill>
              <a:schemeClr val="accent1">
                <a:lumMod val="40000"/>
                <a:lumOff val="6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SPF)'!$C$680:$R$680</c:f>
              <c:numCache>
                <c:formatCode>0.00</c:formatCode>
                <c:ptCount val="16"/>
                <c:pt idx="0">
                  <c:v>0.43768640996579455</c:v>
                </c:pt>
                <c:pt idx="1">
                  <c:v>0.48872089215973047</c:v>
                </c:pt>
                <c:pt idx="2">
                  <c:v>0.51313076605293118</c:v>
                </c:pt>
                <c:pt idx="3">
                  <c:v>1.0609278553698196</c:v>
                </c:pt>
                <c:pt idx="4">
                  <c:v>0.73139161986054502</c:v>
                </c:pt>
                <c:pt idx="5">
                  <c:v>1.1736006077656489</c:v>
                </c:pt>
                <c:pt idx="6">
                  <c:v>1.1650800877029677</c:v>
                </c:pt>
                <c:pt idx="7">
                  <c:v>1.0815522043828727</c:v>
                </c:pt>
                <c:pt idx="8">
                  <c:v>1.0909503951655291</c:v>
                </c:pt>
                <c:pt idx="9">
                  <c:v>1.6089223649712754</c:v>
                </c:pt>
                <c:pt idx="10">
                  <c:v>1.5340307770640587</c:v>
                </c:pt>
                <c:pt idx="11">
                  <c:v>1.401427868375317</c:v>
                </c:pt>
                <c:pt idx="12">
                  <c:v>1.4025991142588559</c:v>
                </c:pt>
                <c:pt idx="13">
                  <c:v>1.2688078728248382</c:v>
                </c:pt>
                <c:pt idx="14">
                  <c:v>1.334641496314189</c:v>
                </c:pt>
                <c:pt idx="15">
                  <c:v>1.2975021364235833</c:v>
                </c:pt>
              </c:numCache>
            </c:numRef>
          </c:val>
        </c:ser>
        <c:ser>
          <c:idx val="7"/>
          <c:order val="7"/>
          <c:tx>
            <c:strRef>
              <c:f>'GGO(SQ) (SQ and Post SPF)'!$B$681</c:f>
              <c:strCache>
                <c:ptCount val="1"/>
                <c:pt idx="0">
                  <c:v>Social insurance</c:v>
                </c:pt>
              </c:strCache>
            </c:strRef>
          </c:tx>
          <c:spPr>
            <a:solidFill>
              <a:schemeClr val="accent1">
                <a:lumMod val="60000"/>
                <a:lumOff val="4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SPF)'!$C$681:$R$681</c:f>
              <c:numCache>
                <c:formatCode>0.00</c:formatCode>
                <c:ptCount val="16"/>
                <c:pt idx="0">
                  <c:v>1.7409727968999824</c:v>
                </c:pt>
                <c:pt idx="1">
                  <c:v>1.6404776934406959</c:v>
                </c:pt>
                <c:pt idx="2">
                  <c:v>1.5187869790584636</c:v>
                </c:pt>
                <c:pt idx="3">
                  <c:v>1.2615731045266183</c:v>
                </c:pt>
                <c:pt idx="4">
                  <c:v>1.1297011738500435</c:v>
                </c:pt>
                <c:pt idx="5">
                  <c:v>2.3829168968612904</c:v>
                </c:pt>
                <c:pt idx="6">
                  <c:v>2.6651324295071048</c:v>
                </c:pt>
                <c:pt idx="7">
                  <c:v>2.9599924237142643</c:v>
                </c:pt>
                <c:pt idx="8">
                  <c:v>3.2780010742038881</c:v>
                </c:pt>
                <c:pt idx="9">
                  <c:v>3.3044581585900095</c:v>
                </c:pt>
                <c:pt idx="10">
                  <c:v>3.683582141794739</c:v>
                </c:pt>
                <c:pt idx="11">
                  <c:v>3.8906455715366293</c:v>
                </c:pt>
                <c:pt idx="12">
                  <c:v>3.8222435397028356</c:v>
                </c:pt>
                <c:pt idx="13">
                  <c:v>3.6791676717009216</c:v>
                </c:pt>
                <c:pt idx="14">
                  <c:v>4.0498251189415377</c:v>
                </c:pt>
                <c:pt idx="15">
                  <c:v>4.3289834705534771</c:v>
                </c:pt>
              </c:numCache>
            </c:numRef>
          </c:val>
        </c:ser>
        <c:ser>
          <c:idx val="8"/>
          <c:order val="8"/>
          <c:tx>
            <c:strRef>
              <c:f>'GGO(SQ) (SQ and Post SPF)'!$B$682</c:f>
              <c:strCache>
                <c:ptCount val="1"/>
                <c:pt idx="0">
                  <c:v>Social assistance</c:v>
                </c:pt>
              </c:strCache>
            </c:strRef>
          </c:tx>
          <c:spPr>
            <a:solidFill>
              <a:schemeClr val="accent5">
                <a:lumMod val="75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SPF)'!$C$682:$R$682</c:f>
              <c:numCache>
                <c:formatCode>0.00</c:formatCode>
                <c:ptCount val="16"/>
                <c:pt idx="0">
                  <c:v>0.29855869046485339</c:v>
                </c:pt>
                <c:pt idx="1">
                  <c:v>0.30977823272133187</c:v>
                </c:pt>
                <c:pt idx="2">
                  <c:v>0.28712098309011846</c:v>
                </c:pt>
                <c:pt idx="3">
                  <c:v>0.29559485959922727</c:v>
                </c:pt>
                <c:pt idx="4">
                  <c:v>0.8271183675701298</c:v>
                </c:pt>
                <c:pt idx="5">
                  <c:v>0.33589564800005434</c:v>
                </c:pt>
                <c:pt idx="6">
                  <c:v>0.28757497617158156</c:v>
                </c:pt>
                <c:pt idx="7">
                  <c:v>0.26281203846017087</c:v>
                </c:pt>
                <c:pt idx="8">
                  <c:v>0.23900035022847654</c:v>
                </c:pt>
                <c:pt idx="9">
                  <c:v>0.22083471815967592</c:v>
                </c:pt>
                <c:pt idx="10">
                  <c:v>0.20206072565599853</c:v>
                </c:pt>
                <c:pt idx="11">
                  <c:v>0.18851408070609565</c:v>
                </c:pt>
                <c:pt idx="12">
                  <c:v>0.1739598785182348</c:v>
                </c:pt>
                <c:pt idx="13">
                  <c:v>0.1599401183986936</c:v>
                </c:pt>
                <c:pt idx="14">
                  <c:v>0.14826822339695145</c:v>
                </c:pt>
                <c:pt idx="15">
                  <c:v>0.13822691999268866</c:v>
                </c:pt>
              </c:numCache>
            </c:numRef>
          </c:val>
        </c:ser>
        <c:ser>
          <c:idx val="9"/>
          <c:order val="9"/>
          <c:tx>
            <c:strRef>
              <c:f>'GGO(SQ) (SQ and Post SPF)'!$B$683</c:f>
              <c:strCache>
                <c:ptCount val="1"/>
                <c:pt idx="0">
                  <c:v>Monitoring and evaluation</c:v>
                </c:pt>
              </c:strCache>
            </c:strRef>
          </c:tx>
          <c:spPr>
            <a:solidFill>
              <a:schemeClr val="accent1">
                <a:lumMod val="5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SPF)'!$C$683:$R$683</c:f>
              <c:numCache>
                <c:formatCode>0.00</c:formatCode>
                <c:ptCount val="16"/>
                <c:pt idx="0">
                  <c:v>0</c:v>
                </c:pt>
                <c:pt idx="1">
                  <c:v>0</c:v>
                </c:pt>
                <c:pt idx="2">
                  <c:v>0</c:v>
                </c:pt>
                <c:pt idx="3">
                  <c:v>0</c:v>
                </c:pt>
                <c:pt idx="4">
                  <c:v>-5.7126674050944626E-10</c:v>
                </c:pt>
                <c:pt idx="5">
                  <c:v>0</c:v>
                </c:pt>
                <c:pt idx="6">
                  <c:v>0</c:v>
                </c:pt>
                <c:pt idx="7">
                  <c:v>0</c:v>
                </c:pt>
                <c:pt idx="8">
                  <c:v>0</c:v>
                </c:pt>
                <c:pt idx="9">
                  <c:v>0</c:v>
                </c:pt>
                <c:pt idx="10">
                  <c:v>0</c:v>
                </c:pt>
                <c:pt idx="11">
                  <c:v>0</c:v>
                </c:pt>
                <c:pt idx="12">
                  <c:v>0</c:v>
                </c:pt>
                <c:pt idx="13">
                  <c:v>0</c:v>
                </c:pt>
                <c:pt idx="14">
                  <c:v>0</c:v>
                </c:pt>
                <c:pt idx="15">
                  <c:v>0</c:v>
                </c:pt>
              </c:numCache>
            </c:numRef>
          </c:val>
        </c:ser>
        <c:axId val="134662400"/>
        <c:axId val="134668288"/>
      </c:areaChart>
      <c:catAx>
        <c:axId val="134662400"/>
        <c:scaling>
          <c:orientation val="minMax"/>
        </c:scaling>
        <c:axPos val="b"/>
        <c:numFmt formatCode="General" sourceLinked="1"/>
        <c:tickLblPos val="nextTo"/>
        <c:txPr>
          <a:bodyPr rot="-5400000" vert="horz"/>
          <a:lstStyle/>
          <a:p>
            <a:pPr>
              <a:defRPr lang="en-GB"/>
            </a:pPr>
            <a:endParaRPr lang="en-US"/>
          </a:p>
        </c:txPr>
        <c:crossAx val="134668288"/>
        <c:crosses val="autoZero"/>
        <c:auto val="1"/>
        <c:lblAlgn val="ctr"/>
        <c:lblOffset val="100"/>
      </c:catAx>
      <c:valAx>
        <c:axId val="134668288"/>
        <c:scaling>
          <c:orientation val="minMax"/>
        </c:scaling>
        <c:axPos val="l"/>
        <c:majorGridlines/>
        <c:title>
          <c:tx>
            <c:rich>
              <a:bodyPr rot="-5400000" vert="horz"/>
              <a:lstStyle/>
              <a:p>
                <a:pPr>
                  <a:defRPr lang="en-GB"/>
                </a:pPr>
                <a:r>
                  <a:rPr lang="en-US"/>
                  <a:t>As a percentage of GDP</a:t>
                </a:r>
              </a:p>
            </c:rich>
          </c:tx>
          <c:spPr>
            <a:noFill/>
            <a:ln w="25400">
              <a:noFill/>
            </a:ln>
          </c:spPr>
        </c:title>
        <c:numFmt formatCode="0.00" sourceLinked="1"/>
        <c:tickLblPos val="nextTo"/>
        <c:txPr>
          <a:bodyPr/>
          <a:lstStyle/>
          <a:p>
            <a:pPr>
              <a:defRPr lang="en-GB"/>
            </a:pPr>
            <a:endParaRPr lang="en-US"/>
          </a:p>
        </c:txPr>
        <c:crossAx val="134662400"/>
        <c:crosses val="autoZero"/>
        <c:crossBetween val="midCat"/>
      </c:valAx>
    </c:plotArea>
    <c:legend>
      <c:legendPos val="r"/>
      <c:layout>
        <c:manualLayout>
          <c:xMode val="edge"/>
          <c:yMode val="edge"/>
          <c:x val="0.70516260786894058"/>
          <c:y val="0.10315941447713686"/>
          <c:w val="0.27121638764190031"/>
          <c:h val="0.7375898135115323"/>
        </c:manualLayout>
      </c:layout>
      <c:txPr>
        <a:bodyPr/>
        <a:lstStyle/>
        <a:p>
          <a:pPr>
            <a:defRPr lang="en-GB"/>
          </a:pPr>
          <a:endParaRPr lang="en-US"/>
        </a:p>
      </c:txPr>
    </c:legend>
    <c:plotVisOnly val="1"/>
    <c:dispBlanksAs val="zero"/>
  </c:chart>
  <c:printSettings>
    <c:headerFooter/>
    <c:pageMargins b="0.75000000000000677" l="0.70000000000000062" r="0.70000000000000062" t="0.75000000000000677"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50"/>
            </a:pPr>
            <a:r>
              <a:rPr lang="en-GB" sz="1050"/>
              <a:t>Total additional costs to</a:t>
            </a:r>
            <a:r>
              <a:rPr lang="en-GB" sz="1050" baseline="0"/>
              <a:t> fill the gaps toward the </a:t>
            </a:r>
            <a:r>
              <a:rPr lang="en-GB" sz="1050"/>
              <a:t> SPF components </a:t>
            </a:r>
          </a:p>
          <a:p>
            <a:pPr>
              <a:defRPr lang="en-GB" sz="1050"/>
            </a:pPr>
            <a:r>
              <a:rPr lang="en-GB" sz="1050"/>
              <a:t>as a percentage of  general</a:t>
            </a:r>
            <a:r>
              <a:rPr lang="en-GB" sz="1050" baseline="0"/>
              <a:t> government expenditure</a:t>
            </a:r>
            <a:endParaRPr lang="en-GB" sz="1050"/>
          </a:p>
        </c:rich>
      </c:tx>
      <c:overlay val="1"/>
      <c:spPr>
        <a:noFill/>
        <a:ln w="25400">
          <a:noFill/>
        </a:ln>
      </c:spPr>
    </c:title>
    <c:plotArea>
      <c:layout>
        <c:manualLayout>
          <c:layoutTarget val="inner"/>
          <c:xMode val="edge"/>
          <c:yMode val="edge"/>
          <c:x val="0.12857727472313768"/>
          <c:y val="3.0752375112048782E-2"/>
          <c:w val="0.49549291234770326"/>
          <c:h val="0.86985289602652505"/>
        </c:manualLayout>
      </c:layout>
      <c:barChart>
        <c:barDir val="col"/>
        <c:grouping val="stacked"/>
        <c:ser>
          <c:idx val="0"/>
          <c:order val="0"/>
          <c:tx>
            <c:strRef>
              <c:f>'GGO(SQ) (SQ and Post SPF)'!$B$439</c:f>
              <c:strCache>
                <c:ptCount val="1"/>
                <c:pt idx="0">
                  <c:v>1a. Old-age  pension for uncovered (65+ as an objective in 2020)</c:v>
                </c:pt>
              </c:strCache>
            </c:strRef>
          </c:tx>
          <c:dLbls>
            <c:spPr>
              <a:noFill/>
              <a:ln w="25400">
                <a:noFill/>
              </a:ln>
            </c:spPr>
            <c:txPr>
              <a:bodyPr rot="-5400000" vert="horz"/>
              <a:lstStyle/>
              <a:p>
                <a:pPr>
                  <a:defRPr lang="en-GB" b="1">
                    <a:solidFill>
                      <a:schemeClr val="accent6">
                        <a:lumMod val="20000"/>
                        <a:lumOff val="80000"/>
                      </a:schemeClr>
                    </a:solidFill>
                  </a:defRPr>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SPF)'!$H$439:$R$439</c:f>
              <c:numCache>
                <c:formatCode>0.00</c:formatCode>
                <c:ptCount val="11"/>
                <c:pt idx="0">
                  <c:v>0</c:v>
                </c:pt>
                <c:pt idx="1">
                  <c:v>0.24109601859784685</c:v>
                </c:pt>
                <c:pt idx="2">
                  <c:v>0.54079789046632243</c:v>
                </c:pt>
                <c:pt idx="3">
                  <c:v>0.69754411056516819</c:v>
                </c:pt>
                <c:pt idx="4">
                  <c:v>0.87667652614225122</c:v>
                </c:pt>
                <c:pt idx="5">
                  <c:v>1.0206757472346473</c:v>
                </c:pt>
                <c:pt idx="6">
                  <c:v>1.2096776296827865</c:v>
                </c:pt>
                <c:pt idx="7">
                  <c:v>1.4075682637250362</c:v>
                </c:pt>
                <c:pt idx="8">
                  <c:v>1.5683937562422177</c:v>
                </c:pt>
                <c:pt idx="9">
                  <c:v>1.8121078388467649</c:v>
                </c:pt>
                <c:pt idx="10">
                  <c:v>1.954036875255877</c:v>
                </c:pt>
              </c:numCache>
            </c:numRef>
          </c:val>
        </c:ser>
        <c:ser>
          <c:idx val="3"/>
          <c:order val="1"/>
          <c:tx>
            <c:strRef>
              <c:f>'GGO(SQ) (SQ and Post SPF)'!$B$442</c:f>
              <c:strCache>
                <c:ptCount val="1"/>
                <c:pt idx="0">
                  <c:v>2.b Child benefit (scenario 2b- targeted for all poor children cash and kind )</c:v>
                </c:pt>
              </c:strCache>
            </c:strRef>
          </c:tx>
          <c:dLbls>
            <c:spPr>
              <a:noFill/>
              <a:ln w="25400">
                <a:noFill/>
              </a:ln>
            </c:spPr>
            <c:txPr>
              <a:bodyPr rot="-5400000" vert="horz"/>
              <a:lstStyle/>
              <a:p>
                <a:pPr>
                  <a:defRPr lang="en-GB"/>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SPF)'!$H$442:$R$442</c:f>
              <c:numCache>
                <c:formatCode>0.00</c:formatCode>
                <c:ptCount val="11"/>
                <c:pt idx="0">
                  <c:v>0</c:v>
                </c:pt>
                <c:pt idx="1">
                  <c:v>0.74571915844744829</c:v>
                </c:pt>
                <c:pt idx="2">
                  <c:v>1.4854410615173035</c:v>
                </c:pt>
                <c:pt idx="3">
                  <c:v>1.7100441461645128</c:v>
                </c:pt>
                <c:pt idx="4">
                  <c:v>1.8973250112867821</c:v>
                </c:pt>
                <c:pt idx="5">
                  <c:v>2.3575331857608517</c:v>
                </c:pt>
                <c:pt idx="6">
                  <c:v>2.7720569997320954</c:v>
                </c:pt>
                <c:pt idx="7">
                  <c:v>2.618468141678834</c:v>
                </c:pt>
                <c:pt idx="8">
                  <c:v>2.4911090570486931</c:v>
                </c:pt>
                <c:pt idx="9">
                  <c:v>2.3801868942401723</c:v>
                </c:pt>
                <c:pt idx="10">
                  <c:v>2.2846214241002007</c:v>
                </c:pt>
              </c:numCache>
            </c:numRef>
          </c:val>
        </c:ser>
        <c:ser>
          <c:idx val="1"/>
          <c:order val="2"/>
          <c:tx>
            <c:strRef>
              <c:f>'GGO(SQ) (SQ and Post SPF)'!$B$444</c:f>
              <c:strCache>
                <c:ptCount val="1"/>
                <c:pt idx="0">
                  <c:v>3. Working-age income security (scenario 1 - high cost )</c:v>
                </c:pt>
              </c:strCache>
            </c:strRef>
          </c:tx>
          <c:spPr>
            <a:solidFill>
              <a:srgbClr val="800000"/>
            </a:solidFill>
            <a:ln w="25400">
              <a:noFill/>
            </a:ln>
          </c:spPr>
          <c:dLbls>
            <c:spPr>
              <a:noFill/>
              <a:ln w="25400">
                <a:noFill/>
              </a:ln>
            </c:spPr>
            <c:txPr>
              <a:bodyPr rot="-5400000" vert="horz"/>
              <a:lstStyle/>
              <a:p>
                <a:pPr algn="ctr">
                  <a:defRPr lang="en-GB" sz="800" b="1" i="0" u="none" strike="noStrike" baseline="0">
                    <a:solidFill>
                      <a:srgbClr val="FFFFFF"/>
                    </a:solidFill>
                    <a:latin typeface="Calibri"/>
                    <a:ea typeface="Calibri"/>
                    <a:cs typeface="Calibri"/>
                  </a:defRPr>
                </a:pPr>
                <a:endParaRPr lang="en-US"/>
              </a:p>
            </c:txPr>
            <c:dLblPos val="ct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SPF)'!$H$444:$R$444</c:f>
              <c:numCache>
                <c:formatCode>0.00</c:formatCode>
                <c:ptCount val="11"/>
                <c:pt idx="0">
                  <c:v>0</c:v>
                </c:pt>
                <c:pt idx="1">
                  <c:v>1.3362963424021006</c:v>
                </c:pt>
                <c:pt idx="2">
                  <c:v>2.7075471423969746</c:v>
                </c:pt>
                <c:pt idx="3">
                  <c:v>3.1706611204166157</c:v>
                </c:pt>
                <c:pt idx="4">
                  <c:v>3.6010668846984872</c:v>
                </c:pt>
                <c:pt idx="5">
                  <c:v>3.4996788509966534</c:v>
                </c:pt>
                <c:pt idx="6">
                  <c:v>3.4339671663446332</c:v>
                </c:pt>
                <c:pt idx="7">
                  <c:v>3.3700258594786061</c:v>
                </c:pt>
                <c:pt idx="8">
                  <c:v>3.3176762917157721</c:v>
                </c:pt>
                <c:pt idx="9">
                  <c:v>3.2688319733325653</c:v>
                </c:pt>
                <c:pt idx="10">
                  <c:v>3.2257408170892203</c:v>
                </c:pt>
              </c:numCache>
            </c:numRef>
          </c:val>
        </c:ser>
        <c:gapWidth val="45"/>
        <c:overlap val="100"/>
        <c:axId val="134745472"/>
        <c:axId val="134681728"/>
      </c:barChart>
      <c:catAx>
        <c:axId val="134745472"/>
        <c:scaling>
          <c:orientation val="minMax"/>
        </c:scaling>
        <c:axPos val="b"/>
        <c:numFmt formatCode="General" sourceLinked="1"/>
        <c:tickLblPos val="nextTo"/>
        <c:txPr>
          <a:bodyPr rot="-5400000" vert="horz"/>
          <a:lstStyle/>
          <a:p>
            <a:pPr>
              <a:defRPr lang="en-GB"/>
            </a:pPr>
            <a:endParaRPr lang="en-US"/>
          </a:p>
        </c:txPr>
        <c:crossAx val="134681728"/>
        <c:crosses val="autoZero"/>
        <c:auto val="1"/>
        <c:lblAlgn val="ctr"/>
        <c:lblOffset val="100"/>
      </c:catAx>
      <c:valAx>
        <c:axId val="134681728"/>
        <c:scaling>
          <c:orientation val="minMax"/>
        </c:scaling>
        <c:axPos val="l"/>
        <c:majorGridlines/>
        <c:title>
          <c:tx>
            <c:rich>
              <a:bodyPr rot="-5400000" vert="horz"/>
              <a:lstStyle/>
              <a:p>
                <a:pPr>
                  <a:defRPr lang="en-GB"/>
                </a:pPr>
                <a:r>
                  <a:rPr lang="en-US"/>
                  <a:t>Total child benefit cost as percentage of General government</a:t>
                </a:r>
                <a:r>
                  <a:rPr lang="en-US" baseline="0"/>
                  <a:t> expenditure</a:t>
                </a:r>
                <a:endParaRPr lang="en-US"/>
              </a:p>
            </c:rich>
          </c:tx>
          <c:layout>
            <c:manualLayout>
              <c:xMode val="edge"/>
              <c:yMode val="edge"/>
              <c:x val="1.597745336777958E-2"/>
              <c:y val="0.11600424119170542"/>
            </c:manualLayout>
          </c:layout>
          <c:spPr>
            <a:noFill/>
            <a:ln w="25400">
              <a:noFill/>
            </a:ln>
          </c:spPr>
        </c:title>
        <c:numFmt formatCode="0.0" sourceLinked="0"/>
        <c:tickLblPos val="nextTo"/>
        <c:spPr>
          <a:ln>
            <a:noFill/>
          </a:ln>
        </c:spPr>
        <c:txPr>
          <a:bodyPr/>
          <a:lstStyle/>
          <a:p>
            <a:pPr>
              <a:defRPr lang="en-GB"/>
            </a:pPr>
            <a:endParaRPr lang="en-US"/>
          </a:p>
        </c:txPr>
        <c:crossAx val="134745472"/>
        <c:crosses val="autoZero"/>
        <c:crossBetween val="between"/>
      </c:valAx>
    </c:plotArea>
    <c:legend>
      <c:legendPos val="r"/>
      <c:layout>
        <c:manualLayout>
          <c:xMode val="edge"/>
          <c:yMode val="edge"/>
          <c:x val="0.65072645134271145"/>
          <c:y val="0.31191694756506805"/>
          <c:w val="0.33712334226188662"/>
          <c:h val="0.36902850134458803"/>
        </c:manualLayout>
      </c:layout>
      <c:txPr>
        <a:bodyPr/>
        <a:lstStyle/>
        <a:p>
          <a:pPr>
            <a:defRPr lang="en-GB"/>
          </a:pPr>
          <a:endParaRPr lang="en-US"/>
        </a:p>
      </c:txPr>
    </c:legend>
    <c:plotVisOnly val="1"/>
    <c:dispBlanksAs val="gap"/>
  </c:chart>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style val="3"/>
  <c:chart>
    <c:title>
      <c:tx>
        <c:rich>
          <a:bodyPr/>
          <a:lstStyle/>
          <a:p>
            <a:pPr>
              <a:defRPr lang="en-GB" sz="1200"/>
            </a:pPr>
            <a:r>
              <a:rPr lang="en-US" sz="1200"/>
              <a:t>REVENUE. Total as a percentage of GDP and composition</a:t>
            </a:r>
          </a:p>
        </c:rich>
      </c:tx>
      <c:overlay val="1"/>
      <c:spPr>
        <a:noFill/>
        <a:ln w="25400">
          <a:noFill/>
        </a:ln>
      </c:spPr>
    </c:title>
    <c:plotArea>
      <c:layout>
        <c:manualLayout>
          <c:layoutTarget val="inner"/>
          <c:xMode val="edge"/>
          <c:yMode val="edge"/>
          <c:x val="5.9457504704542523E-2"/>
          <c:y val="0.16504886970173321"/>
          <c:w val="0.69565280504314664"/>
          <c:h val="0.65695922645984506"/>
        </c:manualLayout>
      </c:layout>
      <c:areaChart>
        <c:grouping val="stacked"/>
        <c:ser>
          <c:idx val="2"/>
          <c:order val="0"/>
          <c:tx>
            <c:strRef>
              <c:f>'GGO(SQ) (SQ and Post SPF)'!$B$208</c:f>
              <c:strCache>
                <c:ptCount val="1"/>
                <c:pt idx="0">
                  <c:v>Oil</c:v>
                </c:pt>
              </c:strCache>
            </c:strRef>
          </c:tx>
          <c:cat>
            <c:numRef>
              <c:f>'GGO(SQ) (SQ and Post SPF)'!$C$205:$R$205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SPF)'!$C$208:$R$208</c:f>
              <c:numCache>
                <c:formatCode>#,###,###,###.0</c:formatCode>
                <c:ptCount val="16"/>
                <c:pt idx="0">
                  <c:v>7.9310183277210689</c:v>
                </c:pt>
                <c:pt idx="1">
                  <c:v>8.5547566627149685</c:v>
                </c:pt>
                <c:pt idx="2">
                  <c:v>6.8753120393816696</c:v>
                </c:pt>
                <c:pt idx="3">
                  <c:v>6.03371765570982</c:v>
                </c:pt>
                <c:pt idx="4">
                  <c:v>3.648118746566698</c:v>
                </c:pt>
                <c:pt idx="5">
                  <c:v>3.4892783932108151</c:v>
                </c:pt>
                <c:pt idx="6">
                  <c:v>3.4395311241044735</c:v>
                </c:pt>
                <c:pt idx="7">
                  <c:v>3.3877434113585845</c:v>
                </c:pt>
                <c:pt idx="8">
                  <c:v>3.1167160262428126</c:v>
                </c:pt>
                <c:pt idx="9">
                  <c:v>2.9153720163410273</c:v>
                </c:pt>
                <c:pt idx="10">
                  <c:v>2.7790301051572461</c:v>
                </c:pt>
                <c:pt idx="11">
                  <c:v>2.7109438675808932</c:v>
                </c:pt>
                <c:pt idx="12">
                  <c:v>2.5847494305450027</c:v>
                </c:pt>
                <c:pt idx="13">
                  <c:v>2.4156680465459015</c:v>
                </c:pt>
                <c:pt idx="14">
                  <c:v>2.2215449623254733</c:v>
                </c:pt>
                <c:pt idx="15">
                  <c:v>2.0174405189118207</c:v>
                </c:pt>
              </c:numCache>
            </c:numRef>
          </c:val>
        </c:ser>
        <c:ser>
          <c:idx val="4"/>
          <c:order val="1"/>
          <c:tx>
            <c:strRef>
              <c:f>'GGO(SQ) (SQ and Post SPF)'!$B$210</c:f>
              <c:strCache>
                <c:ptCount val="1"/>
                <c:pt idx="0">
                  <c:v>Non-Oil | Domestic</c:v>
                </c:pt>
              </c:strCache>
            </c:strRef>
          </c:tx>
          <c:cat>
            <c:numRef>
              <c:f>'GGO(SQ) (SQ and Post SPF)'!$C$205:$R$205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SPF)'!$C$210:$R$210</c:f>
              <c:numCache>
                <c:formatCode>#,###,###,###.0</c:formatCode>
                <c:ptCount val="16"/>
                <c:pt idx="0">
                  <c:v>16.00097663816582</c:v>
                </c:pt>
                <c:pt idx="1">
                  <c:v>16.622684793151755</c:v>
                </c:pt>
                <c:pt idx="2">
                  <c:v>17.920158000593815</c:v>
                </c:pt>
                <c:pt idx="3">
                  <c:v>18.252596903244225</c:v>
                </c:pt>
                <c:pt idx="4">
                  <c:v>17.98619021230845</c:v>
                </c:pt>
                <c:pt idx="5">
                  <c:v>20.472284679683273</c:v>
                </c:pt>
                <c:pt idx="6">
                  <c:v>20.506199830102666</c:v>
                </c:pt>
                <c:pt idx="7">
                  <c:v>20.899750767668486</c:v>
                </c:pt>
                <c:pt idx="8">
                  <c:v>21.298621229153166</c:v>
                </c:pt>
                <c:pt idx="9">
                  <c:v>21.717694391889161</c:v>
                </c:pt>
                <c:pt idx="10">
                  <c:v>22.148742810085597</c:v>
                </c:pt>
                <c:pt idx="11">
                  <c:v>22.180211460501461</c:v>
                </c:pt>
                <c:pt idx="12">
                  <c:v>22.211837454169395</c:v>
                </c:pt>
                <c:pt idx="13">
                  <c:v>22.338973948714511</c:v>
                </c:pt>
                <c:pt idx="14">
                  <c:v>22.468653173150535</c:v>
                </c:pt>
                <c:pt idx="15">
                  <c:v>22.600925982075275</c:v>
                </c:pt>
              </c:numCache>
            </c:numRef>
          </c:val>
        </c:ser>
        <c:ser>
          <c:idx val="5"/>
          <c:order val="2"/>
          <c:tx>
            <c:strRef>
              <c:f>'GGO(SQ) (SQ and Post SPF)'!$B$211</c:f>
              <c:strCache>
                <c:ptCount val="1"/>
                <c:pt idx="0">
                  <c:v>Non-Oil | Foreign</c:v>
                </c:pt>
              </c:strCache>
            </c:strRef>
          </c:tx>
          <c:cat>
            <c:numRef>
              <c:f>'GGO(SQ) (SQ and Post SPF)'!$C$205:$R$205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SPF)'!$C$211:$R$211</c:f>
              <c:numCache>
                <c:formatCode>#,###,###,###.0</c:formatCode>
                <c:ptCount val="16"/>
                <c:pt idx="0">
                  <c:v>2.8193138861426199</c:v>
                </c:pt>
                <c:pt idx="1">
                  <c:v>2.6974180536096437</c:v>
                </c:pt>
                <c:pt idx="2">
                  <c:v>3.3495222030759262</c:v>
                </c:pt>
                <c:pt idx="3">
                  <c:v>4.0722190273918919</c:v>
                </c:pt>
                <c:pt idx="4">
                  <c:v>4.6454722022396435</c:v>
                </c:pt>
                <c:pt idx="5">
                  <c:v>3.928935606621494</c:v>
                </c:pt>
                <c:pt idx="6">
                  <c:v>3.6319774012228603</c:v>
                </c:pt>
                <c:pt idx="7">
                  <c:v>3.606372284321707</c:v>
                </c:pt>
                <c:pt idx="8">
                  <c:v>3.5170162889584629</c:v>
                </c:pt>
                <c:pt idx="9">
                  <c:v>3.4349943853848064</c:v>
                </c:pt>
                <c:pt idx="10">
                  <c:v>3.36806181003886</c:v>
                </c:pt>
                <c:pt idx="11">
                  <c:v>3.3716992993793946</c:v>
                </c:pt>
                <c:pt idx="12">
                  <c:v>3.3127214829174654</c:v>
                </c:pt>
                <c:pt idx="13">
                  <c:v>3.2545368752072652</c:v>
                </c:pt>
                <c:pt idx="14">
                  <c:v>3.1969131733611476</c:v>
                </c:pt>
                <c:pt idx="15">
                  <c:v>3.139826275942784</c:v>
                </c:pt>
              </c:numCache>
            </c:numRef>
          </c:val>
        </c:ser>
        <c:ser>
          <c:idx val="6"/>
          <c:order val="3"/>
          <c:tx>
            <c:strRef>
              <c:f>'GGO(SQ) (SQ and Post SPF)'!$B$212</c:f>
              <c:strCache>
                <c:ptCount val="1"/>
                <c:pt idx="0">
                  <c:v>Grants</c:v>
                </c:pt>
              </c:strCache>
            </c:strRef>
          </c:tx>
          <c:cat>
            <c:numRef>
              <c:f>'GGO(SQ) (SQ and Post SPF)'!$C$205:$R$205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SPF)'!$C$212:$R$212</c:f>
              <c:numCache>
                <c:formatCode>#,###,###,###.0</c:formatCode>
                <c:ptCount val="16"/>
                <c:pt idx="0">
                  <c:v>0.45149536409950913</c:v>
                </c:pt>
                <c:pt idx="1">
                  <c:v>0.81055975530271529</c:v>
                </c:pt>
                <c:pt idx="2">
                  <c:v>0.52565526338177626</c:v>
                </c:pt>
                <c:pt idx="3">
                  <c:v>0.63298043551747496</c:v>
                </c:pt>
                <c:pt idx="4">
                  <c:v>0.39315263186140287</c:v>
                </c:pt>
                <c:pt idx="5">
                  <c:v>0.27764966629539017</c:v>
                </c:pt>
                <c:pt idx="6">
                  <c:v>0.20766183811281783</c:v>
                </c:pt>
                <c:pt idx="7">
                  <c:v>0.20350860135056151</c:v>
                </c:pt>
                <c:pt idx="8">
                  <c:v>0.19536825729653901</c:v>
                </c:pt>
                <c:pt idx="9">
                  <c:v>0.18364616185874666</c:v>
                </c:pt>
                <c:pt idx="10">
                  <c:v>0.1689544689100469</c:v>
                </c:pt>
                <c:pt idx="11">
                  <c:v>0.15205902201904223</c:v>
                </c:pt>
                <c:pt idx="12">
                  <c:v>0.13685311981713799</c:v>
                </c:pt>
                <c:pt idx="13">
                  <c:v>0.12316780783542419</c:v>
                </c:pt>
                <c:pt idx="14">
                  <c:v>0.11085102705188178</c:v>
                </c:pt>
                <c:pt idx="15">
                  <c:v>9.9765924346693624E-2</c:v>
                </c:pt>
              </c:numCache>
            </c:numRef>
          </c:val>
        </c:ser>
        <c:axId val="134700416"/>
        <c:axId val="134702208"/>
      </c:areaChart>
      <c:catAx>
        <c:axId val="134700416"/>
        <c:scaling>
          <c:orientation val="minMax"/>
        </c:scaling>
        <c:axPos val="b"/>
        <c:numFmt formatCode="General" sourceLinked="1"/>
        <c:tickLblPos val="nextTo"/>
        <c:txPr>
          <a:bodyPr rot="5400000" vert="horz"/>
          <a:lstStyle/>
          <a:p>
            <a:pPr>
              <a:defRPr lang="en-GB"/>
            </a:pPr>
            <a:endParaRPr lang="en-US"/>
          </a:p>
        </c:txPr>
        <c:crossAx val="134702208"/>
        <c:crosses val="autoZero"/>
        <c:auto val="1"/>
        <c:lblAlgn val="ctr"/>
        <c:lblOffset val="100"/>
      </c:catAx>
      <c:valAx>
        <c:axId val="134702208"/>
        <c:scaling>
          <c:orientation val="minMax"/>
        </c:scaling>
        <c:axPos val="l"/>
        <c:majorGridlines/>
        <c:numFmt formatCode="#,###,###,###.0" sourceLinked="1"/>
        <c:tickLblPos val="nextTo"/>
        <c:txPr>
          <a:bodyPr/>
          <a:lstStyle/>
          <a:p>
            <a:pPr>
              <a:defRPr lang="en-GB"/>
            </a:pPr>
            <a:endParaRPr lang="en-US"/>
          </a:p>
        </c:txPr>
        <c:crossAx val="134700416"/>
        <c:crosses val="autoZero"/>
        <c:crossBetween val="midCat"/>
      </c:valAx>
    </c:plotArea>
    <c:legend>
      <c:legendPos val="r"/>
      <c:layout>
        <c:manualLayout>
          <c:xMode val="edge"/>
          <c:yMode val="edge"/>
          <c:x val="0.79375768780564049"/>
          <c:y val="0.33657024409765418"/>
          <c:w val="0.18877757743692244"/>
          <c:h val="0.3106802253209115"/>
        </c:manualLayout>
      </c:layout>
      <c:txPr>
        <a:bodyPr/>
        <a:lstStyle/>
        <a:p>
          <a:pPr>
            <a:defRPr lang="en-GB"/>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900"/>
            </a:pPr>
            <a:r>
              <a:rPr lang="en-GB" sz="900"/>
              <a:t>IMF:</a:t>
            </a:r>
            <a:r>
              <a:rPr lang="en-GB" sz="900" baseline="0"/>
              <a:t> General government revenue and expenditure (millions Dong) and balance in millions Dong and as percentage of GDP | STATUS QUO </a:t>
            </a:r>
            <a:endParaRPr lang="en-GB" sz="900">
              <a:solidFill>
                <a:srgbClr val="FF0000"/>
              </a:solidFill>
            </a:endParaRPr>
          </a:p>
        </c:rich>
      </c:tx>
      <c:overlay val="1"/>
      <c:spPr>
        <a:noFill/>
        <a:ln w="25400">
          <a:noFill/>
        </a:ln>
      </c:spPr>
    </c:title>
    <c:plotArea>
      <c:layout>
        <c:manualLayout>
          <c:layoutTarget val="inner"/>
          <c:xMode val="edge"/>
          <c:yMode val="edge"/>
          <c:x val="0.16308040770101925"/>
          <c:y val="0.22179274112584421"/>
          <c:w val="0.37372593431483742"/>
          <c:h val="0.58027170643389758"/>
        </c:manualLayout>
      </c:layout>
      <c:lineChart>
        <c:grouping val="standard"/>
        <c:ser>
          <c:idx val="0"/>
          <c:order val="0"/>
          <c:tx>
            <c:strRef>
              <c:f>'[1]GGO(SQ) (SQ and Post SPF)'!$B$38</c:f>
              <c:strCache>
                <c:ptCount val="1"/>
                <c:pt idx="0">
                  <c:v>Total revenue IMF (projections from Article IV)</c:v>
                </c:pt>
              </c:strCache>
            </c:strRef>
          </c:tx>
          <c:marker>
            <c:symbol val="none"/>
          </c:marker>
          <c:cat>
            <c:numRef>
              <c:f>'[1]GGO(SQ)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'[1]GGO(SQ) (SQ and Post SPF)'!$C$38:$R$38</c:f>
              <c:numCache>
                <c:formatCode>General</c:formatCode>
                <c:ptCount val="16"/>
                <c:pt idx="0">
                  <c:v>0</c:v>
                </c:pt>
                <c:pt idx="1">
                  <c:v>279614342</c:v>
                </c:pt>
                <c:pt idx="2">
                  <c:v>328246205</c:v>
                </c:pt>
                <c:pt idx="3">
                  <c:v>430661020</c:v>
                </c:pt>
                <c:pt idx="4">
                  <c:v>442789863</c:v>
                </c:pt>
                <c:pt idx="5">
                  <c:v>525357000</c:v>
                </c:pt>
                <c:pt idx="6">
                  <c:v>618399169.91999996</c:v>
                </c:pt>
                <c:pt idx="7">
                  <c:v>707212158.17651296</c:v>
                </c:pt>
                <c:pt idx="8">
                  <c:v>799931037.82387066</c:v>
                </c:pt>
                <c:pt idx="9">
                  <c:v>907236986.96171618</c:v>
                </c:pt>
                <c:pt idx="10">
                  <c:v>1034646790.5370665</c:v>
                </c:pt>
                <c:pt idx="11">
                  <c:v>1165595622.5713463</c:v>
                </c:pt>
                <c:pt idx="12">
                  <c:v>1313117836.7182224</c:v>
                </c:pt>
                <c:pt idx="13">
                  <c:v>1479311023.2378218</c:v>
                </c:pt>
                <c:pt idx="14">
                  <c:v>1666538251.3896384</c:v>
                </c:pt>
                <c:pt idx="15">
                  <c:v>1877461669.4641721</c:v>
                </c:pt>
              </c:numCache>
            </c:numRef>
          </c:val>
        </c:ser>
        <c:ser>
          <c:idx val="1"/>
          <c:order val="1"/>
          <c:tx>
            <c:strRef>
              <c:f>'[1]GGO(SQ) (SQ and Post SPF)'!$B$74</c:f>
              <c:strCache>
                <c:ptCount val="1"/>
                <c:pt idx="0">
                  <c:v>Total expenditure IMF</c:v>
                </c:pt>
              </c:strCache>
            </c:strRef>
          </c:tx>
          <c:marker>
            <c:symbol val="none"/>
          </c:marker>
          <c:cat>
            <c:numRef>
              <c:f>'[1]GGO(SQ)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'[1]GGO(SQ) (SQ and Post SPF)'!$C$74:$R$74</c:f>
              <c:numCache>
                <c:formatCode>General</c:formatCode>
                <c:ptCount val="16"/>
                <c:pt idx="0">
                  <c:v>266300000</c:v>
                </c:pt>
                <c:pt idx="1">
                  <c:v>283511406</c:v>
                </c:pt>
                <c:pt idx="2">
                  <c:v>349976790</c:v>
                </c:pt>
                <c:pt idx="3">
                  <c:v>442541324</c:v>
                </c:pt>
                <c:pt idx="4">
                  <c:v>590386484</c:v>
                </c:pt>
                <c:pt idx="5">
                  <c:v>640583999.99999988</c:v>
                </c:pt>
                <c:pt idx="6">
                  <c:v>716160803.39999998</c:v>
                </c:pt>
                <c:pt idx="7">
                  <c:v>802711610.19304931</c:v>
                </c:pt>
                <c:pt idx="8">
                  <c:v>905416449.40504038</c:v>
                </c:pt>
                <c:pt idx="9">
                  <c:v>1023549421.1875772</c:v>
                </c:pt>
                <c:pt idx="10">
                  <c:v>1159257535.3827715</c:v>
                </c:pt>
                <c:pt idx="11">
                  <c:v>1295118077.3591888</c:v>
                </c:pt>
                <c:pt idx="12">
                  <c:v>1447020528.972203</c:v>
                </c:pt>
                <c:pt idx="13">
                  <c:v>1616738650.3238144</c:v>
                </c:pt>
                <c:pt idx="14">
                  <c:v>1806360129.1422658</c:v>
                </c:pt>
                <c:pt idx="15">
                  <c:v>2018217029.3485899</c:v>
                </c:pt>
              </c:numCache>
            </c:numRef>
          </c:val>
        </c:ser>
        <c:ser>
          <c:idx val="2"/>
          <c:order val="2"/>
          <c:tx>
            <c:strRef>
              <c:f>'[1]GGO(SQ) (SQ and Post SPF)'!$B$77</c:f>
              <c:strCache>
                <c:ptCount val="1"/>
                <c:pt idx="0">
                  <c:v>General government fiscal balance</c:v>
                </c:pt>
              </c:strCache>
            </c:strRef>
          </c:tx>
          <c:marker>
            <c:symbol val="none"/>
          </c:marker>
          <c:cat>
            <c:numRef>
              <c:f>'[1]GGO(SQ)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'[1]GGO(SQ) (SQ and Post SPF)'!$C$77:$R$77</c:f>
              <c:numCache>
                <c:formatCode>General</c:formatCode>
                <c:ptCount val="16"/>
                <c:pt idx="0">
                  <c:v>-49500000</c:v>
                </c:pt>
                <c:pt idx="1">
                  <c:v>-3897064</c:v>
                </c:pt>
                <c:pt idx="2">
                  <c:v>-21730585</c:v>
                </c:pt>
                <c:pt idx="3">
                  <c:v>-11880304</c:v>
                </c:pt>
                <c:pt idx="4">
                  <c:v>-147596621</c:v>
                </c:pt>
                <c:pt idx="5">
                  <c:v>-115226999.99999988</c:v>
                </c:pt>
                <c:pt idx="6">
                  <c:v>-97761633.480000019</c:v>
                </c:pt>
                <c:pt idx="7">
                  <c:v>-95499452.016536355</c:v>
                </c:pt>
                <c:pt idx="8">
                  <c:v>-105485411.58116972</c:v>
                </c:pt>
                <c:pt idx="9">
                  <c:v>-116312434.22586107</c:v>
                </c:pt>
                <c:pt idx="10">
                  <c:v>-124610744.84570503</c:v>
                </c:pt>
                <c:pt idx="11">
                  <c:v>-129522454.78784251</c:v>
                </c:pt>
                <c:pt idx="12">
                  <c:v>-133902692.25398064</c:v>
                </c:pt>
                <c:pt idx="13">
                  <c:v>-137427627.08599257</c:v>
                </c:pt>
                <c:pt idx="14">
                  <c:v>-139821877.75262737</c:v>
                </c:pt>
                <c:pt idx="15">
                  <c:v>-140755359.88441777</c:v>
                </c:pt>
              </c:numCache>
            </c:numRef>
          </c:val>
        </c:ser>
        <c:marker val="1"/>
        <c:axId val="134820224"/>
        <c:axId val="134821760"/>
      </c:lineChart>
      <c:lineChart>
        <c:grouping val="standard"/>
        <c:ser>
          <c:idx val="3"/>
          <c:order val="3"/>
          <c:tx>
            <c:strRef>
              <c:f>'[1]GGO(SQ) (SQ and Post SPF)'!$B$78</c:f>
              <c:strCache>
                <c:ptCount val="1"/>
                <c:pt idx="0">
                  <c:v>Balance as a percentage of GDP </c:v>
                </c:pt>
              </c:strCache>
            </c:strRef>
          </c:tx>
          <c:spPr>
            <a:ln>
              <a:solidFill>
                <a:srgbClr val="F79646">
                  <a:lumMod val="75000"/>
                </a:srgbClr>
              </a:solidFill>
            </a:ln>
          </c:spPr>
          <c:marker>
            <c:symbol val="none"/>
          </c:marker>
          <c:cat>
            <c:numRef>
              <c:f>'[1]GGO(SQ)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'[1]GGO(SQ) (SQ and Post SPF)'!$C$78:$R$78</c:f>
              <c:numCache>
                <c:formatCode>General</c:formatCode>
                <c:ptCount val="16"/>
                <c:pt idx="0">
                  <c:v>-5.8983974232940222</c:v>
                </c:pt>
                <c:pt idx="1">
                  <c:v>-0.4</c:v>
                </c:pt>
                <c:pt idx="2">
                  <c:v>-1.9</c:v>
                </c:pt>
                <c:pt idx="3">
                  <c:v>-0.8</c:v>
                </c:pt>
                <c:pt idx="4">
                  <c:v>-8.9</c:v>
                </c:pt>
                <c:pt idx="5">
                  <c:v>-5.8999999999999941</c:v>
                </c:pt>
                <c:pt idx="6">
                  <c:v>-4.3000000000000007</c:v>
                </c:pt>
                <c:pt idx="7">
                  <c:v>-3.6999999999999975</c:v>
                </c:pt>
                <c:pt idx="8">
                  <c:v>-3.5999999999999983</c:v>
                </c:pt>
                <c:pt idx="9">
                  <c:v>-3.5000000000000009</c:v>
                </c:pt>
                <c:pt idx="10">
                  <c:v>-3.299999999999998</c:v>
                </c:pt>
                <c:pt idx="11">
                  <c:v>-3.0558753669051941</c:v>
                </c:pt>
                <c:pt idx="12">
                  <c:v>-2.8145696664417712</c:v>
                </c:pt>
                <c:pt idx="13">
                  <c:v>-2.5735278027909212</c:v>
                </c:pt>
                <c:pt idx="14">
                  <c:v>-2.3327170833575366</c:v>
                </c:pt>
                <c:pt idx="15">
                  <c:v>-2.0921075371854148</c:v>
                </c:pt>
              </c:numCache>
            </c:numRef>
          </c:val>
        </c:ser>
        <c:marker val="1"/>
        <c:axId val="134828032"/>
        <c:axId val="134829568"/>
      </c:lineChart>
      <c:catAx>
        <c:axId val="134820224"/>
        <c:scaling>
          <c:orientation val="minMax"/>
        </c:scaling>
        <c:axPos val="b"/>
        <c:numFmt formatCode="General" sourceLinked="1"/>
        <c:tickLblPos val="low"/>
        <c:txPr>
          <a:bodyPr/>
          <a:lstStyle/>
          <a:p>
            <a:pPr>
              <a:defRPr lang="en-GB"/>
            </a:pPr>
            <a:endParaRPr lang="en-US"/>
          </a:p>
        </c:txPr>
        <c:crossAx val="134821760"/>
        <c:crosses val="autoZero"/>
        <c:auto val="1"/>
        <c:lblAlgn val="ctr"/>
        <c:lblOffset val="100"/>
      </c:catAx>
      <c:valAx>
        <c:axId val="134821760"/>
        <c:scaling>
          <c:orientation val="minMax"/>
        </c:scaling>
        <c:axPos val="l"/>
        <c:majorGridlines/>
        <c:title>
          <c:tx>
            <c:rich>
              <a:bodyPr rot="-5400000" vert="horz"/>
              <a:lstStyle/>
              <a:p>
                <a:pPr>
                  <a:defRPr lang="en-GB"/>
                </a:pPr>
                <a:r>
                  <a:rPr lang="en-US"/>
                  <a:t>Millions de VND</a:t>
                </a:r>
              </a:p>
            </c:rich>
          </c:tx>
          <c:spPr>
            <a:noFill/>
            <a:ln w="25400">
              <a:noFill/>
            </a:ln>
          </c:spPr>
        </c:title>
        <c:numFmt formatCode="General" sourceLinked="1"/>
        <c:tickLblPos val="nextTo"/>
        <c:txPr>
          <a:bodyPr/>
          <a:lstStyle/>
          <a:p>
            <a:pPr>
              <a:defRPr lang="en-GB" sz="800"/>
            </a:pPr>
            <a:endParaRPr lang="en-US"/>
          </a:p>
        </c:txPr>
        <c:crossAx val="134820224"/>
        <c:crosses val="autoZero"/>
        <c:crossBetween val="between"/>
      </c:valAx>
      <c:catAx>
        <c:axId val="134828032"/>
        <c:scaling>
          <c:orientation val="minMax"/>
        </c:scaling>
        <c:delete val="1"/>
        <c:axPos val="b"/>
        <c:numFmt formatCode="General" sourceLinked="1"/>
        <c:tickLblPos val="none"/>
        <c:crossAx val="134829568"/>
        <c:crosses val="autoZero"/>
        <c:auto val="1"/>
        <c:lblAlgn val="ctr"/>
        <c:lblOffset val="100"/>
      </c:catAx>
      <c:valAx>
        <c:axId val="134829568"/>
        <c:scaling>
          <c:orientation val="minMax"/>
        </c:scaling>
        <c:axPos val="r"/>
        <c:numFmt formatCode="General" sourceLinked="1"/>
        <c:tickLblPos val="nextTo"/>
        <c:txPr>
          <a:bodyPr/>
          <a:lstStyle/>
          <a:p>
            <a:pPr>
              <a:defRPr lang="en-GB"/>
            </a:pPr>
            <a:endParaRPr lang="en-US"/>
          </a:p>
        </c:txPr>
        <c:crossAx val="134828032"/>
        <c:crosses val="max"/>
        <c:crossBetween val="between"/>
      </c:valAx>
    </c:plotArea>
    <c:legend>
      <c:legendPos val="r"/>
      <c:layout>
        <c:manualLayout>
          <c:xMode val="edge"/>
          <c:yMode val="edge"/>
          <c:x val="0.72027180067950669"/>
          <c:y val="0.21147679967813054"/>
          <c:w val="0.26953567383918481"/>
          <c:h val="0.7427477842353879"/>
        </c:manualLayout>
      </c:layout>
      <c:txPr>
        <a:bodyPr/>
        <a:lstStyle/>
        <a:p>
          <a:pPr>
            <a:defRPr lang="en-GB"/>
          </a:pPr>
          <a:endParaRPr lang="en-US"/>
        </a:p>
      </c:txPr>
    </c:legend>
    <c:plotVisOnly val="1"/>
    <c:dispBlanksAs val="gap"/>
  </c:chart>
  <c:printSettings>
    <c:headerFooter/>
    <c:pageMargins b="0.75000000000000666" l="0.70000000000000062" r="0.70000000000000062" t="0.750000000000006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50"/>
            </a:pPr>
            <a:r>
              <a:rPr lang="en-GB" sz="1050"/>
              <a:t>Total additional costs to</a:t>
            </a:r>
            <a:r>
              <a:rPr lang="en-GB" sz="1050" baseline="0"/>
              <a:t> fill the gaps toward the </a:t>
            </a:r>
            <a:r>
              <a:rPr lang="en-GB" sz="1050"/>
              <a:t> SPF components </a:t>
            </a:r>
          </a:p>
          <a:p>
            <a:pPr>
              <a:defRPr lang="en-GB" sz="1050"/>
            </a:pPr>
            <a:r>
              <a:rPr lang="en-GB" sz="1050"/>
              <a:t>as a percentage of  general</a:t>
            </a:r>
            <a:r>
              <a:rPr lang="en-GB" sz="1050" baseline="0"/>
              <a:t> government expenditure</a:t>
            </a:r>
            <a:endParaRPr lang="en-GB" sz="1050"/>
          </a:p>
        </c:rich>
      </c:tx>
      <c:overlay val="1"/>
      <c:spPr>
        <a:noFill/>
        <a:ln w="25400">
          <a:noFill/>
        </a:ln>
      </c:spPr>
    </c:title>
    <c:plotArea>
      <c:layout>
        <c:manualLayout>
          <c:layoutTarget val="inner"/>
          <c:xMode val="edge"/>
          <c:yMode val="edge"/>
          <c:x val="0.15700628326437452"/>
          <c:y val="0.11853720050441362"/>
          <c:w val="0.52578848348999563"/>
          <c:h val="0.69609079445145061"/>
        </c:manualLayout>
      </c:layout>
      <c:barChart>
        <c:barDir val="col"/>
        <c:grouping val="stacked"/>
        <c:ser>
          <c:idx val="0"/>
          <c:order val="0"/>
          <c:tx>
            <c:strRef>
              <c:f>'GGO(SQ) (SQ and Post SPF)'!$B$439</c:f>
              <c:strCache>
                <c:ptCount val="1"/>
                <c:pt idx="0">
                  <c:v>1a. Old-age  pension for uncovered (65+ as an objective in 2020)</c:v>
                </c:pt>
              </c:strCache>
            </c:strRef>
          </c:tx>
          <c:dLbls>
            <c:spPr>
              <a:noFill/>
              <a:ln w="25400">
                <a:noFill/>
              </a:ln>
            </c:spPr>
            <c:txPr>
              <a:bodyPr rot="-5400000" vert="horz"/>
              <a:lstStyle/>
              <a:p>
                <a:pPr>
                  <a:defRPr lang="en-GB" b="1">
                    <a:solidFill>
                      <a:schemeClr val="accent6">
                        <a:lumMod val="20000"/>
                        <a:lumOff val="80000"/>
                      </a:schemeClr>
                    </a:solidFill>
                  </a:defRPr>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SPF)'!$H$439:$R$439</c:f>
              <c:numCache>
                <c:formatCode>0.00</c:formatCode>
                <c:ptCount val="11"/>
                <c:pt idx="0">
                  <c:v>0</c:v>
                </c:pt>
                <c:pt idx="1">
                  <c:v>0.24109601859784685</c:v>
                </c:pt>
                <c:pt idx="2">
                  <c:v>0.54079789046632243</c:v>
                </c:pt>
                <c:pt idx="3">
                  <c:v>0.69754411056516819</c:v>
                </c:pt>
                <c:pt idx="4">
                  <c:v>0.87667652614225122</c:v>
                </c:pt>
                <c:pt idx="5">
                  <c:v>1.0206757472346473</c:v>
                </c:pt>
                <c:pt idx="6">
                  <c:v>1.2096776296827865</c:v>
                </c:pt>
                <c:pt idx="7">
                  <c:v>1.4075682637250362</c:v>
                </c:pt>
                <c:pt idx="8">
                  <c:v>1.5683937562422177</c:v>
                </c:pt>
                <c:pt idx="9">
                  <c:v>1.8121078388467649</c:v>
                </c:pt>
                <c:pt idx="10">
                  <c:v>1.954036875255877</c:v>
                </c:pt>
              </c:numCache>
            </c:numRef>
          </c:val>
        </c:ser>
        <c:ser>
          <c:idx val="2"/>
          <c:order val="1"/>
          <c:tx>
            <c:strRef>
              <c:f>'GGO(SQ) (SQ and Post SPF)'!$B$440</c:f>
              <c:strCache>
                <c:ptCount val="1"/>
                <c:pt idx="0">
                  <c:v>1b. Old-age universal pension (65+ as an objective in 2020)</c:v>
                </c:pt>
              </c:strCache>
            </c:strRef>
          </c:tx>
          <c:dLbls>
            <c:spPr>
              <a:noFill/>
              <a:ln w="25400">
                <a:noFill/>
              </a:ln>
            </c:spPr>
            <c:txPr>
              <a:bodyPr rot="-5400000" vert="horz"/>
              <a:lstStyle/>
              <a:p>
                <a:pPr>
                  <a:defRPr lang="en-GB"/>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SPF)'!$H$440:$R$440</c:f>
              <c:numCache>
                <c:formatCode>0.00</c:formatCode>
                <c:ptCount val="11"/>
                <c:pt idx="0">
                  <c:v>0</c:v>
                </c:pt>
                <c:pt idx="1">
                  <c:v>0.31132789871871491</c:v>
                </c:pt>
                <c:pt idx="2">
                  <c:v>0.72524281168247784</c:v>
                </c:pt>
                <c:pt idx="3">
                  <c:v>0.91509823826438896</c:v>
                </c:pt>
                <c:pt idx="4">
                  <c:v>1.0912218666103004</c:v>
                </c:pt>
                <c:pt idx="5">
                  <c:v>1.2659825378481531</c:v>
                </c:pt>
                <c:pt idx="6">
                  <c:v>1.49628385944236</c:v>
                </c:pt>
                <c:pt idx="7">
                  <c:v>1.6344720075093091</c:v>
                </c:pt>
                <c:pt idx="8">
                  <c:v>1.8122797950112064</c:v>
                </c:pt>
                <c:pt idx="9">
                  <c:v>2.0695915352798795</c:v>
                </c:pt>
                <c:pt idx="10">
                  <c:v>2.4491624334452364</c:v>
                </c:pt>
              </c:numCache>
            </c:numRef>
          </c:val>
        </c:ser>
        <c:ser>
          <c:idx val="3"/>
          <c:order val="2"/>
          <c:tx>
            <c:strRef>
              <c:f>'GGO(SQ) (SQ and Post SPF)'!$B$443</c:f>
              <c:strCache>
                <c:ptCount val="1"/>
                <c:pt idx="0">
                  <c:v>2c. Child benefit (scenario 2c - targeted cash and kind) - limited to 2 children strict</c:v>
                </c:pt>
              </c:strCache>
            </c:strRef>
          </c:tx>
          <c:dLbls>
            <c:spPr>
              <a:noFill/>
              <a:ln w="25400">
                <a:noFill/>
              </a:ln>
            </c:spPr>
            <c:txPr>
              <a:bodyPr rot="-5400000" vert="horz"/>
              <a:lstStyle/>
              <a:p>
                <a:pPr>
                  <a:defRPr lang="en-GB"/>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SPF)'!$H$443:$R$443</c:f>
              <c:numCache>
                <c:formatCode>0.00</c:formatCode>
                <c:ptCount val="11"/>
                <c:pt idx="0">
                  <c:v>0</c:v>
                </c:pt>
                <c:pt idx="1">
                  <c:v>0.40459528186984506</c:v>
                </c:pt>
                <c:pt idx="2">
                  <c:v>0.80070504126601838</c:v>
                </c:pt>
                <c:pt idx="3">
                  <c:v>0.92360602729055563</c:v>
                </c:pt>
                <c:pt idx="4">
                  <c:v>1.0269523671999292</c:v>
                </c:pt>
                <c:pt idx="5">
                  <c:v>1.2788928857481672</c:v>
                </c:pt>
                <c:pt idx="6">
                  <c:v>1.5072574723518282</c:v>
                </c:pt>
                <c:pt idx="7">
                  <c:v>1.4271152451229658</c:v>
                </c:pt>
                <c:pt idx="8">
                  <c:v>1.3609536250515548</c:v>
                </c:pt>
                <c:pt idx="9">
                  <c:v>1.3034853728424358</c:v>
                </c:pt>
                <c:pt idx="10">
                  <c:v>1.2541624826145834</c:v>
                </c:pt>
              </c:numCache>
            </c:numRef>
          </c:val>
        </c:ser>
        <c:ser>
          <c:idx val="1"/>
          <c:order val="3"/>
          <c:tx>
            <c:strRef>
              <c:f>'GGO(SQ) (SQ and Post SPF)'!$B$444</c:f>
              <c:strCache>
                <c:ptCount val="1"/>
                <c:pt idx="0">
                  <c:v>3. Working-age income security (scenario 1 - high cost )</c:v>
                </c:pt>
              </c:strCache>
            </c:strRef>
          </c:tx>
          <c:spPr>
            <a:solidFill>
              <a:srgbClr val="993300"/>
            </a:solidFill>
            <a:ln w="25400">
              <a:noFill/>
            </a:ln>
          </c:spPr>
          <c:dLbls>
            <c:spPr>
              <a:noFill/>
              <a:ln w="25400">
                <a:noFill/>
              </a:ln>
            </c:spPr>
            <c:txPr>
              <a:bodyPr rot="-5400000" vert="horz"/>
              <a:lstStyle/>
              <a:p>
                <a:pPr algn="ctr">
                  <a:defRPr lang="en-GB" sz="800" b="1" i="0" u="none" strike="noStrike" baseline="0">
                    <a:solidFill>
                      <a:srgbClr val="FFFFFF"/>
                    </a:solidFill>
                    <a:latin typeface="Calibri"/>
                    <a:ea typeface="Calibri"/>
                    <a:cs typeface="Calibri"/>
                  </a:defRPr>
                </a:pPr>
                <a:endParaRPr lang="en-US"/>
              </a:p>
            </c:txPr>
            <c:dLblPos val="ct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SPF)'!$H$444:$R$444</c:f>
              <c:numCache>
                <c:formatCode>0.00</c:formatCode>
                <c:ptCount val="11"/>
                <c:pt idx="0">
                  <c:v>0</c:v>
                </c:pt>
                <c:pt idx="1">
                  <c:v>1.3362963424021006</c:v>
                </c:pt>
                <c:pt idx="2">
                  <c:v>2.7075471423969746</c:v>
                </c:pt>
                <c:pt idx="3">
                  <c:v>3.1706611204166157</c:v>
                </c:pt>
                <c:pt idx="4">
                  <c:v>3.6010668846984872</c:v>
                </c:pt>
                <c:pt idx="5">
                  <c:v>3.4996788509966534</c:v>
                </c:pt>
                <c:pt idx="6">
                  <c:v>3.4339671663446332</c:v>
                </c:pt>
                <c:pt idx="7">
                  <c:v>3.3700258594786061</c:v>
                </c:pt>
                <c:pt idx="8">
                  <c:v>3.3176762917157721</c:v>
                </c:pt>
                <c:pt idx="9">
                  <c:v>3.2688319733325653</c:v>
                </c:pt>
                <c:pt idx="10">
                  <c:v>3.2257408170892203</c:v>
                </c:pt>
              </c:numCache>
            </c:numRef>
          </c:val>
        </c:ser>
        <c:gapWidth val="45"/>
        <c:overlap val="100"/>
        <c:axId val="134874240"/>
        <c:axId val="134875776"/>
      </c:barChart>
      <c:catAx>
        <c:axId val="134874240"/>
        <c:scaling>
          <c:orientation val="minMax"/>
        </c:scaling>
        <c:axPos val="b"/>
        <c:numFmt formatCode="General" sourceLinked="1"/>
        <c:tickLblPos val="nextTo"/>
        <c:txPr>
          <a:bodyPr rot="-5400000" vert="horz"/>
          <a:lstStyle/>
          <a:p>
            <a:pPr>
              <a:defRPr lang="en-GB"/>
            </a:pPr>
            <a:endParaRPr lang="en-US"/>
          </a:p>
        </c:txPr>
        <c:crossAx val="134875776"/>
        <c:crosses val="autoZero"/>
        <c:auto val="1"/>
        <c:lblAlgn val="ctr"/>
        <c:lblOffset val="100"/>
      </c:catAx>
      <c:valAx>
        <c:axId val="134875776"/>
        <c:scaling>
          <c:orientation val="minMax"/>
        </c:scaling>
        <c:axPos val="l"/>
        <c:majorGridlines/>
        <c:title>
          <c:tx>
            <c:rich>
              <a:bodyPr rot="-5400000" vert="horz"/>
              <a:lstStyle/>
              <a:p>
                <a:pPr>
                  <a:defRPr lang="en-GB"/>
                </a:pPr>
                <a:r>
                  <a:rPr lang="en-US"/>
                  <a:t>Total child benefit cost as percentage of General government</a:t>
                </a:r>
                <a:r>
                  <a:rPr lang="en-US" baseline="0"/>
                  <a:t> expenditure</a:t>
                </a:r>
                <a:endParaRPr lang="en-US"/>
              </a:p>
            </c:rich>
          </c:tx>
          <c:layout>
            <c:manualLayout>
              <c:xMode val="edge"/>
              <c:yMode val="edge"/>
              <c:x val="1.5977475542829883E-2"/>
              <c:y val="0.11600413584665582"/>
            </c:manualLayout>
          </c:layout>
          <c:spPr>
            <a:noFill/>
            <a:ln w="25400">
              <a:noFill/>
            </a:ln>
          </c:spPr>
        </c:title>
        <c:numFmt formatCode="0.0" sourceLinked="0"/>
        <c:tickLblPos val="nextTo"/>
        <c:spPr>
          <a:ln>
            <a:noFill/>
          </a:ln>
        </c:spPr>
        <c:txPr>
          <a:bodyPr/>
          <a:lstStyle/>
          <a:p>
            <a:pPr>
              <a:defRPr lang="en-GB"/>
            </a:pPr>
            <a:endParaRPr lang="en-US"/>
          </a:p>
        </c:txPr>
        <c:crossAx val="134874240"/>
        <c:crosses val="autoZero"/>
        <c:crossBetween val="between"/>
      </c:valAx>
    </c:plotArea>
    <c:legend>
      <c:legendPos val="r"/>
      <c:layout>
        <c:manualLayout>
          <c:xMode val="edge"/>
          <c:yMode val="edge"/>
          <c:x val="0.70470262023312136"/>
          <c:y val="0.18663303909205606"/>
          <c:w val="0.25011466054906151"/>
          <c:h val="0.7364438839848676"/>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22" footer="0.4921259845000012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50"/>
            </a:pPr>
            <a:r>
              <a:rPr lang="en-GB" sz="1050"/>
              <a:t>Total additional costs to</a:t>
            </a:r>
            <a:r>
              <a:rPr lang="en-GB" sz="1050" baseline="0"/>
              <a:t> fill the gaps toward the </a:t>
            </a:r>
            <a:r>
              <a:rPr lang="en-GB" sz="1050"/>
              <a:t> SPF components </a:t>
            </a:r>
          </a:p>
          <a:p>
            <a:pPr>
              <a:defRPr lang="en-GB" sz="1050"/>
            </a:pPr>
            <a:r>
              <a:rPr lang="en-GB" sz="1050"/>
              <a:t>as a percentage of GDP</a:t>
            </a:r>
          </a:p>
        </c:rich>
      </c:tx>
      <c:overlay val="1"/>
      <c:spPr>
        <a:noFill/>
        <a:ln w="25400">
          <a:noFill/>
        </a:ln>
      </c:spPr>
    </c:title>
    <c:plotArea>
      <c:layout>
        <c:manualLayout>
          <c:layoutTarget val="inner"/>
          <c:xMode val="edge"/>
          <c:yMode val="edge"/>
          <c:x val="0.14145383104125744"/>
          <c:y val="0.11601513240857519"/>
          <c:w val="0.58153241650294396"/>
          <c:h val="0.69104665825977662"/>
        </c:manualLayout>
      </c:layout>
      <c:barChart>
        <c:barDir val="col"/>
        <c:grouping val="stacked"/>
        <c:ser>
          <c:idx val="2"/>
          <c:order val="0"/>
          <c:tx>
            <c:strRef>
              <c:f>'GGO(SQ) (SQ and Post SPF)'!$B$417</c:f>
              <c:strCache>
                <c:ptCount val="1"/>
                <c:pt idx="0">
                  <c:v>Scenario 2. Old-age universal pension (65+ as an objective in 2020)</c:v>
                </c:pt>
              </c:strCache>
            </c:strRef>
          </c:tx>
          <c:dLbls>
            <c:dLbl>
              <c:idx val="0"/>
              <c:delete val="1"/>
            </c:dLbl>
            <c:spPr>
              <a:noFill/>
              <a:ln w="25400">
                <a:noFill/>
              </a:ln>
            </c:spPr>
            <c:txPr>
              <a:bodyPr rot="-5400000" vert="horz"/>
              <a:lstStyle/>
              <a:p>
                <a:pPr>
                  <a:defRPr lang="en-GB" b="1"/>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SPF)'!$H$417:$R$417</c:f>
              <c:numCache>
                <c:formatCode>0.00</c:formatCode>
                <c:ptCount val="11"/>
                <c:pt idx="0">
                  <c:v>0</c:v>
                </c:pt>
                <c:pt idx="1">
                  <c:v>9.8761085462372805E-2</c:v>
                </c:pt>
                <c:pt idx="2">
                  <c:v>0.23102173281882363</c:v>
                </c:pt>
                <c:pt idx="3">
                  <c:v>0.29001509507730305</c:v>
                </c:pt>
                <c:pt idx="4">
                  <c:v>0.34484086873381609</c:v>
                </c:pt>
                <c:pt idx="5">
                  <c:v>0.3988210229028365</c:v>
                </c:pt>
                <c:pt idx="6">
                  <c:v>0.46914078369009687</c:v>
                </c:pt>
                <c:pt idx="7">
                  <c:v>0.51119079212710039</c:v>
                </c:pt>
                <c:pt idx="8">
                  <c:v>0.56402756459667358</c:v>
                </c:pt>
                <c:pt idx="9">
                  <c:v>0.64109530194321152</c:v>
                </c:pt>
                <c:pt idx="10">
                  <c:v>0.75516828554998416</c:v>
                </c:pt>
              </c:numCache>
            </c:numRef>
          </c:val>
        </c:ser>
        <c:ser>
          <c:idx val="3"/>
          <c:order val="1"/>
          <c:tx>
            <c:strRef>
              <c:f>'GGO(SQ) (SQ and Post SPF)'!$B$420</c:f>
              <c:strCache>
                <c:ptCount val="1"/>
                <c:pt idx="0">
                  <c:v>Scenario 2b. Child benefit (targeted cash and kind) but limited to 2 children)</c:v>
                </c:pt>
              </c:strCache>
            </c:strRef>
          </c:tx>
          <c:dLbls>
            <c:dLbl>
              <c:idx val="0"/>
              <c:delete val="1"/>
            </c:dLbl>
            <c:numFmt formatCode="#,##0.0" sourceLinked="0"/>
            <c:spPr>
              <a:noFill/>
              <a:ln w="25400">
                <a:noFill/>
              </a:ln>
            </c:spPr>
            <c:txPr>
              <a:bodyPr rot="-5400000" vert="horz"/>
              <a:lstStyle/>
              <a:p>
                <a:pPr>
                  <a:defRPr lang="en-GB" b="1"/>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SPF)'!$H$420:$R$420</c:f>
              <c:numCache>
                <c:formatCode>0.00</c:formatCode>
                <c:ptCount val="11"/>
                <c:pt idx="0">
                  <c:v>0</c:v>
                </c:pt>
                <c:pt idx="1">
                  <c:v>0.1283478588808481</c:v>
                </c:pt>
                <c:pt idx="2">
                  <c:v>0.25505977188648149</c:v>
                </c:pt>
                <c:pt idx="3">
                  <c:v>0.29271140367035764</c:v>
                </c:pt>
                <c:pt idx="4">
                  <c:v>0.32453083766872681</c:v>
                </c:pt>
                <c:pt idx="5">
                  <c:v>0.40288815495369956</c:v>
                </c:pt>
                <c:pt idx="6">
                  <c:v>0.47258142052365754</c:v>
                </c:pt>
                <c:pt idx="7">
                  <c:v>0.4463387376837134</c:v>
                </c:pt>
                <c:pt idx="8">
                  <c:v>0.42356338175811098</c:v>
                </c:pt>
                <c:pt idx="9">
                  <c:v>0.40377936149993543</c:v>
                </c:pt>
                <c:pt idx="10">
                  <c:v>0.38670515228541869</c:v>
                </c:pt>
              </c:numCache>
            </c:numRef>
          </c:val>
        </c:ser>
        <c:ser>
          <c:idx val="1"/>
          <c:order val="2"/>
          <c:tx>
            <c:strRef>
              <c:f>'GGO(SQ) (SQ and Post SPF)'!$B$421</c:f>
              <c:strCache>
                <c:ptCount val="1"/>
                <c:pt idx="0">
                  <c:v>3. Working-age income security (scenario 1 - high cost )</c:v>
                </c:pt>
              </c:strCache>
            </c:strRef>
          </c:tx>
          <c:spPr>
            <a:solidFill>
              <a:srgbClr val="993300"/>
            </a:solidFill>
            <a:ln w="25400">
              <a:noFill/>
            </a:ln>
          </c:spPr>
          <c:dLbls>
            <c:dLbl>
              <c:idx val="0"/>
              <c:delete val="1"/>
            </c:dLbl>
            <c:spPr>
              <a:noFill/>
              <a:ln w="25400">
                <a:noFill/>
              </a:ln>
            </c:spPr>
            <c:txPr>
              <a:bodyPr rot="-5400000" vert="horz"/>
              <a:lstStyle/>
              <a:p>
                <a:pPr algn="ctr">
                  <a:defRPr lang="en-GB" sz="1000" b="1" i="0" u="none" strike="noStrike" baseline="0">
                    <a:solidFill>
                      <a:srgbClr val="FFFFFF"/>
                    </a:solidFill>
                    <a:latin typeface="Calibri"/>
                    <a:ea typeface="Calibri"/>
                    <a:cs typeface="Calibri"/>
                  </a:defRPr>
                </a:pPr>
                <a:endParaRPr lang="en-US"/>
              </a:p>
            </c:txPr>
            <c:dLblPos val="ct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SPF)'!$H$421:$R$421</c:f>
              <c:numCache>
                <c:formatCode>0.00</c:formatCode>
                <c:ptCount val="11"/>
                <c:pt idx="0">
                  <c:v>0</c:v>
                </c:pt>
                <c:pt idx="1">
                  <c:v>0.42390700550183824</c:v>
                </c:pt>
                <c:pt idx="2">
                  <c:v>0.86247284695467963</c:v>
                </c:pt>
                <c:pt idx="3">
                  <c:v>1.0048534111917509</c:v>
                </c:pt>
                <c:pt idx="4">
                  <c:v>1.1379858403547509</c:v>
                </c:pt>
                <c:pt idx="5">
                  <c:v>1.1024998034793749</c:v>
                </c:pt>
                <c:pt idx="6">
                  <c:v>1.0766767531565709</c:v>
                </c:pt>
                <c:pt idx="7">
                  <c:v>1.0539955292479177</c:v>
                </c:pt>
                <c:pt idx="8">
                  <c:v>1.0325452416827277</c:v>
                </c:pt>
                <c:pt idx="9">
                  <c:v>1.0125828141550952</c:v>
                </c:pt>
                <c:pt idx="10">
                  <c:v>0.99461641629182718</c:v>
                </c:pt>
              </c:numCache>
            </c:numRef>
          </c:val>
        </c:ser>
        <c:gapWidth val="45"/>
        <c:overlap val="100"/>
        <c:axId val="134932352"/>
        <c:axId val="134933888"/>
      </c:barChart>
      <c:catAx>
        <c:axId val="134932352"/>
        <c:scaling>
          <c:orientation val="minMax"/>
        </c:scaling>
        <c:axPos val="b"/>
        <c:numFmt formatCode="General" sourceLinked="1"/>
        <c:tickLblPos val="nextTo"/>
        <c:txPr>
          <a:bodyPr rot="-5400000" vert="horz"/>
          <a:lstStyle/>
          <a:p>
            <a:pPr>
              <a:defRPr lang="en-GB"/>
            </a:pPr>
            <a:endParaRPr lang="en-US"/>
          </a:p>
        </c:txPr>
        <c:crossAx val="134933888"/>
        <c:crosses val="autoZero"/>
        <c:auto val="1"/>
        <c:lblAlgn val="ctr"/>
        <c:lblOffset val="100"/>
      </c:catAx>
      <c:valAx>
        <c:axId val="134933888"/>
        <c:scaling>
          <c:orientation val="minMax"/>
        </c:scaling>
        <c:axPos val="l"/>
        <c:majorGridlines/>
        <c:title>
          <c:tx>
            <c:rich>
              <a:bodyPr rot="-5400000" vert="horz"/>
              <a:lstStyle/>
              <a:p>
                <a:pPr>
                  <a:defRPr lang="en-GB"/>
                </a:pPr>
                <a:r>
                  <a:rPr lang="en-US"/>
                  <a:t>Total child benefit cost as percentage of GDP</a:t>
                </a:r>
              </a:p>
            </c:rich>
          </c:tx>
          <c:layout>
            <c:manualLayout>
              <c:xMode val="edge"/>
              <c:yMode val="edge"/>
              <c:x val="1.5977523357525523E-2"/>
              <c:y val="0.11600413584665582"/>
            </c:manualLayout>
          </c:layout>
          <c:spPr>
            <a:noFill/>
            <a:ln w="25400">
              <a:noFill/>
            </a:ln>
          </c:spPr>
        </c:title>
        <c:numFmt formatCode="0.0" sourceLinked="0"/>
        <c:tickLblPos val="nextTo"/>
        <c:spPr>
          <a:ln>
            <a:noFill/>
          </a:ln>
        </c:spPr>
        <c:txPr>
          <a:bodyPr/>
          <a:lstStyle/>
          <a:p>
            <a:pPr>
              <a:defRPr lang="en-GB"/>
            </a:pPr>
            <a:endParaRPr lang="en-US"/>
          </a:p>
        </c:txPr>
        <c:crossAx val="134932352"/>
        <c:crosses val="autoZero"/>
        <c:crossBetween val="between"/>
      </c:valAx>
    </c:plotArea>
    <c:legend>
      <c:legendPos val="r"/>
      <c:layout>
        <c:manualLayout>
          <c:xMode val="edge"/>
          <c:yMode val="edge"/>
          <c:x val="0.69155206286836857"/>
          <c:y val="0.17150063051702497"/>
          <c:w val="0.3005893909626744"/>
          <c:h val="0.75662042875158031"/>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22" footer="0.4921259845000012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50"/>
            </a:pPr>
            <a:r>
              <a:rPr lang="en-GB" sz="1050"/>
              <a:t>Total additional costs to</a:t>
            </a:r>
            <a:r>
              <a:rPr lang="en-GB" sz="1050" baseline="0"/>
              <a:t> fill the gaps toward the </a:t>
            </a:r>
            <a:r>
              <a:rPr lang="en-GB" sz="1050"/>
              <a:t> SPF components </a:t>
            </a:r>
          </a:p>
          <a:p>
            <a:pPr>
              <a:defRPr lang="en-GB" sz="1050"/>
            </a:pPr>
            <a:r>
              <a:rPr lang="en-GB" sz="1050"/>
              <a:t>as a percentage of GDP</a:t>
            </a:r>
          </a:p>
        </c:rich>
      </c:tx>
      <c:overlay val="1"/>
      <c:spPr>
        <a:noFill/>
        <a:ln w="25400">
          <a:noFill/>
        </a:ln>
      </c:spPr>
    </c:title>
    <c:plotArea>
      <c:layout>
        <c:manualLayout>
          <c:layoutTarget val="inner"/>
          <c:xMode val="edge"/>
          <c:yMode val="edge"/>
          <c:x val="0.15350306772126313"/>
          <c:y val="0.13874211565306779"/>
          <c:w val="0.56760436669024961"/>
          <c:h val="0.67254652672504045"/>
        </c:manualLayout>
      </c:layout>
      <c:barChart>
        <c:barDir val="col"/>
        <c:grouping val="stacked"/>
        <c:ser>
          <c:idx val="0"/>
          <c:order val="0"/>
          <c:tx>
            <c:strRef>
              <c:f>'GGO(SQ) (SQ and Post SPF)'!$B$416</c:f>
              <c:strCache>
                <c:ptCount val="1"/>
                <c:pt idx="0">
                  <c:v>Scenario 1. Old-age  pension for uncovered (65+ as an objective in 2020)</c:v>
                </c:pt>
              </c:strCache>
            </c:strRef>
          </c:tx>
          <c:dLbls>
            <c:spPr>
              <a:noFill/>
              <a:ln w="25400">
                <a:noFill/>
              </a:ln>
            </c:spPr>
            <c:txPr>
              <a:bodyPr rot="-5400000" vert="horz"/>
              <a:lstStyle/>
              <a:p>
                <a:pPr>
                  <a:defRPr lang="en-GB" b="1">
                    <a:solidFill>
                      <a:schemeClr val="accent6">
                        <a:lumMod val="20000"/>
                        <a:lumOff val="80000"/>
                      </a:schemeClr>
                    </a:solidFill>
                  </a:defRPr>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SPF)'!$H$416:$R$416</c:f>
              <c:numCache>
                <c:formatCode>0.00</c:formatCode>
                <c:ptCount val="11"/>
                <c:pt idx="0">
                  <c:v>0</c:v>
                </c:pt>
                <c:pt idx="1">
                  <c:v>7.6481756358407676E-2</c:v>
                </c:pt>
                <c:pt idx="2">
                  <c:v>0.17226791323923257</c:v>
                </c:pt>
                <c:pt idx="3">
                  <c:v>0.2210673270772075</c:v>
                </c:pt>
                <c:pt idx="4">
                  <c:v>0.27704163939870985</c:v>
                </c:pt>
                <c:pt idx="5">
                  <c:v>0.3215423067810626</c:v>
                </c:pt>
                <c:pt idx="6">
                  <c:v>0.37927904362562759</c:v>
                </c:pt>
                <c:pt idx="7">
                  <c:v>0.44022530358475442</c:v>
                </c:pt>
                <c:pt idx="8">
                  <c:v>0.48812402648701203</c:v>
                </c:pt>
                <c:pt idx="9">
                  <c:v>0.56133483457740418</c:v>
                </c:pt>
                <c:pt idx="10">
                  <c:v>0.60250257673300378</c:v>
                </c:pt>
              </c:numCache>
            </c:numRef>
          </c:val>
        </c:ser>
        <c:ser>
          <c:idx val="3"/>
          <c:order val="1"/>
          <c:tx>
            <c:strRef>
              <c:f>'GGO(SQ) (SQ and Post SPF)'!$B$419</c:f>
              <c:strCache>
                <c:ptCount val="1"/>
                <c:pt idx="0">
                  <c:v>Scenario 2a. Child benefit (targeted for all poor children cash and kind )</c:v>
                </c:pt>
              </c:strCache>
            </c:strRef>
          </c:tx>
          <c:dLbls>
            <c:dLbl>
              <c:idx val="0"/>
              <c:delete val="1"/>
            </c:dLbl>
            <c:numFmt formatCode="#,##0.0" sourceLinked="0"/>
            <c:spPr>
              <a:noFill/>
              <a:ln w="25400">
                <a:noFill/>
              </a:ln>
            </c:spPr>
            <c:txPr>
              <a:bodyPr rot="-5400000" vert="horz"/>
              <a:lstStyle/>
              <a:p>
                <a:pPr>
                  <a:defRPr lang="en-GB" b="1"/>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SPF)'!$H$419:$R$419</c:f>
              <c:numCache>
                <c:formatCode>0.00</c:formatCode>
                <c:ptCount val="11"/>
                <c:pt idx="0">
                  <c:v>0</c:v>
                </c:pt>
                <c:pt idx="1">
                  <c:v>0.23656098230020256</c:v>
                </c:pt>
                <c:pt idx="2">
                  <c:v>0.47317831008327843</c:v>
                </c:pt>
                <c:pt idx="3">
                  <c:v>0.54195122982304422</c:v>
                </c:pt>
                <c:pt idx="4">
                  <c:v>0.59958036507729495</c:v>
                </c:pt>
                <c:pt idx="5">
                  <c:v>0.74269096813190094</c:v>
                </c:pt>
                <c:pt idx="6">
                  <c:v>0.86914323447464259</c:v>
                </c:pt>
                <c:pt idx="7">
                  <c:v>0.8189414057595944</c:v>
                </c:pt>
                <c:pt idx="8">
                  <c:v>0.7752964958610058</c:v>
                </c:pt>
                <c:pt idx="9">
                  <c:v>0.73730811594077217</c:v>
                </c:pt>
                <c:pt idx="10">
                  <c:v>0.70443414467270338</c:v>
                </c:pt>
              </c:numCache>
            </c:numRef>
          </c:val>
        </c:ser>
        <c:ser>
          <c:idx val="1"/>
          <c:order val="2"/>
          <c:tx>
            <c:strRef>
              <c:f>'GGO(SQ) (SQ and Post SPF)'!$B$421</c:f>
              <c:strCache>
                <c:ptCount val="1"/>
                <c:pt idx="0">
                  <c:v>3. Working-age income security (scenario 1 - high cost )</c:v>
                </c:pt>
              </c:strCache>
            </c:strRef>
          </c:tx>
          <c:spPr>
            <a:solidFill>
              <a:srgbClr val="800000"/>
            </a:solidFill>
            <a:ln w="25400">
              <a:noFill/>
            </a:ln>
          </c:spPr>
          <c:dLbls>
            <c:dLbl>
              <c:idx val="0"/>
              <c:delete val="1"/>
            </c:dLbl>
            <c:spPr>
              <a:noFill/>
              <a:ln w="25400">
                <a:noFill/>
              </a:ln>
            </c:spPr>
            <c:txPr>
              <a:bodyPr rot="-5400000" vert="horz"/>
              <a:lstStyle/>
              <a:p>
                <a:pPr algn="ctr">
                  <a:defRPr lang="en-GB" sz="1000" b="1" i="0" u="none" strike="noStrike" baseline="0">
                    <a:solidFill>
                      <a:srgbClr val="FFFFFF"/>
                    </a:solidFill>
                    <a:latin typeface="Calibri"/>
                    <a:ea typeface="Calibri"/>
                    <a:cs typeface="Calibri"/>
                  </a:defRPr>
                </a:pPr>
                <a:endParaRPr lang="en-US"/>
              </a:p>
            </c:txPr>
            <c:dLblPos val="ct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SPF)'!$H$421:$R$421</c:f>
              <c:numCache>
                <c:formatCode>0.00</c:formatCode>
                <c:ptCount val="11"/>
                <c:pt idx="0">
                  <c:v>0</c:v>
                </c:pt>
                <c:pt idx="1">
                  <c:v>0.42390700550183824</c:v>
                </c:pt>
                <c:pt idx="2">
                  <c:v>0.86247284695467963</c:v>
                </c:pt>
                <c:pt idx="3">
                  <c:v>1.0048534111917509</c:v>
                </c:pt>
                <c:pt idx="4">
                  <c:v>1.1379858403547509</c:v>
                </c:pt>
                <c:pt idx="5">
                  <c:v>1.1024998034793749</c:v>
                </c:pt>
                <c:pt idx="6">
                  <c:v>1.0766767531565709</c:v>
                </c:pt>
                <c:pt idx="7">
                  <c:v>1.0539955292479177</c:v>
                </c:pt>
                <c:pt idx="8">
                  <c:v>1.0325452416827277</c:v>
                </c:pt>
                <c:pt idx="9">
                  <c:v>1.0125828141550952</c:v>
                </c:pt>
                <c:pt idx="10">
                  <c:v>0.99461641629182718</c:v>
                </c:pt>
              </c:numCache>
            </c:numRef>
          </c:val>
        </c:ser>
        <c:gapWidth val="45"/>
        <c:overlap val="100"/>
        <c:axId val="134993792"/>
        <c:axId val="134995328"/>
      </c:barChart>
      <c:catAx>
        <c:axId val="134993792"/>
        <c:scaling>
          <c:orientation val="minMax"/>
        </c:scaling>
        <c:axPos val="b"/>
        <c:numFmt formatCode="General" sourceLinked="1"/>
        <c:tickLblPos val="nextTo"/>
        <c:txPr>
          <a:bodyPr rot="-5400000" vert="horz"/>
          <a:lstStyle/>
          <a:p>
            <a:pPr>
              <a:defRPr lang="en-GB"/>
            </a:pPr>
            <a:endParaRPr lang="en-US"/>
          </a:p>
        </c:txPr>
        <c:crossAx val="134995328"/>
        <c:crosses val="autoZero"/>
        <c:auto val="1"/>
        <c:lblAlgn val="ctr"/>
        <c:lblOffset val="100"/>
      </c:catAx>
      <c:valAx>
        <c:axId val="134995328"/>
        <c:scaling>
          <c:orientation val="minMax"/>
        </c:scaling>
        <c:axPos val="l"/>
        <c:majorGridlines/>
        <c:title>
          <c:tx>
            <c:rich>
              <a:bodyPr rot="-5400000" vert="horz"/>
              <a:lstStyle/>
              <a:p>
                <a:pPr>
                  <a:defRPr lang="en-GB"/>
                </a:pPr>
                <a:r>
                  <a:rPr lang="en-US"/>
                  <a:t>Total child benefit cost as percentage of GDP</a:t>
                </a:r>
              </a:p>
            </c:rich>
          </c:tx>
          <c:layout>
            <c:manualLayout>
              <c:xMode val="edge"/>
              <c:yMode val="edge"/>
              <c:x val="1.5977502812148481E-2"/>
              <c:y val="0.11600406081315309"/>
            </c:manualLayout>
          </c:layout>
          <c:spPr>
            <a:noFill/>
            <a:ln w="25400">
              <a:noFill/>
            </a:ln>
          </c:spPr>
        </c:title>
        <c:numFmt formatCode="0.0" sourceLinked="0"/>
        <c:tickLblPos val="nextTo"/>
        <c:spPr>
          <a:ln>
            <a:noFill/>
          </a:ln>
        </c:spPr>
        <c:txPr>
          <a:bodyPr/>
          <a:lstStyle/>
          <a:p>
            <a:pPr>
              <a:defRPr lang="en-GB"/>
            </a:pPr>
            <a:endParaRPr lang="en-US"/>
          </a:p>
        </c:txPr>
        <c:crossAx val="134993792"/>
        <c:crosses val="autoZero"/>
        <c:crossBetween val="between"/>
      </c:valAx>
    </c:plotArea>
    <c:legend>
      <c:legendPos val="r"/>
      <c:layout>
        <c:manualLayout>
          <c:xMode val="edge"/>
          <c:yMode val="edge"/>
          <c:x val="0.64971065872720368"/>
          <c:y val="5.6437470774129292E-2"/>
          <c:w val="0.26952282820826418"/>
          <c:h val="0.69841370082984744"/>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17" footer="0.4921259845000011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50"/>
            </a:pPr>
            <a:r>
              <a:rPr lang="en-GB" sz="1050"/>
              <a:t>Total additional costs to</a:t>
            </a:r>
            <a:r>
              <a:rPr lang="en-GB" sz="1050" baseline="0"/>
              <a:t> fill the gaps toward the </a:t>
            </a:r>
            <a:r>
              <a:rPr lang="en-GB" sz="1050"/>
              <a:t> SPF components </a:t>
            </a:r>
          </a:p>
          <a:p>
            <a:pPr>
              <a:defRPr lang="en-GB" sz="1050"/>
            </a:pPr>
            <a:r>
              <a:rPr lang="en-GB" sz="1050"/>
              <a:t>as a percentage of GDP</a:t>
            </a:r>
          </a:p>
        </c:rich>
      </c:tx>
      <c:overlay val="1"/>
      <c:spPr>
        <a:noFill/>
        <a:ln w="25400">
          <a:noFill/>
        </a:ln>
      </c:spPr>
    </c:title>
    <c:plotArea>
      <c:layout>
        <c:manualLayout>
          <c:layoutTarget val="inner"/>
          <c:xMode val="edge"/>
          <c:yMode val="edge"/>
          <c:x val="0.14939505523408733"/>
          <c:y val="0.15362731152204903"/>
          <c:w val="0.57233035244608332"/>
          <c:h val="0.64295874822190613"/>
        </c:manualLayout>
      </c:layout>
      <c:barChart>
        <c:barDir val="col"/>
        <c:grouping val="stacked"/>
        <c:ser>
          <c:idx val="0"/>
          <c:order val="0"/>
          <c:tx>
            <c:strRef>
              <c:f>'GGO(SQ) (SQ and Post SPF)'!$B$416</c:f>
              <c:strCache>
                <c:ptCount val="1"/>
                <c:pt idx="0">
                  <c:v>Scenario 1. Old-age  pension for uncovered (65+ as an objective in 2020)</c:v>
                </c:pt>
              </c:strCache>
            </c:strRef>
          </c:tx>
          <c:dLbls>
            <c:spPr>
              <a:noFill/>
              <a:ln w="25400">
                <a:noFill/>
              </a:ln>
            </c:spPr>
            <c:txPr>
              <a:bodyPr rot="-5400000" vert="horz"/>
              <a:lstStyle/>
              <a:p>
                <a:pPr>
                  <a:defRPr lang="en-GB" b="1">
                    <a:solidFill>
                      <a:schemeClr val="accent6">
                        <a:lumMod val="20000"/>
                        <a:lumOff val="80000"/>
                      </a:schemeClr>
                    </a:solidFill>
                  </a:defRPr>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SPF)'!$H$416:$R$416</c:f>
              <c:numCache>
                <c:formatCode>0.00</c:formatCode>
                <c:ptCount val="11"/>
                <c:pt idx="0">
                  <c:v>0</c:v>
                </c:pt>
                <c:pt idx="1">
                  <c:v>7.6481756358407676E-2</c:v>
                </c:pt>
                <c:pt idx="2">
                  <c:v>0.17226791323923257</c:v>
                </c:pt>
                <c:pt idx="3">
                  <c:v>0.2210673270772075</c:v>
                </c:pt>
                <c:pt idx="4">
                  <c:v>0.27704163939870985</c:v>
                </c:pt>
                <c:pt idx="5">
                  <c:v>0.3215423067810626</c:v>
                </c:pt>
                <c:pt idx="6">
                  <c:v>0.37927904362562759</c:v>
                </c:pt>
                <c:pt idx="7">
                  <c:v>0.44022530358475442</c:v>
                </c:pt>
                <c:pt idx="8">
                  <c:v>0.48812402648701203</c:v>
                </c:pt>
                <c:pt idx="9">
                  <c:v>0.56133483457740418</c:v>
                </c:pt>
                <c:pt idx="10">
                  <c:v>0.60250257673300378</c:v>
                </c:pt>
              </c:numCache>
            </c:numRef>
          </c:val>
        </c:ser>
        <c:ser>
          <c:idx val="3"/>
          <c:order val="1"/>
          <c:tx>
            <c:strRef>
              <c:f>'GGO(SQ) (SQ and Post SPF)'!$B$420</c:f>
              <c:strCache>
                <c:ptCount val="1"/>
                <c:pt idx="0">
                  <c:v>Scenario 2b. Child benefit (targeted cash and kind) but limited to 2 children)</c:v>
                </c:pt>
              </c:strCache>
            </c:strRef>
          </c:tx>
          <c:dLbls>
            <c:dLbl>
              <c:idx val="0"/>
              <c:delete val="1"/>
            </c:dLbl>
            <c:numFmt formatCode="#,##0.0" sourceLinked="0"/>
            <c:spPr>
              <a:noFill/>
              <a:ln w="25400">
                <a:noFill/>
              </a:ln>
            </c:spPr>
            <c:txPr>
              <a:bodyPr rot="-5400000" vert="horz"/>
              <a:lstStyle/>
              <a:p>
                <a:pPr>
                  <a:defRPr lang="en-GB" b="1"/>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SPF)'!$H$420:$R$420</c:f>
              <c:numCache>
                <c:formatCode>0.00</c:formatCode>
                <c:ptCount val="11"/>
                <c:pt idx="0">
                  <c:v>0</c:v>
                </c:pt>
                <c:pt idx="1">
                  <c:v>0.1283478588808481</c:v>
                </c:pt>
                <c:pt idx="2">
                  <c:v>0.25505977188648149</c:v>
                </c:pt>
                <c:pt idx="3">
                  <c:v>0.29271140367035764</c:v>
                </c:pt>
                <c:pt idx="4">
                  <c:v>0.32453083766872681</c:v>
                </c:pt>
                <c:pt idx="5">
                  <c:v>0.40288815495369956</c:v>
                </c:pt>
                <c:pt idx="6">
                  <c:v>0.47258142052365754</c:v>
                </c:pt>
                <c:pt idx="7">
                  <c:v>0.4463387376837134</c:v>
                </c:pt>
                <c:pt idx="8">
                  <c:v>0.42356338175811098</c:v>
                </c:pt>
                <c:pt idx="9">
                  <c:v>0.40377936149993543</c:v>
                </c:pt>
                <c:pt idx="10">
                  <c:v>0.38670515228541869</c:v>
                </c:pt>
              </c:numCache>
            </c:numRef>
          </c:val>
        </c:ser>
        <c:ser>
          <c:idx val="1"/>
          <c:order val="2"/>
          <c:tx>
            <c:strRef>
              <c:f>'GGO(SQ) (SQ and Post SPF)'!$B$421</c:f>
              <c:strCache>
                <c:ptCount val="1"/>
                <c:pt idx="0">
                  <c:v>3. Working-age income security (scenario 1 - high cost )</c:v>
                </c:pt>
              </c:strCache>
            </c:strRef>
          </c:tx>
          <c:spPr>
            <a:solidFill>
              <a:srgbClr val="993300"/>
            </a:solidFill>
            <a:ln w="25400">
              <a:noFill/>
            </a:ln>
          </c:spPr>
          <c:dLbls>
            <c:dLbl>
              <c:idx val="0"/>
              <c:delete val="1"/>
            </c:dLbl>
            <c:spPr>
              <a:noFill/>
              <a:ln w="25400">
                <a:noFill/>
              </a:ln>
            </c:spPr>
            <c:txPr>
              <a:bodyPr rot="-5400000" vert="horz"/>
              <a:lstStyle/>
              <a:p>
                <a:pPr algn="ctr">
                  <a:defRPr lang="en-GB" sz="1000" b="1" i="0" u="none" strike="noStrike" baseline="0">
                    <a:solidFill>
                      <a:srgbClr val="FFFFFF"/>
                    </a:solidFill>
                    <a:latin typeface="Calibri"/>
                    <a:ea typeface="Calibri"/>
                    <a:cs typeface="Calibri"/>
                  </a:defRPr>
                </a:pPr>
                <a:endParaRPr lang="en-US"/>
              </a:p>
            </c:txPr>
            <c:dLblPos val="ct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SPF)'!$H$421:$R$421</c:f>
              <c:numCache>
                <c:formatCode>0.00</c:formatCode>
                <c:ptCount val="11"/>
                <c:pt idx="0">
                  <c:v>0</c:v>
                </c:pt>
                <c:pt idx="1">
                  <c:v>0.42390700550183824</c:v>
                </c:pt>
                <c:pt idx="2">
                  <c:v>0.86247284695467963</c:v>
                </c:pt>
                <c:pt idx="3">
                  <c:v>1.0048534111917509</c:v>
                </c:pt>
                <c:pt idx="4">
                  <c:v>1.1379858403547509</c:v>
                </c:pt>
                <c:pt idx="5">
                  <c:v>1.1024998034793749</c:v>
                </c:pt>
                <c:pt idx="6">
                  <c:v>1.0766767531565709</c:v>
                </c:pt>
                <c:pt idx="7">
                  <c:v>1.0539955292479177</c:v>
                </c:pt>
                <c:pt idx="8">
                  <c:v>1.0325452416827277</c:v>
                </c:pt>
                <c:pt idx="9">
                  <c:v>1.0125828141550952</c:v>
                </c:pt>
                <c:pt idx="10">
                  <c:v>0.99461641629182718</c:v>
                </c:pt>
              </c:numCache>
            </c:numRef>
          </c:val>
        </c:ser>
        <c:gapWidth val="45"/>
        <c:overlap val="100"/>
        <c:axId val="135047424"/>
        <c:axId val="135077888"/>
      </c:barChart>
      <c:catAx>
        <c:axId val="135047424"/>
        <c:scaling>
          <c:orientation val="minMax"/>
        </c:scaling>
        <c:axPos val="b"/>
        <c:numFmt formatCode="General" sourceLinked="1"/>
        <c:tickLblPos val="nextTo"/>
        <c:txPr>
          <a:bodyPr rot="-5400000" vert="horz"/>
          <a:lstStyle/>
          <a:p>
            <a:pPr>
              <a:defRPr lang="en-GB"/>
            </a:pPr>
            <a:endParaRPr lang="en-US"/>
          </a:p>
        </c:txPr>
        <c:crossAx val="135077888"/>
        <c:crosses val="autoZero"/>
        <c:auto val="1"/>
        <c:lblAlgn val="ctr"/>
        <c:lblOffset val="100"/>
      </c:catAx>
      <c:valAx>
        <c:axId val="135077888"/>
        <c:scaling>
          <c:orientation val="minMax"/>
        </c:scaling>
        <c:axPos val="l"/>
        <c:majorGridlines/>
        <c:title>
          <c:tx>
            <c:rich>
              <a:bodyPr rot="-5400000" vert="horz"/>
              <a:lstStyle/>
              <a:p>
                <a:pPr>
                  <a:defRPr lang="en-GB"/>
                </a:pPr>
                <a:r>
                  <a:rPr lang="en-US"/>
                  <a:t>Total child benefit cost as percentage of GDP</a:t>
                </a:r>
              </a:p>
            </c:rich>
          </c:tx>
          <c:layout>
            <c:manualLayout>
              <c:xMode val="edge"/>
              <c:yMode val="edge"/>
              <c:x val="1.5977593995719089E-2"/>
              <c:y val="0.11600391831362959"/>
            </c:manualLayout>
          </c:layout>
          <c:spPr>
            <a:noFill/>
            <a:ln w="25400">
              <a:noFill/>
            </a:ln>
          </c:spPr>
        </c:title>
        <c:numFmt formatCode="0.0" sourceLinked="0"/>
        <c:tickLblPos val="nextTo"/>
        <c:spPr>
          <a:ln>
            <a:noFill/>
          </a:ln>
        </c:spPr>
        <c:txPr>
          <a:bodyPr/>
          <a:lstStyle/>
          <a:p>
            <a:pPr>
              <a:defRPr lang="en-GB"/>
            </a:pPr>
            <a:endParaRPr lang="en-US"/>
          </a:p>
        </c:txPr>
        <c:crossAx val="135047424"/>
        <c:crosses val="autoZero"/>
        <c:crossBetween val="between"/>
      </c:valAx>
    </c:plotArea>
    <c:legend>
      <c:legendPos val="r"/>
      <c:layout>
        <c:manualLayout>
          <c:xMode val="edge"/>
          <c:yMode val="edge"/>
          <c:x val="0.6291425565491896"/>
          <c:y val="8.5348506401137933E-2"/>
          <c:w val="0.32193582325092202"/>
          <c:h val="0.8534850640113798"/>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17" footer="0.4921259845000011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50"/>
            </a:pPr>
            <a:r>
              <a:rPr lang="en-GB" sz="1050"/>
              <a:t>Total additional costs to</a:t>
            </a:r>
            <a:r>
              <a:rPr lang="en-GB" sz="1050" baseline="0"/>
              <a:t> fill the gaps toward the </a:t>
            </a:r>
            <a:r>
              <a:rPr lang="en-GB" sz="1050"/>
              <a:t> SPF components </a:t>
            </a:r>
          </a:p>
          <a:p>
            <a:pPr>
              <a:defRPr lang="en-GB" sz="1050"/>
            </a:pPr>
            <a:r>
              <a:rPr lang="en-GB" sz="1050"/>
              <a:t>as a percentage of  general</a:t>
            </a:r>
            <a:r>
              <a:rPr lang="en-GB" sz="1050" baseline="0"/>
              <a:t> government expenditure</a:t>
            </a:r>
            <a:endParaRPr lang="en-GB" sz="1050"/>
          </a:p>
        </c:rich>
      </c:tx>
      <c:layout/>
      <c:overlay val="1"/>
      <c:spPr>
        <a:noFill/>
        <a:ln w="25400">
          <a:noFill/>
        </a:ln>
      </c:spPr>
    </c:title>
    <c:plotArea>
      <c:layout>
        <c:manualLayout>
          <c:layoutTarget val="inner"/>
          <c:xMode val="edge"/>
          <c:yMode val="edge"/>
          <c:x val="0.1505378140390812"/>
          <c:y val="0.12694125590817021"/>
          <c:w val="0.57087067142093162"/>
          <c:h val="0.6806212018906147"/>
        </c:manualLayout>
      </c:layout>
      <c:barChart>
        <c:barDir val="col"/>
        <c:grouping val="stacked"/>
        <c:ser>
          <c:idx val="0"/>
          <c:order val="0"/>
          <c:tx>
            <c:strRef>
              <c:f>'GGO(SQ) (SQ and Post SPF)'!$B$439</c:f>
              <c:strCache>
                <c:ptCount val="1"/>
                <c:pt idx="0">
                  <c:v>1a. Old-age  pension for uncovered (65+ as an objective in 2020)</c:v>
                </c:pt>
              </c:strCache>
            </c:strRef>
          </c:tx>
          <c:dLbls>
            <c:spPr>
              <a:noFill/>
              <a:ln w="25400">
                <a:noFill/>
              </a:ln>
            </c:spPr>
            <c:txPr>
              <a:bodyPr rot="-5400000" vert="horz"/>
              <a:lstStyle/>
              <a:p>
                <a:pPr>
                  <a:defRPr lang="en-GB" b="1">
                    <a:solidFill>
                      <a:schemeClr val="accent6">
                        <a:lumMod val="20000"/>
                        <a:lumOff val="80000"/>
                      </a:schemeClr>
                    </a:solidFill>
                  </a:defRPr>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SPF)'!$H$439:$R$439</c:f>
              <c:numCache>
                <c:formatCode>0.00</c:formatCode>
                <c:ptCount val="11"/>
                <c:pt idx="0">
                  <c:v>0</c:v>
                </c:pt>
                <c:pt idx="1">
                  <c:v>0.24109601859784685</c:v>
                </c:pt>
                <c:pt idx="2">
                  <c:v>0.54079789046632243</c:v>
                </c:pt>
                <c:pt idx="3">
                  <c:v>0.69754411056516819</c:v>
                </c:pt>
                <c:pt idx="4">
                  <c:v>0.87667652614225122</c:v>
                </c:pt>
                <c:pt idx="5">
                  <c:v>1.0206757472346473</c:v>
                </c:pt>
                <c:pt idx="6">
                  <c:v>1.2096776296827865</c:v>
                </c:pt>
                <c:pt idx="7">
                  <c:v>1.4075682637250362</c:v>
                </c:pt>
                <c:pt idx="8">
                  <c:v>1.5683937562422177</c:v>
                </c:pt>
                <c:pt idx="9">
                  <c:v>1.8121078388467649</c:v>
                </c:pt>
                <c:pt idx="10">
                  <c:v>1.954036875255877</c:v>
                </c:pt>
              </c:numCache>
            </c:numRef>
          </c:val>
        </c:ser>
        <c:ser>
          <c:idx val="3"/>
          <c:order val="1"/>
          <c:tx>
            <c:strRef>
              <c:f>'GGO(SQ) (SQ and Post SPF)'!$B$442</c:f>
              <c:strCache>
                <c:ptCount val="1"/>
                <c:pt idx="0">
                  <c:v>2.b Child benefit (scenario 2b- targeted for all poor children cash and kind )</c:v>
                </c:pt>
              </c:strCache>
            </c:strRef>
          </c:tx>
          <c:dLbls>
            <c:spPr>
              <a:noFill/>
              <a:ln w="25400">
                <a:noFill/>
              </a:ln>
            </c:spPr>
            <c:txPr>
              <a:bodyPr rot="-5400000" vert="horz"/>
              <a:lstStyle/>
              <a:p>
                <a:pPr>
                  <a:defRPr lang="en-GB"/>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SPF)'!$H$442:$R$442</c:f>
              <c:numCache>
                <c:formatCode>0.00</c:formatCode>
                <c:ptCount val="11"/>
                <c:pt idx="0">
                  <c:v>0</c:v>
                </c:pt>
                <c:pt idx="1">
                  <c:v>0.74571915844744829</c:v>
                </c:pt>
                <c:pt idx="2">
                  <c:v>1.4854410615173035</c:v>
                </c:pt>
                <c:pt idx="3">
                  <c:v>1.7100441461645128</c:v>
                </c:pt>
                <c:pt idx="4">
                  <c:v>1.8973250112867821</c:v>
                </c:pt>
                <c:pt idx="5">
                  <c:v>2.3575331857608517</c:v>
                </c:pt>
                <c:pt idx="6">
                  <c:v>2.7720569997320954</c:v>
                </c:pt>
                <c:pt idx="7">
                  <c:v>2.618468141678834</c:v>
                </c:pt>
                <c:pt idx="8">
                  <c:v>2.4911090570486931</c:v>
                </c:pt>
                <c:pt idx="9">
                  <c:v>2.3801868942401723</c:v>
                </c:pt>
                <c:pt idx="10">
                  <c:v>2.2846214241002007</c:v>
                </c:pt>
              </c:numCache>
            </c:numRef>
          </c:val>
        </c:ser>
        <c:ser>
          <c:idx val="1"/>
          <c:order val="2"/>
          <c:tx>
            <c:strRef>
              <c:f>'GGO(SQ) (SQ and Post SPF)'!$B$444</c:f>
              <c:strCache>
                <c:ptCount val="1"/>
                <c:pt idx="0">
                  <c:v>3. Working-age income security (scenario 1 - high cost )</c:v>
                </c:pt>
              </c:strCache>
            </c:strRef>
          </c:tx>
          <c:spPr>
            <a:solidFill>
              <a:srgbClr val="800000"/>
            </a:solidFill>
            <a:ln w="25400">
              <a:noFill/>
            </a:ln>
          </c:spPr>
          <c:dLbls>
            <c:spPr>
              <a:noFill/>
              <a:ln w="25400">
                <a:noFill/>
              </a:ln>
            </c:spPr>
            <c:txPr>
              <a:bodyPr rot="-5400000" vert="horz"/>
              <a:lstStyle/>
              <a:p>
                <a:pPr algn="ctr">
                  <a:defRPr lang="en-GB" sz="800" b="1" i="0" u="none" strike="noStrike" baseline="0">
                    <a:solidFill>
                      <a:srgbClr val="FFFFFF"/>
                    </a:solidFill>
                    <a:latin typeface="Calibri"/>
                    <a:ea typeface="Calibri"/>
                    <a:cs typeface="Calibri"/>
                  </a:defRPr>
                </a:pPr>
                <a:endParaRPr lang="en-US"/>
              </a:p>
            </c:txPr>
            <c:dLblPos val="ct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SPF)'!$H$444:$R$444</c:f>
              <c:numCache>
                <c:formatCode>0.00</c:formatCode>
                <c:ptCount val="11"/>
                <c:pt idx="0">
                  <c:v>0</c:v>
                </c:pt>
                <c:pt idx="1">
                  <c:v>1.3362963424021006</c:v>
                </c:pt>
                <c:pt idx="2">
                  <c:v>2.7075471423969746</c:v>
                </c:pt>
                <c:pt idx="3">
                  <c:v>3.1706611204166157</c:v>
                </c:pt>
                <c:pt idx="4">
                  <c:v>3.6010668846984872</c:v>
                </c:pt>
                <c:pt idx="5">
                  <c:v>3.4996788509966534</c:v>
                </c:pt>
                <c:pt idx="6">
                  <c:v>3.4339671663446332</c:v>
                </c:pt>
                <c:pt idx="7">
                  <c:v>3.3700258594786061</c:v>
                </c:pt>
                <c:pt idx="8">
                  <c:v>3.3176762917157721</c:v>
                </c:pt>
                <c:pt idx="9">
                  <c:v>3.2688319733325653</c:v>
                </c:pt>
                <c:pt idx="10">
                  <c:v>3.2257408170892203</c:v>
                </c:pt>
              </c:numCache>
            </c:numRef>
          </c:val>
        </c:ser>
        <c:gapWidth val="45"/>
        <c:overlap val="100"/>
        <c:axId val="135113344"/>
        <c:axId val="135119232"/>
      </c:barChart>
      <c:catAx>
        <c:axId val="135113344"/>
        <c:scaling>
          <c:orientation val="minMax"/>
        </c:scaling>
        <c:axPos val="b"/>
        <c:numFmt formatCode="General" sourceLinked="1"/>
        <c:tickLblPos val="nextTo"/>
        <c:txPr>
          <a:bodyPr rot="-5400000" vert="horz"/>
          <a:lstStyle/>
          <a:p>
            <a:pPr>
              <a:defRPr lang="en-GB"/>
            </a:pPr>
            <a:endParaRPr lang="en-US"/>
          </a:p>
        </c:txPr>
        <c:crossAx val="135119232"/>
        <c:crosses val="autoZero"/>
        <c:auto val="1"/>
        <c:lblAlgn val="ctr"/>
        <c:lblOffset val="100"/>
      </c:catAx>
      <c:valAx>
        <c:axId val="135119232"/>
        <c:scaling>
          <c:orientation val="minMax"/>
        </c:scaling>
        <c:axPos val="l"/>
        <c:majorGridlines/>
        <c:title>
          <c:tx>
            <c:rich>
              <a:bodyPr rot="-5400000" vert="horz"/>
              <a:lstStyle/>
              <a:p>
                <a:pPr>
                  <a:defRPr lang="en-GB"/>
                </a:pPr>
                <a:r>
                  <a:rPr lang="en-US"/>
                  <a:t>Total child benefit cost as percentage of General government</a:t>
                </a:r>
                <a:r>
                  <a:rPr lang="en-US" baseline="0"/>
                  <a:t> expenditure</a:t>
                </a:r>
                <a:endParaRPr lang="en-US"/>
              </a:p>
            </c:rich>
          </c:tx>
          <c:layout>
            <c:manualLayout>
              <c:xMode val="edge"/>
              <c:yMode val="edge"/>
              <c:x val="1.5977523357525523E-2"/>
              <c:y val="0.11600417071153828"/>
            </c:manualLayout>
          </c:layout>
          <c:spPr>
            <a:noFill/>
            <a:ln w="25400">
              <a:noFill/>
            </a:ln>
          </c:spPr>
        </c:title>
        <c:numFmt formatCode="0.0" sourceLinked="0"/>
        <c:tickLblPos val="nextTo"/>
        <c:spPr>
          <a:ln>
            <a:noFill/>
          </a:ln>
        </c:spPr>
        <c:txPr>
          <a:bodyPr/>
          <a:lstStyle/>
          <a:p>
            <a:pPr>
              <a:defRPr lang="en-GB"/>
            </a:pPr>
            <a:endParaRPr lang="en-US"/>
          </a:p>
        </c:txPr>
        <c:crossAx val="135113344"/>
        <c:crosses val="autoZero"/>
        <c:crossBetween val="between"/>
      </c:valAx>
    </c:plotArea>
    <c:legend>
      <c:legendPos val="r"/>
      <c:layout>
        <c:manualLayout>
          <c:xMode val="edge"/>
          <c:yMode val="edge"/>
          <c:x val="0.71554337582212557"/>
          <c:y val="0.16475354490209321"/>
          <c:w val="0.26392993370488455"/>
          <c:h val="0.77785280216070563"/>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17" footer="0.4921259845000011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50"/>
            </a:pPr>
            <a:r>
              <a:rPr lang="en-GB" sz="1050"/>
              <a:t>Total additional costs to</a:t>
            </a:r>
            <a:r>
              <a:rPr lang="en-GB" sz="1050" baseline="0"/>
              <a:t> fill the gaps toward the </a:t>
            </a:r>
            <a:r>
              <a:rPr lang="en-GB" sz="1050"/>
              <a:t> SPF components </a:t>
            </a:r>
          </a:p>
          <a:p>
            <a:pPr>
              <a:defRPr lang="en-GB" sz="1050"/>
            </a:pPr>
            <a:r>
              <a:rPr lang="en-GB" sz="1050"/>
              <a:t>as a percentage of  general</a:t>
            </a:r>
            <a:r>
              <a:rPr lang="en-GB" sz="1050" baseline="0"/>
              <a:t> government expenditure</a:t>
            </a:r>
            <a:endParaRPr lang="en-GB" sz="1050"/>
          </a:p>
        </c:rich>
      </c:tx>
      <c:overlay val="1"/>
      <c:spPr>
        <a:noFill/>
        <a:ln w="25400">
          <a:noFill/>
        </a:ln>
      </c:spPr>
    </c:title>
    <c:plotArea>
      <c:layout>
        <c:manualLayout>
          <c:layoutTarget val="inner"/>
          <c:xMode val="edge"/>
          <c:yMode val="edge"/>
          <c:x val="0.15991902834008173"/>
          <c:y val="0.18105849582172825"/>
          <c:w val="0.52429149797570862"/>
          <c:h val="0.62395543175487922"/>
        </c:manualLayout>
      </c:layout>
      <c:barChart>
        <c:barDir val="col"/>
        <c:grouping val="stacked"/>
        <c:ser>
          <c:idx val="0"/>
          <c:order val="0"/>
          <c:tx>
            <c:strRef>
              <c:f>'GGO(SQ) (SQ and Post SPF)'!$B$439</c:f>
              <c:strCache>
                <c:ptCount val="1"/>
                <c:pt idx="0">
                  <c:v>1a. Old-age  pension for uncovered (65+ as an objective in 2020)</c:v>
                </c:pt>
              </c:strCache>
            </c:strRef>
          </c:tx>
          <c:dLbls>
            <c:spPr>
              <a:noFill/>
              <a:ln w="25400">
                <a:noFill/>
              </a:ln>
            </c:spPr>
            <c:txPr>
              <a:bodyPr rot="-5400000" vert="horz"/>
              <a:lstStyle/>
              <a:p>
                <a:pPr>
                  <a:defRPr lang="en-GB" b="1">
                    <a:solidFill>
                      <a:schemeClr val="accent6">
                        <a:lumMod val="20000"/>
                        <a:lumOff val="80000"/>
                      </a:schemeClr>
                    </a:solidFill>
                  </a:defRPr>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SPF)'!$H$439:$R$439</c:f>
              <c:numCache>
                <c:formatCode>0.00</c:formatCode>
                <c:ptCount val="11"/>
                <c:pt idx="0">
                  <c:v>0</c:v>
                </c:pt>
                <c:pt idx="1">
                  <c:v>0.24109601859784685</c:v>
                </c:pt>
                <c:pt idx="2">
                  <c:v>0.54079789046632243</c:v>
                </c:pt>
                <c:pt idx="3">
                  <c:v>0.69754411056516819</c:v>
                </c:pt>
                <c:pt idx="4">
                  <c:v>0.87667652614225122</c:v>
                </c:pt>
                <c:pt idx="5">
                  <c:v>1.0206757472346473</c:v>
                </c:pt>
                <c:pt idx="6">
                  <c:v>1.2096776296827865</c:v>
                </c:pt>
                <c:pt idx="7">
                  <c:v>1.4075682637250362</c:v>
                </c:pt>
                <c:pt idx="8">
                  <c:v>1.5683937562422177</c:v>
                </c:pt>
                <c:pt idx="9">
                  <c:v>1.8121078388467649</c:v>
                </c:pt>
                <c:pt idx="10">
                  <c:v>1.954036875255877</c:v>
                </c:pt>
              </c:numCache>
            </c:numRef>
          </c:val>
        </c:ser>
        <c:ser>
          <c:idx val="3"/>
          <c:order val="1"/>
          <c:tx>
            <c:strRef>
              <c:f>'GGO(SQ) (SQ and Post SPF)'!$B$443</c:f>
              <c:strCache>
                <c:ptCount val="1"/>
                <c:pt idx="0">
                  <c:v>2c. Child benefit (scenario 2c - targeted cash and kind) - limited to 2 children strict</c:v>
                </c:pt>
              </c:strCache>
            </c:strRef>
          </c:tx>
          <c:dLbls>
            <c:spPr>
              <a:noFill/>
              <a:ln w="25400">
                <a:noFill/>
              </a:ln>
            </c:spPr>
            <c:txPr>
              <a:bodyPr rot="-5400000" vert="horz"/>
              <a:lstStyle/>
              <a:p>
                <a:pPr>
                  <a:defRPr lang="en-GB"/>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SPF)'!$H$443:$R$443</c:f>
              <c:numCache>
                <c:formatCode>0.00</c:formatCode>
                <c:ptCount val="11"/>
                <c:pt idx="0">
                  <c:v>0</c:v>
                </c:pt>
                <c:pt idx="1">
                  <c:v>0.40459528186984506</c:v>
                </c:pt>
                <c:pt idx="2">
                  <c:v>0.80070504126601838</c:v>
                </c:pt>
                <c:pt idx="3">
                  <c:v>0.92360602729055563</c:v>
                </c:pt>
                <c:pt idx="4">
                  <c:v>1.0269523671999292</c:v>
                </c:pt>
                <c:pt idx="5">
                  <c:v>1.2788928857481672</c:v>
                </c:pt>
                <c:pt idx="6">
                  <c:v>1.5072574723518282</c:v>
                </c:pt>
                <c:pt idx="7">
                  <c:v>1.4271152451229658</c:v>
                </c:pt>
                <c:pt idx="8">
                  <c:v>1.3609536250515548</c:v>
                </c:pt>
                <c:pt idx="9">
                  <c:v>1.3034853728424358</c:v>
                </c:pt>
                <c:pt idx="10">
                  <c:v>1.2541624826145834</c:v>
                </c:pt>
              </c:numCache>
            </c:numRef>
          </c:val>
        </c:ser>
        <c:ser>
          <c:idx val="1"/>
          <c:order val="2"/>
          <c:tx>
            <c:strRef>
              <c:f>'GGO(SQ) (SQ and Post SPF)'!$B$444</c:f>
              <c:strCache>
                <c:ptCount val="1"/>
                <c:pt idx="0">
                  <c:v>3. Working-age income security (scenario 1 - high cost )</c:v>
                </c:pt>
              </c:strCache>
            </c:strRef>
          </c:tx>
          <c:spPr>
            <a:solidFill>
              <a:srgbClr val="800000"/>
            </a:solidFill>
            <a:ln w="25400">
              <a:noFill/>
            </a:ln>
          </c:spPr>
          <c:dLbls>
            <c:spPr>
              <a:noFill/>
              <a:ln w="25400">
                <a:noFill/>
              </a:ln>
            </c:spPr>
            <c:txPr>
              <a:bodyPr rot="-5400000" vert="horz"/>
              <a:lstStyle/>
              <a:p>
                <a:pPr algn="ctr">
                  <a:defRPr lang="en-GB" sz="800" b="1" i="0" u="none" strike="noStrike" baseline="0">
                    <a:solidFill>
                      <a:srgbClr val="FFFFFF"/>
                    </a:solidFill>
                    <a:latin typeface="Calibri"/>
                    <a:ea typeface="Calibri"/>
                    <a:cs typeface="Calibri"/>
                  </a:defRPr>
                </a:pPr>
                <a:endParaRPr lang="en-US"/>
              </a:p>
            </c:txPr>
            <c:dLblPos val="ct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SPF)'!$H$444:$R$444</c:f>
              <c:numCache>
                <c:formatCode>0.00</c:formatCode>
                <c:ptCount val="11"/>
                <c:pt idx="0">
                  <c:v>0</c:v>
                </c:pt>
                <c:pt idx="1">
                  <c:v>1.3362963424021006</c:v>
                </c:pt>
                <c:pt idx="2">
                  <c:v>2.7075471423969746</c:v>
                </c:pt>
                <c:pt idx="3">
                  <c:v>3.1706611204166157</c:v>
                </c:pt>
                <c:pt idx="4">
                  <c:v>3.6010668846984872</c:v>
                </c:pt>
                <c:pt idx="5">
                  <c:v>3.4996788509966534</c:v>
                </c:pt>
                <c:pt idx="6">
                  <c:v>3.4339671663446332</c:v>
                </c:pt>
                <c:pt idx="7">
                  <c:v>3.3700258594786061</c:v>
                </c:pt>
                <c:pt idx="8">
                  <c:v>3.3176762917157721</c:v>
                </c:pt>
                <c:pt idx="9">
                  <c:v>3.2688319733325653</c:v>
                </c:pt>
                <c:pt idx="10">
                  <c:v>3.2257408170892203</c:v>
                </c:pt>
              </c:numCache>
            </c:numRef>
          </c:val>
        </c:ser>
        <c:gapWidth val="45"/>
        <c:overlap val="100"/>
        <c:axId val="135171072"/>
        <c:axId val="135185152"/>
      </c:barChart>
      <c:catAx>
        <c:axId val="135171072"/>
        <c:scaling>
          <c:orientation val="minMax"/>
        </c:scaling>
        <c:axPos val="b"/>
        <c:numFmt formatCode="General" sourceLinked="1"/>
        <c:tickLblPos val="nextTo"/>
        <c:txPr>
          <a:bodyPr rot="-5400000" vert="horz"/>
          <a:lstStyle/>
          <a:p>
            <a:pPr>
              <a:defRPr lang="en-GB"/>
            </a:pPr>
            <a:endParaRPr lang="en-US"/>
          </a:p>
        </c:txPr>
        <c:crossAx val="135185152"/>
        <c:crosses val="autoZero"/>
        <c:auto val="1"/>
        <c:lblAlgn val="ctr"/>
        <c:lblOffset val="100"/>
      </c:catAx>
      <c:valAx>
        <c:axId val="135185152"/>
        <c:scaling>
          <c:orientation val="minMax"/>
        </c:scaling>
        <c:axPos val="l"/>
        <c:majorGridlines/>
        <c:title>
          <c:tx>
            <c:rich>
              <a:bodyPr rot="-5400000" vert="horz"/>
              <a:lstStyle/>
              <a:p>
                <a:pPr>
                  <a:defRPr lang="en-GB"/>
                </a:pPr>
                <a:r>
                  <a:rPr lang="en-US"/>
                  <a:t>Total child benefit cost as percentage of General government</a:t>
                </a:r>
                <a:r>
                  <a:rPr lang="en-US" baseline="0"/>
                  <a:t> expenditure</a:t>
                </a:r>
                <a:endParaRPr lang="en-US"/>
              </a:p>
            </c:rich>
          </c:tx>
          <c:layout>
            <c:manualLayout>
              <c:xMode val="edge"/>
              <c:yMode val="edge"/>
              <c:x val="1.5977478621623915E-2"/>
              <c:y val="0.11600397407951162"/>
            </c:manualLayout>
          </c:layout>
          <c:spPr>
            <a:noFill/>
            <a:ln w="25400">
              <a:noFill/>
            </a:ln>
          </c:spPr>
        </c:title>
        <c:numFmt formatCode="0.0" sourceLinked="0"/>
        <c:tickLblPos val="nextTo"/>
        <c:spPr>
          <a:ln>
            <a:noFill/>
          </a:ln>
        </c:spPr>
        <c:txPr>
          <a:bodyPr/>
          <a:lstStyle/>
          <a:p>
            <a:pPr>
              <a:defRPr lang="en-GB"/>
            </a:pPr>
            <a:endParaRPr lang="en-US"/>
          </a:p>
        </c:txPr>
        <c:crossAx val="135171072"/>
        <c:crosses val="autoZero"/>
        <c:crossBetween val="between"/>
      </c:valAx>
    </c:plotArea>
    <c:legend>
      <c:legendPos val="r"/>
      <c:layout>
        <c:manualLayout>
          <c:xMode val="edge"/>
          <c:yMode val="edge"/>
          <c:x val="0.69230769230769262"/>
          <c:y val="0.17270194986072498"/>
          <c:w val="0.27732793522267457"/>
          <c:h val="0.80222841225626762"/>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17" footer="0.4921259845000011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1000" b="1" i="0" u="none" strike="noStrike" baseline="0">
                <a:solidFill>
                  <a:srgbClr val="000000"/>
                </a:solidFill>
                <a:latin typeface="Calibri"/>
                <a:ea typeface="Calibri"/>
                <a:cs typeface="Calibri"/>
              </a:defRPr>
            </a:pPr>
            <a:r>
              <a:t>Old-age pension for elderly not covered by the contributory pension | </a:t>
            </a:r>
            <a:r>
              <a:rPr lang="en-GB" sz="1000" b="1" i="0" u="none" strike="noStrike" baseline="0"/>
              <a:t> progressive  reduction of eligible age to reach 65+ in 2020 </a:t>
            </a:r>
            <a:r>
              <a:t> as a percentage of GDP</a:t>
            </a:r>
          </a:p>
        </c:rich>
      </c:tx>
      <c:overlay val="1"/>
      <c:spPr>
        <a:noFill/>
        <a:ln w="25400">
          <a:noFill/>
        </a:ln>
      </c:spPr>
    </c:title>
    <c:plotArea>
      <c:layout>
        <c:manualLayout>
          <c:layoutTarget val="inner"/>
          <c:xMode val="edge"/>
          <c:yMode val="edge"/>
          <c:x val="0.17322466870662348"/>
          <c:y val="0.20020261983897056"/>
          <c:w val="0.55339916285921309"/>
          <c:h val="0.60364123254480151"/>
        </c:manualLayout>
      </c:layout>
      <c:barChart>
        <c:barDir val="col"/>
        <c:grouping val="stacked"/>
        <c:ser>
          <c:idx val="0"/>
          <c:order val="0"/>
          <c:tx>
            <c:strRef>
              <c:f>'PENS (Universal)'!$A$148</c:f>
              <c:strCache>
                <c:ptCount val="1"/>
                <c:pt idx="0">
                  <c:v>New pensioners eligible age -79</c:v>
                </c:pt>
              </c:strCache>
            </c:strRef>
          </c:tx>
          <c:cat>
            <c:numRef>
              <c:f>'PENS (Universal)'!$B$147:$L$147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(Universal)'!$B$148:$L$148</c:f>
              <c:numCache>
                <c:formatCode>0.00</c:formatCode>
                <c:ptCount val="11"/>
                <c:pt idx="0">
                  <c:v>0</c:v>
                </c:pt>
                <c:pt idx="1">
                  <c:v>0</c:v>
                </c:pt>
                <c:pt idx="2">
                  <c:v>2.394483995044339E-2</c:v>
                </c:pt>
                <c:pt idx="3">
                  <c:v>7.9082316942159156E-2</c:v>
                </c:pt>
                <c:pt idx="4">
                  <c:v>0.14215293653747843</c:v>
                </c:pt>
                <c:pt idx="5">
                  <c:v>0.19403576494253461</c:v>
                </c:pt>
                <c:pt idx="6">
                  <c:v>0.25944329219846585</c:v>
                </c:pt>
                <c:pt idx="7">
                  <c:v>0.32808640629781327</c:v>
                </c:pt>
                <c:pt idx="8">
                  <c:v>0.38360843227181496</c:v>
                </c:pt>
                <c:pt idx="9">
                  <c:v>0.4640828317539093</c:v>
                </c:pt>
                <c:pt idx="10">
                  <c:v>0.5119945187506616</c:v>
                </c:pt>
              </c:numCache>
            </c:numRef>
          </c:val>
        </c:ser>
        <c:ser>
          <c:idx val="1"/>
          <c:order val="1"/>
          <c:tx>
            <c:strRef>
              <c:f>'PENS (Universal)'!$A$149</c:f>
              <c:strCache>
                <c:ptCount val="1"/>
                <c:pt idx="0">
                  <c:v>New pensioners 80+</c:v>
                </c:pt>
              </c:strCache>
            </c:strRef>
          </c:tx>
          <c:cat>
            <c:numRef>
              <c:f>'PENS (Universal)'!$B$147:$L$147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(Universal)'!$B$149:$L$149</c:f>
              <c:numCache>
                <c:formatCode>0.00</c:formatCode>
                <c:ptCount val="11"/>
                <c:pt idx="0">
                  <c:v>0</c:v>
                </c:pt>
                <c:pt idx="1">
                  <c:v>5.0814549057634766E-2</c:v>
                </c:pt>
                <c:pt idx="2">
                  <c:v>9.8545985904046132E-2</c:v>
                </c:pt>
                <c:pt idx="3">
                  <c:v>9.4334970932751699E-2</c:v>
                </c:pt>
                <c:pt idx="4">
                  <c:v>8.9620177872775347E-2</c:v>
                </c:pt>
                <c:pt idx="5">
                  <c:v>8.471546331991342E-2</c:v>
                </c:pt>
                <c:pt idx="6">
                  <c:v>7.9618983136553259E-2</c:v>
                </c:pt>
                <c:pt idx="7">
                  <c:v>7.4505186187842048E-2</c:v>
                </c:pt>
                <c:pt idx="8">
                  <c:v>6.9440256636472381E-2</c:v>
                </c:pt>
                <c:pt idx="9">
                  <c:v>6.4614319855174962E-2</c:v>
                </c:pt>
                <c:pt idx="10">
                  <c:v>6.0133636718574031E-2</c:v>
                </c:pt>
              </c:numCache>
            </c:numRef>
          </c:val>
        </c:ser>
        <c:ser>
          <c:idx val="2"/>
          <c:order val="2"/>
          <c:tx>
            <c:strRef>
              <c:f>'PENS (Universal)'!$A$150</c:f>
              <c:strCache>
                <c:ptCount val="1"/>
                <c:pt idx="0">
                  <c:v>People with higher pension amount 80+</c:v>
                </c:pt>
              </c:strCache>
            </c:strRef>
          </c:tx>
          <c:cat>
            <c:numRef>
              <c:f>'PENS (Universal)'!$B$147:$L$147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(Universal)'!$B$150:$L$150</c:f>
              <c:numCache>
                <c:formatCode>0.00</c:formatCode>
                <c:ptCount val="11"/>
                <c:pt idx="0">
                  <c:v>0</c:v>
                </c:pt>
                <c:pt idx="1">
                  <c:v>2.5667207300772914E-2</c:v>
                </c:pt>
                <c:pt idx="2">
                  <c:v>4.9777087384743041E-2</c:v>
                </c:pt>
                <c:pt idx="3">
                  <c:v>4.7650039202296671E-2</c:v>
                </c:pt>
                <c:pt idx="4">
                  <c:v>4.5268524988456064E-2</c:v>
                </c:pt>
                <c:pt idx="5">
                  <c:v>4.2791078518614585E-2</c:v>
                </c:pt>
                <c:pt idx="6">
                  <c:v>4.0216768290608489E-2</c:v>
                </c:pt>
                <c:pt idx="7">
                  <c:v>3.7633711099099076E-2</c:v>
                </c:pt>
                <c:pt idx="8">
                  <c:v>3.5075337578724712E-2</c:v>
                </c:pt>
                <c:pt idx="9">
                  <c:v>3.2637682968319898E-2</c:v>
                </c:pt>
                <c:pt idx="10">
                  <c:v>3.03744212637681E-2</c:v>
                </c:pt>
              </c:numCache>
            </c:numRef>
          </c:val>
        </c:ser>
        <c:gapWidth val="25"/>
        <c:overlap val="100"/>
        <c:axId val="135240704"/>
        <c:axId val="135250688"/>
      </c:barChart>
      <c:catAx>
        <c:axId val="135240704"/>
        <c:scaling>
          <c:orientation val="minMax"/>
        </c:scaling>
        <c:axPos val="b"/>
        <c:numFmt formatCode="0" sourceLinked="1"/>
        <c:tickLblPos val="nextTo"/>
        <c:txPr>
          <a:bodyPr rot="-5400000" vert="horz"/>
          <a:lstStyle/>
          <a:p>
            <a:pPr>
              <a:defRPr lang="en-GB"/>
            </a:pPr>
            <a:endParaRPr lang="en-US"/>
          </a:p>
        </c:txPr>
        <c:crossAx val="135250688"/>
        <c:crosses val="autoZero"/>
        <c:auto val="1"/>
        <c:lblAlgn val="ctr"/>
        <c:lblOffset val="100"/>
      </c:catAx>
      <c:valAx>
        <c:axId val="135250688"/>
        <c:scaling>
          <c:orientation val="minMax"/>
        </c:scaling>
        <c:axPos val="l"/>
        <c:majorGridlines/>
        <c:title>
          <c:tx>
            <c:rich>
              <a:bodyPr rot="-5400000" vert="horz"/>
              <a:lstStyle/>
              <a:p>
                <a:pPr>
                  <a:defRPr lang="en-GB"/>
                </a:pPr>
                <a:r>
                  <a:rPr lang="en-US" sz="900" b="0"/>
                  <a:t>Total elderly</a:t>
                </a:r>
                <a:r>
                  <a:rPr lang="en-US" sz="900" b="0" baseline="0"/>
                  <a:t> </a:t>
                </a:r>
                <a:r>
                  <a:rPr lang="en-US" sz="900" b="0"/>
                  <a:t>benefit cost as percentage of GDP</a:t>
                </a:r>
              </a:p>
            </c:rich>
          </c:tx>
          <c:layout>
            <c:manualLayout>
              <c:xMode val="edge"/>
              <c:yMode val="edge"/>
              <c:x val="2.4841113610798667E-2"/>
              <c:y val="8.8437629506838006E-2"/>
            </c:manualLayout>
          </c:layout>
          <c:spPr>
            <a:noFill/>
            <a:ln w="25400">
              <a:noFill/>
            </a:ln>
          </c:spPr>
        </c:title>
        <c:numFmt formatCode="0.0" sourceLinked="0"/>
        <c:tickLblPos val="nextTo"/>
        <c:spPr>
          <a:ln>
            <a:noFill/>
          </a:ln>
        </c:spPr>
        <c:txPr>
          <a:bodyPr/>
          <a:lstStyle/>
          <a:p>
            <a:pPr>
              <a:defRPr lang="en-GB"/>
            </a:pPr>
            <a:endParaRPr lang="en-US"/>
          </a:p>
        </c:txPr>
        <c:crossAx val="135240704"/>
        <c:crosses val="autoZero"/>
        <c:crossBetween val="between"/>
      </c:valAx>
      <c:spPr>
        <a:noFill/>
        <a:ln w="25400">
          <a:noFill/>
        </a:ln>
      </c:spPr>
    </c:plotArea>
    <c:legend>
      <c:legendPos val="r"/>
      <c:layout>
        <c:manualLayout>
          <c:xMode val="edge"/>
          <c:yMode val="edge"/>
          <c:x val="0.73437500000000233"/>
          <c:y val="0.28771929824561432"/>
          <c:w val="0.22321428571428595"/>
          <c:h val="0.58947368421052637"/>
        </c:manualLayout>
      </c:layout>
      <c:txPr>
        <a:bodyPr/>
        <a:lstStyle/>
        <a:p>
          <a:pPr>
            <a:defRPr lang="en-GB"/>
          </a:pPr>
          <a:endParaRPr lang="en-US"/>
        </a:p>
      </c:txPr>
    </c:legend>
    <c:plotVisOnly val="1"/>
    <c:dispBlanksAs val="gap"/>
  </c:chart>
  <c:printSettings>
    <c:headerFooter/>
    <c:pageMargins b="0.75000000000000866" l="0.70000000000000062" r="0.70000000000000062" t="0.750000000000008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900" b="1" i="0" u="none" strike="noStrike" baseline="0">
                <a:solidFill>
                  <a:srgbClr val="000000"/>
                </a:solidFill>
                <a:latin typeface="Calibri"/>
                <a:ea typeface="Calibri"/>
                <a:cs typeface="Calibri"/>
              </a:defRPr>
            </a:pPr>
            <a:r>
              <a:t>Old-age pension for elderly not covered by the contributory pension | </a:t>
            </a:r>
            <a:r>
              <a:rPr lang="en-GB" sz="900" b="1" i="0" u="none" strike="noStrike" baseline="0"/>
              <a:t> progressive  reduction of eligible age to reach 65+ in 2020 </a:t>
            </a:r>
            <a:r>
              <a:t> as a percentage of general government expenditure</a:t>
            </a:r>
          </a:p>
        </c:rich>
      </c:tx>
      <c:overlay val="1"/>
      <c:spPr>
        <a:noFill/>
        <a:ln w="25400">
          <a:noFill/>
        </a:ln>
      </c:spPr>
    </c:title>
    <c:plotArea>
      <c:layout>
        <c:manualLayout>
          <c:layoutTarget val="inner"/>
          <c:xMode val="edge"/>
          <c:yMode val="edge"/>
          <c:x val="0.15880620788888244"/>
          <c:y val="0.21482873464346391"/>
          <c:w val="0.55919450487494549"/>
          <c:h val="0.61516034985421875"/>
        </c:manualLayout>
      </c:layout>
      <c:barChart>
        <c:barDir val="col"/>
        <c:grouping val="stacked"/>
        <c:ser>
          <c:idx val="0"/>
          <c:order val="0"/>
          <c:tx>
            <c:strRef>
              <c:f>'PENS (Universal)'!$A$154</c:f>
              <c:strCache>
                <c:ptCount val="1"/>
                <c:pt idx="0">
                  <c:v>New pensioners eligible age -79</c:v>
                </c:pt>
              </c:strCache>
            </c:strRef>
          </c:tx>
          <c:cat>
            <c:numRef>
              <c:f>'PENS (Universal)'!$B$153:$L$153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(Universal)'!$B$154:$L$154</c:f>
              <c:numCache>
                <c:formatCode>0.0</c:formatCode>
                <c:ptCount val="11"/>
                <c:pt idx="0">
                  <c:v>0</c:v>
                </c:pt>
                <c:pt idx="1">
                  <c:v>0</c:v>
                </c:pt>
                <c:pt idx="2">
                  <c:v>7.5169651093239143E-2</c:v>
                </c:pt>
                <c:pt idx="3">
                  <c:v>0.24953214553313607</c:v>
                </c:pt>
                <c:pt idx="4">
                  <c:v>0.4498318117633</c:v>
                </c:pt>
                <c:pt idx="5">
                  <c:v>0.61593014417172187</c:v>
                </c:pt>
                <c:pt idx="6">
                  <c:v>0.82747188914956593</c:v>
                </c:pt>
                <c:pt idx="7">
                  <c:v>1.049017422451481</c:v>
                </c:pt>
                <c:pt idx="8">
                  <c:v>1.2325741765817151</c:v>
                </c:pt>
                <c:pt idx="9">
                  <c:v>1.4981577580671233</c:v>
                </c:pt>
                <c:pt idx="10">
                  <c:v>1.660501063734084</c:v>
                </c:pt>
              </c:numCache>
            </c:numRef>
          </c:val>
        </c:ser>
        <c:ser>
          <c:idx val="1"/>
          <c:order val="1"/>
          <c:tx>
            <c:strRef>
              <c:f>'PENS (Universal)'!$A$155</c:f>
              <c:strCache>
                <c:ptCount val="1"/>
                <c:pt idx="0">
                  <c:v>New pensioners 80+</c:v>
                </c:pt>
              </c:strCache>
            </c:strRef>
          </c:tx>
          <c:cat>
            <c:numRef>
              <c:f>'PENS (Universal)'!$B$153:$L$153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(Universal)'!$B$155:$L$155</c:f>
              <c:numCache>
                <c:formatCode>0.0</c:formatCode>
                <c:ptCount val="11"/>
                <c:pt idx="0">
                  <c:v>0</c:v>
                </c:pt>
                <c:pt idx="1">
                  <c:v>0.16018441583937204</c:v>
                </c:pt>
                <c:pt idx="2">
                  <c:v>0.30936382921654249</c:v>
                </c:pt>
                <c:pt idx="3">
                  <c:v>0.297659560390377</c:v>
                </c:pt>
                <c:pt idx="4">
                  <c:v>0.28359601964628434</c:v>
                </c:pt>
                <c:pt idx="5">
                  <c:v>0.26891334982322301</c:v>
                </c:pt>
                <c:pt idx="6">
                  <c:v>0.25393784448962808</c:v>
                </c:pt>
                <c:pt idx="7">
                  <c:v>0.23822150773016854</c:v>
                </c:pt>
                <c:pt idx="8">
                  <c:v>0.22311883667008622</c:v>
                </c:pt>
                <c:pt idx="9">
                  <c:v>0.20858872155950101</c:v>
                </c:pt>
                <c:pt idx="10">
                  <c:v>0.19502546234487811</c:v>
                </c:pt>
              </c:numCache>
            </c:numRef>
          </c:val>
        </c:ser>
        <c:ser>
          <c:idx val="2"/>
          <c:order val="2"/>
          <c:tx>
            <c:strRef>
              <c:f>'PENS (Universal)'!$A$156</c:f>
              <c:strCache>
                <c:ptCount val="1"/>
                <c:pt idx="0">
                  <c:v>People with higher pension amount 80+</c:v>
                </c:pt>
              </c:strCache>
            </c:strRef>
          </c:tx>
          <c:cat>
            <c:numRef>
              <c:f>'PENS (Universal)'!$B$153:$L$153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(Universal)'!$B$156:$L$156</c:f>
              <c:numCache>
                <c:formatCode>0.0</c:formatCode>
                <c:ptCount val="11"/>
                <c:pt idx="0">
                  <c:v>0</c:v>
                </c:pt>
                <c:pt idx="1">
                  <c:v>8.091160275847481E-2</c:v>
                </c:pt>
                <c:pt idx="2">
                  <c:v>0.15626441015654083</c:v>
                </c:pt>
                <c:pt idx="3">
                  <c:v>0.15035240464165514</c:v>
                </c:pt>
                <c:pt idx="4">
                  <c:v>0.14324869473266688</c:v>
                </c:pt>
                <c:pt idx="5">
                  <c:v>0.13583225323970249</c:v>
                </c:pt>
                <c:pt idx="6">
                  <c:v>0.12826789604359232</c:v>
                </c:pt>
                <c:pt idx="7">
                  <c:v>0.12032933354338654</c:v>
                </c:pt>
                <c:pt idx="8">
                  <c:v>0.11270074299041621</c:v>
                </c:pt>
                <c:pt idx="9">
                  <c:v>0.10536135922014052</c:v>
                </c:pt>
                <c:pt idx="10">
                  <c:v>9.8510349176914772E-2</c:v>
                </c:pt>
              </c:numCache>
            </c:numRef>
          </c:val>
        </c:ser>
        <c:gapWidth val="29"/>
        <c:overlap val="100"/>
        <c:axId val="135400064"/>
        <c:axId val="135426432"/>
      </c:barChart>
      <c:catAx>
        <c:axId val="135400064"/>
        <c:scaling>
          <c:orientation val="minMax"/>
        </c:scaling>
        <c:axPos val="b"/>
        <c:numFmt formatCode="0" sourceLinked="1"/>
        <c:tickLblPos val="nextTo"/>
        <c:txPr>
          <a:bodyPr rot="-5400000" vert="horz"/>
          <a:lstStyle/>
          <a:p>
            <a:pPr>
              <a:defRPr lang="en-GB"/>
            </a:pPr>
            <a:endParaRPr lang="en-US"/>
          </a:p>
        </c:txPr>
        <c:crossAx val="135426432"/>
        <c:crosses val="autoZero"/>
        <c:auto val="1"/>
        <c:lblAlgn val="ctr"/>
        <c:lblOffset val="100"/>
      </c:catAx>
      <c:valAx>
        <c:axId val="135426432"/>
        <c:scaling>
          <c:orientation val="minMax"/>
        </c:scaling>
        <c:axPos val="l"/>
        <c:majorGridlines/>
        <c:title>
          <c:tx>
            <c:rich>
              <a:bodyPr/>
              <a:lstStyle/>
              <a:p>
                <a:pPr>
                  <a:defRPr lang="en-GB" sz="800" b="0" i="0" u="none" strike="noStrike" baseline="0">
                    <a:solidFill>
                      <a:srgbClr val="000000"/>
                    </a:solidFill>
                    <a:latin typeface="Calibri"/>
                    <a:ea typeface="Calibri"/>
                    <a:cs typeface="Calibri"/>
                  </a:defRPr>
                </a:pPr>
                <a:r>
                  <a:t>Total elderly benefit cost as percentage of General government expenditure</a:t>
                </a:r>
              </a:p>
            </c:rich>
          </c:tx>
          <c:layout>
            <c:manualLayout>
              <c:xMode val="edge"/>
              <c:yMode val="edge"/>
              <c:x val="1.5912527063149363E-2"/>
              <c:y val="0.16686877554939791"/>
            </c:manualLayout>
          </c:layout>
          <c:spPr>
            <a:noFill/>
            <a:ln w="25400">
              <a:noFill/>
            </a:ln>
          </c:spPr>
        </c:title>
        <c:numFmt formatCode="0.0" sourceLinked="0"/>
        <c:tickLblPos val="nextTo"/>
        <c:spPr>
          <a:ln>
            <a:noFill/>
          </a:ln>
        </c:spPr>
        <c:txPr>
          <a:bodyPr/>
          <a:lstStyle/>
          <a:p>
            <a:pPr>
              <a:defRPr lang="en-GB"/>
            </a:pPr>
            <a:endParaRPr lang="en-US"/>
          </a:p>
        </c:txPr>
        <c:crossAx val="135400064"/>
        <c:crosses val="autoZero"/>
        <c:crossBetween val="between"/>
      </c:valAx>
      <c:spPr>
        <a:noFill/>
        <a:ln w="25400">
          <a:noFill/>
        </a:ln>
      </c:spPr>
    </c:plotArea>
    <c:legend>
      <c:legendPos val="r"/>
      <c:layout>
        <c:manualLayout>
          <c:xMode val="edge"/>
          <c:yMode val="edge"/>
          <c:x val="0.73904350665844476"/>
          <c:y val="0.28516923189479382"/>
          <c:w val="0.26095649334155896"/>
          <c:h val="0.64756198158157063"/>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361" footer="0.4921259845000036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50"/>
            </a:pPr>
            <a:r>
              <a:rPr lang="en-GB" sz="1050"/>
              <a:t>Total cost and components of the "holistic" benefit for the working age as a percentage of GDP</a:t>
            </a:r>
          </a:p>
        </c:rich>
      </c:tx>
      <c:overlay val="1"/>
      <c:spPr>
        <a:noFill/>
        <a:ln w="25400">
          <a:noFill/>
        </a:ln>
      </c:spPr>
    </c:title>
    <c:plotArea>
      <c:layout>
        <c:manualLayout>
          <c:layoutTarget val="inner"/>
          <c:xMode val="edge"/>
          <c:yMode val="edge"/>
          <c:x val="0.1431670281995662"/>
          <c:y val="0.18181818181818282"/>
          <c:w val="0.58351409978307978"/>
          <c:h val="0.58741258741258429"/>
        </c:manualLayout>
      </c:layout>
      <c:barChart>
        <c:barDir val="col"/>
        <c:grouping val="stacked"/>
        <c:ser>
          <c:idx val="0"/>
          <c:order val="0"/>
          <c:tx>
            <c:strRef>
              <c:f>'Working age (Holistic)'!$A$97</c:f>
              <c:strCache>
                <c:ptCount val="1"/>
                <c:pt idx="0">
                  <c:v>Wage (household basis)</c:v>
                </c:pt>
              </c:strCache>
            </c:strRef>
          </c:tx>
          <c:spPr>
            <a:solidFill>
              <a:schemeClr val="accent1">
                <a:lumMod val="60000"/>
                <a:lumOff val="40000"/>
              </a:schemeClr>
            </a:solidFill>
          </c:spPr>
          <c:cat>
            <c:numRef>
              <c:f>'Working age (Holistic)'!$B$95:$L$95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(Holistic)'!$B$97:$L$97</c:f>
              <c:numCache>
                <c:formatCode>0.00</c:formatCode>
                <c:ptCount val="11"/>
                <c:pt idx="0">
                  <c:v>0</c:v>
                </c:pt>
                <c:pt idx="1">
                  <c:v>0.16405089152671035</c:v>
                </c:pt>
                <c:pt idx="2">
                  <c:v>0.36877732205811731</c:v>
                </c:pt>
                <c:pt idx="3">
                  <c:v>0.54071781527853502</c:v>
                </c:pt>
                <c:pt idx="4">
                  <c:v>0.70328618684271571</c:v>
                </c:pt>
                <c:pt idx="5">
                  <c:v>0.69482027420950876</c:v>
                </c:pt>
                <c:pt idx="6">
                  <c:v>0.69394789205169016</c:v>
                </c:pt>
                <c:pt idx="7">
                  <c:v>0.69436807779386067</c:v>
                </c:pt>
                <c:pt idx="8">
                  <c:v>0.69494302493401339</c:v>
                </c:pt>
                <c:pt idx="9">
                  <c:v>0.69618626085281965</c:v>
                </c:pt>
                <c:pt idx="10">
                  <c:v>0.69855740494820262</c:v>
                </c:pt>
              </c:numCache>
            </c:numRef>
          </c:val>
        </c:ser>
        <c:ser>
          <c:idx val="1"/>
          <c:order val="1"/>
          <c:tx>
            <c:strRef>
              <c:f>'Working age (Holistic)'!$A$98</c:f>
              <c:strCache>
                <c:ptCount val="1"/>
                <c:pt idx="0">
                  <c:v>Disability social assistance</c:v>
                </c:pt>
              </c:strCache>
            </c:strRef>
          </c:tx>
          <c:spPr>
            <a:solidFill>
              <a:schemeClr val="accent2"/>
            </a:solidFill>
          </c:spPr>
          <c:cat>
            <c:numRef>
              <c:f>'Working age (Holistic)'!$B$95:$L$95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(Holistic)'!$B$98:$L$98</c:f>
              <c:numCache>
                <c:formatCode>0.00</c:formatCode>
                <c:ptCount val="11"/>
                <c:pt idx="0">
                  <c:v>0</c:v>
                </c:pt>
                <c:pt idx="1">
                  <c:v>0.25530258243456921</c:v>
                </c:pt>
                <c:pt idx="2">
                  <c:v>0.48492684037534373</c:v>
                </c:pt>
                <c:pt idx="3">
                  <c:v>0.45569989790143745</c:v>
                </c:pt>
                <c:pt idx="4">
                  <c:v>0.42653814058442197</c:v>
                </c:pt>
                <c:pt idx="5">
                  <c:v>0.39972399853107643</c:v>
                </c:pt>
                <c:pt idx="6">
                  <c:v>0.37491374177458603</c:v>
                </c:pt>
                <c:pt idx="7">
                  <c:v>0.3519075469495524</c:v>
                </c:pt>
                <c:pt idx="8">
                  <c:v>0.32994632688050579</c:v>
                </c:pt>
                <c:pt idx="9">
                  <c:v>0.3087755904464482</c:v>
                </c:pt>
                <c:pt idx="10">
                  <c:v>0.28844321311718524</c:v>
                </c:pt>
              </c:numCache>
            </c:numRef>
          </c:val>
        </c:ser>
        <c:ser>
          <c:idx val="2"/>
          <c:order val="2"/>
          <c:tx>
            <c:strRef>
              <c:f>'Working age (Holistic)'!$A$99</c:f>
              <c:strCache>
                <c:ptCount val="1"/>
                <c:pt idx="0">
                  <c:v>Benefit in kind</c:v>
                </c:pt>
              </c:strCache>
            </c:strRef>
          </c:tx>
          <c:spPr>
            <a:solidFill>
              <a:schemeClr val="accent6"/>
            </a:solidFill>
          </c:spPr>
          <c:cat>
            <c:numRef>
              <c:f>'Working age (Holistic)'!$B$95:$L$95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(Holistic)'!$B$99:$L$99</c:f>
              <c:numCache>
                <c:formatCode>0.00</c:formatCode>
                <c:ptCount val="11"/>
                <c:pt idx="0">
                  <c:v>0</c:v>
                </c:pt>
                <c:pt idx="1">
                  <c:v>4.5535315405587284E-3</c:v>
                </c:pt>
                <c:pt idx="2">
                  <c:v>8.7686845212185741E-3</c:v>
                </c:pt>
                <c:pt idx="3">
                  <c:v>8.43569801177841E-3</c:v>
                </c:pt>
                <c:pt idx="4">
                  <c:v>8.1615129276133257E-3</c:v>
                </c:pt>
                <c:pt idx="5">
                  <c:v>7.9555307387896949E-3</c:v>
                </c:pt>
                <c:pt idx="6">
                  <c:v>7.815119330294629E-3</c:v>
                </c:pt>
                <c:pt idx="7">
                  <c:v>7.7199045045047276E-3</c:v>
                </c:pt>
                <c:pt idx="8">
                  <c:v>7.6558898682084131E-3</c:v>
                </c:pt>
                <c:pt idx="9">
                  <c:v>7.6209628558273927E-3</c:v>
                </c:pt>
                <c:pt idx="10">
                  <c:v>7.615798226439369E-3</c:v>
                </c:pt>
              </c:numCache>
            </c:numRef>
          </c:val>
        </c:ser>
        <c:gapWidth val="32"/>
        <c:overlap val="100"/>
        <c:axId val="135448832"/>
        <c:axId val="135331840"/>
      </c:barChart>
      <c:catAx>
        <c:axId val="135448832"/>
        <c:scaling>
          <c:orientation val="minMax"/>
        </c:scaling>
        <c:axPos val="b"/>
        <c:numFmt formatCode="0" sourceLinked="1"/>
        <c:tickLblPos val="nextTo"/>
        <c:spPr>
          <a:ln>
            <a:noFill/>
          </a:ln>
        </c:spPr>
        <c:txPr>
          <a:bodyPr rot="-5400000" vert="horz"/>
          <a:lstStyle/>
          <a:p>
            <a:pPr>
              <a:defRPr lang="en-GB"/>
            </a:pPr>
            <a:endParaRPr lang="en-US"/>
          </a:p>
        </c:txPr>
        <c:crossAx val="135331840"/>
        <c:crosses val="autoZero"/>
        <c:auto val="1"/>
        <c:lblAlgn val="ctr"/>
        <c:lblOffset val="100"/>
      </c:catAx>
      <c:valAx>
        <c:axId val="135331840"/>
        <c:scaling>
          <c:orientation val="minMax"/>
        </c:scaling>
        <c:axPos val="l"/>
        <c:majorGridlines/>
        <c:title>
          <c:tx>
            <c:rich>
              <a:bodyPr rot="-5400000" vert="horz"/>
              <a:lstStyle/>
              <a:p>
                <a:pPr>
                  <a:defRPr lang="en-GB" sz="800"/>
                </a:pPr>
                <a:r>
                  <a:rPr lang="en-US" sz="800"/>
                  <a:t>Total Working age benefit cost as percentage of GDP</a:t>
                </a:r>
              </a:p>
            </c:rich>
          </c:tx>
          <c:layout>
            <c:manualLayout>
              <c:xMode val="edge"/>
              <c:yMode val="edge"/>
              <c:x val="1.5912685534698622E-2"/>
              <c:y val="8.8437494264265948E-2"/>
            </c:manualLayout>
          </c:layout>
          <c:spPr>
            <a:noFill/>
            <a:ln w="25400">
              <a:noFill/>
            </a:ln>
          </c:spPr>
        </c:title>
        <c:numFmt formatCode="0.0" sourceLinked="0"/>
        <c:tickLblPos val="nextTo"/>
        <c:spPr>
          <a:ln>
            <a:noFill/>
          </a:ln>
        </c:spPr>
        <c:txPr>
          <a:bodyPr/>
          <a:lstStyle/>
          <a:p>
            <a:pPr>
              <a:defRPr lang="en-GB"/>
            </a:pPr>
            <a:endParaRPr lang="en-US"/>
          </a:p>
        </c:txPr>
        <c:crossAx val="135448832"/>
        <c:crosses val="autoZero"/>
        <c:crossBetween val="between"/>
      </c:valAx>
    </c:plotArea>
    <c:legend>
      <c:legendPos val="r"/>
      <c:layout>
        <c:manualLayout>
          <c:xMode val="edge"/>
          <c:yMode val="edge"/>
          <c:x val="0.73608098336948713"/>
          <c:y val="0.18648021840079373"/>
          <c:w val="0.257411424439624"/>
          <c:h val="0.56319033699382937"/>
        </c:manualLayout>
      </c:layout>
      <c:txPr>
        <a:bodyPr/>
        <a:lstStyle/>
        <a:p>
          <a:pPr>
            <a:defRPr lang="en-GB"/>
          </a:pPr>
          <a:endParaRPr lang="en-US"/>
        </a:p>
      </c:txPr>
    </c:legend>
    <c:plotVisOnly val="1"/>
    <c:dispBlanksAs val="gap"/>
  </c:chart>
  <c:spPr>
    <a:ln>
      <a:noFill/>
    </a:ln>
  </c:spPr>
  <c:printSettings>
    <c:headerFooter/>
    <c:pageMargins b="0.75000000000000888" l="0.70000000000000062" r="0.70000000000000062" t="0.7500000000000088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900"/>
            </a:pPr>
            <a:r>
              <a:rPr lang="en-GB" sz="900"/>
              <a:t>Total cost and components of the "holistic" benefit for the working age as a percentage of general government expenditure</a:t>
            </a:r>
          </a:p>
        </c:rich>
      </c:tx>
      <c:overlay val="1"/>
      <c:spPr>
        <a:noFill/>
        <a:ln w="25400">
          <a:noFill/>
        </a:ln>
      </c:spPr>
    </c:title>
    <c:plotArea>
      <c:layout>
        <c:manualLayout>
          <c:layoutTarget val="inner"/>
          <c:xMode val="edge"/>
          <c:yMode val="edge"/>
          <c:x val="0.19397363465160075"/>
          <c:y val="0.19473817297228091"/>
          <c:w val="0.52508450177514088"/>
          <c:h val="0.61900550540939392"/>
        </c:manualLayout>
      </c:layout>
      <c:barChart>
        <c:barDir val="col"/>
        <c:grouping val="stacked"/>
        <c:ser>
          <c:idx val="1"/>
          <c:order val="0"/>
          <c:tx>
            <c:strRef>
              <c:f>'Working age (Holistic)'!$A$105</c:f>
              <c:strCache>
                <c:ptCount val="1"/>
                <c:pt idx="0">
                  <c:v>Wage (household basis)</c:v>
                </c:pt>
              </c:strCache>
            </c:strRef>
          </c:tx>
          <c:spPr>
            <a:solidFill>
              <a:schemeClr val="accent1">
                <a:lumMod val="60000"/>
                <a:lumOff val="40000"/>
              </a:schemeClr>
            </a:solidFill>
          </c:spPr>
          <c:cat>
            <c:numRef>
              <c:f>'Working age (Holistic)'!$B$103:$L$103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(Holistic)'!$B$105:$L$105</c:f>
              <c:numCache>
                <c:formatCode>0.00</c:formatCode>
                <c:ptCount val="11"/>
                <c:pt idx="0">
                  <c:v>0</c:v>
                </c:pt>
                <c:pt idx="1">
                  <c:v>0.51714315514890941</c:v>
                </c:pt>
                <c:pt idx="2">
                  <c:v>1.157696718273302</c:v>
                </c:pt>
                <c:pt idx="3">
                  <c:v>1.7061522953750599</c:v>
                </c:pt>
                <c:pt idx="4">
                  <c:v>2.2254939456150704</c:v>
                </c:pt>
                <c:pt idx="5">
                  <c:v>2.2055766461097637</c:v>
                </c:pt>
                <c:pt idx="6">
                  <c:v>2.2132866428788192</c:v>
                </c:pt>
                <c:pt idx="7">
                  <c:v>2.2201596811625048</c:v>
                </c:pt>
                <c:pt idx="8">
                  <c:v>2.232924916838912</c:v>
                </c:pt>
                <c:pt idx="9">
                  <c:v>2.2474368289268396</c:v>
                </c:pt>
                <c:pt idx="10">
                  <c:v>2.2655619767693316</c:v>
                </c:pt>
              </c:numCache>
            </c:numRef>
          </c:val>
        </c:ser>
        <c:ser>
          <c:idx val="2"/>
          <c:order val="1"/>
          <c:tx>
            <c:strRef>
              <c:f>'Working age (Holistic)'!$A$106</c:f>
              <c:strCache>
                <c:ptCount val="1"/>
                <c:pt idx="0">
                  <c:v>Disability social assistance</c:v>
                </c:pt>
              </c:strCache>
            </c:strRef>
          </c:tx>
          <c:spPr>
            <a:solidFill>
              <a:schemeClr val="accent2"/>
            </a:solidFill>
            <a:ln w="25400">
              <a:noFill/>
            </a:ln>
          </c:spPr>
          <c:cat>
            <c:numRef>
              <c:f>'Working age (Holistic)'!$B$103:$L$103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(Holistic)'!$B$106:$L$106</c:f>
              <c:numCache>
                <c:formatCode>0.00</c:formatCode>
                <c:ptCount val="11"/>
                <c:pt idx="0">
                  <c:v>0</c:v>
                </c:pt>
                <c:pt idx="1">
                  <c:v>0.80479893628850674</c:v>
                </c:pt>
                <c:pt idx="2">
                  <c:v>1.5223230337810831</c:v>
                </c:pt>
                <c:pt idx="3">
                  <c:v>1.4378912712654286</c:v>
                </c:pt>
                <c:pt idx="4">
                  <c:v>1.3497464719249985</c:v>
                </c:pt>
                <c:pt idx="5">
                  <c:v>1.2688488646258482</c:v>
                </c:pt>
                <c:pt idx="6">
                  <c:v>1.1957548778599092</c:v>
                </c:pt>
                <c:pt idx="7">
                  <c:v>1.1251826980821287</c:v>
                </c:pt>
                <c:pt idx="8">
                  <c:v>1.0601521967659344</c:v>
                </c:pt>
                <c:pt idx="9">
                  <c:v>0.99679306080084573</c:v>
                </c:pt>
                <c:pt idx="10">
                  <c:v>0.93547927695924027</c:v>
                </c:pt>
              </c:numCache>
            </c:numRef>
          </c:val>
        </c:ser>
        <c:ser>
          <c:idx val="3"/>
          <c:order val="2"/>
          <c:tx>
            <c:strRef>
              <c:f>'Working age (Holistic)'!$A$107</c:f>
              <c:strCache>
                <c:ptCount val="1"/>
                <c:pt idx="0">
                  <c:v>Benefit in kind</c:v>
                </c:pt>
              </c:strCache>
            </c:strRef>
          </c:tx>
          <c:spPr>
            <a:solidFill>
              <a:schemeClr val="accent6"/>
            </a:solidFill>
          </c:spPr>
          <c:cat>
            <c:numRef>
              <c:f>'Working age (Holistic)'!$B$103:$L$103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(Holistic)'!$B$107:$L$107</c:f>
              <c:numCache>
                <c:formatCode>0.00</c:formatCode>
                <c:ptCount val="11"/>
                <c:pt idx="0">
                  <c:v>0</c:v>
                </c:pt>
                <c:pt idx="1">
                  <c:v>1.4354250964684385E-2</c:v>
                </c:pt>
                <c:pt idx="2">
                  <c:v>2.7527390342589515E-2</c:v>
                </c:pt>
                <c:pt idx="3">
                  <c:v>2.661755377612746E-2</c:v>
                </c:pt>
                <c:pt idx="4">
                  <c:v>2.5826467158418229E-2</c:v>
                </c:pt>
                <c:pt idx="5">
                  <c:v>2.5253340261041531E-2</c:v>
                </c:pt>
                <c:pt idx="6">
                  <c:v>2.4925645605904882E-2</c:v>
                </c:pt>
                <c:pt idx="7">
                  <c:v>2.4683480233972446E-2</c:v>
                </c:pt>
                <c:pt idx="8">
                  <c:v>2.4599178110925504E-2</c:v>
                </c:pt>
                <c:pt idx="9">
                  <c:v>2.4602083604880115E-2</c:v>
                </c:pt>
                <c:pt idx="10">
                  <c:v>2.469956336064854E-2</c:v>
                </c:pt>
              </c:numCache>
            </c:numRef>
          </c:val>
        </c:ser>
        <c:gapWidth val="21"/>
        <c:overlap val="100"/>
        <c:axId val="135382528"/>
        <c:axId val="135384064"/>
      </c:barChart>
      <c:catAx>
        <c:axId val="135382528"/>
        <c:scaling>
          <c:orientation val="minMax"/>
        </c:scaling>
        <c:axPos val="b"/>
        <c:numFmt formatCode="0" sourceLinked="1"/>
        <c:tickLblPos val="nextTo"/>
        <c:spPr>
          <a:ln>
            <a:noFill/>
          </a:ln>
        </c:spPr>
        <c:txPr>
          <a:bodyPr rot="-5400000" vert="horz"/>
          <a:lstStyle/>
          <a:p>
            <a:pPr>
              <a:defRPr lang="en-GB"/>
            </a:pPr>
            <a:endParaRPr lang="en-US"/>
          </a:p>
        </c:txPr>
        <c:crossAx val="135384064"/>
        <c:crosses val="autoZero"/>
        <c:auto val="1"/>
        <c:lblAlgn val="ctr"/>
        <c:lblOffset val="100"/>
      </c:catAx>
      <c:valAx>
        <c:axId val="135384064"/>
        <c:scaling>
          <c:orientation val="minMax"/>
        </c:scaling>
        <c:axPos val="l"/>
        <c:majorGridlines/>
        <c:title>
          <c:tx>
            <c:rich>
              <a:bodyPr/>
              <a:lstStyle/>
              <a:p>
                <a:pPr>
                  <a:defRPr lang="en-GB" sz="900"/>
                </a:pPr>
                <a:r>
                  <a:rPr lang="en-GB" sz="900" b="0"/>
                  <a:t>Total Working age benefit cost as percentage of general government expenditure</a:t>
                </a:r>
              </a:p>
            </c:rich>
          </c:tx>
          <c:layout>
            <c:manualLayout>
              <c:xMode val="edge"/>
              <c:yMode val="edge"/>
              <c:x val="1.5912618998634671E-2"/>
              <c:y val="8.8437629506838006E-2"/>
            </c:manualLayout>
          </c:layout>
          <c:spPr>
            <a:noFill/>
            <a:ln w="25400">
              <a:noFill/>
            </a:ln>
          </c:spPr>
        </c:title>
        <c:numFmt formatCode="0.0" sourceLinked="0"/>
        <c:tickLblPos val="nextTo"/>
        <c:spPr>
          <a:ln>
            <a:noFill/>
          </a:ln>
        </c:spPr>
        <c:txPr>
          <a:bodyPr/>
          <a:lstStyle/>
          <a:p>
            <a:pPr>
              <a:defRPr lang="en-GB"/>
            </a:pPr>
            <a:endParaRPr lang="en-US"/>
          </a:p>
        </c:txPr>
        <c:crossAx val="135382528"/>
        <c:crosses val="autoZero"/>
        <c:crossBetween val="between"/>
      </c:valAx>
    </c:plotArea>
    <c:legend>
      <c:legendPos val="r"/>
      <c:layout>
        <c:manualLayout>
          <c:xMode val="edge"/>
          <c:yMode val="edge"/>
          <c:x val="0.72446555819477465"/>
          <c:y val="0.20350877192982456"/>
          <c:w val="0.26365795724465657"/>
          <c:h val="0.66315789473684261"/>
        </c:manualLayout>
      </c:layout>
      <c:txPr>
        <a:bodyPr/>
        <a:lstStyle/>
        <a:p>
          <a:pPr>
            <a:defRPr lang="en-GB"/>
          </a:pPr>
          <a:endParaRPr lang="en-US"/>
        </a:p>
      </c:txPr>
    </c:legend>
    <c:plotVisOnly val="1"/>
    <c:dispBlanksAs val="gap"/>
  </c:chart>
  <c:spPr>
    <a:ln>
      <a:noFill/>
    </a:ln>
  </c:spPr>
  <c:printSettings>
    <c:headerFooter/>
    <c:pageMargins b="0.98425196899999956" l="0.78740157499999996" r="0.78740157499999996" t="0.98425196899999956" header="0.49212598450000361" footer="0.4921259845000036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100"/>
            </a:pPr>
            <a:r>
              <a:rPr lang="en-US" sz="1100"/>
              <a:t>General government expenditure</a:t>
            </a:r>
            <a:r>
              <a:rPr lang="en-US" sz="1100" baseline="0"/>
              <a:t>  a</a:t>
            </a:r>
            <a:r>
              <a:rPr lang="en-US" sz="1100"/>
              <a:t>s a percentage of GDP and composition </a:t>
            </a:r>
          </a:p>
        </c:rich>
      </c:tx>
      <c:overlay val="1"/>
      <c:spPr>
        <a:noFill/>
        <a:ln w="25400">
          <a:noFill/>
        </a:ln>
      </c:spPr>
    </c:title>
    <c:plotArea>
      <c:layout>
        <c:manualLayout>
          <c:layoutTarget val="inner"/>
          <c:xMode val="edge"/>
          <c:yMode val="edge"/>
          <c:x val="0.10453633229105549"/>
          <c:y val="0.10424586451223022"/>
          <c:w val="0.54879746816964903"/>
          <c:h val="0.72703813808920004"/>
        </c:manualLayout>
      </c:layout>
      <c:areaChart>
        <c:grouping val="stacked"/>
        <c:ser>
          <c:idx val="1"/>
          <c:order val="0"/>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ser>
          <c:idx val="0"/>
          <c:order val="1"/>
          <c:spPr>
            <a:solidFill>
              <a:schemeClr val="accent2">
                <a:lumMod val="60000"/>
                <a:lumOff val="40000"/>
              </a:schemeClr>
            </a:solidFill>
            <a:ln w="25400">
              <a:noFill/>
            </a:ln>
          </c:spPr>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ser>
          <c:idx val="3"/>
          <c:order val="2"/>
          <c:spPr>
            <a:solidFill>
              <a:schemeClr val="accent1">
                <a:lumMod val="75000"/>
              </a:schemeClr>
            </a:solidFill>
            <a:ln w="25400">
              <a:noFill/>
            </a:ln>
          </c:spPr>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ser>
          <c:idx val="4"/>
          <c:order val="3"/>
          <c:spPr>
            <a:solidFill>
              <a:schemeClr val="accent1">
                <a:lumMod val="60000"/>
                <a:lumOff val="40000"/>
              </a:schemeClr>
            </a:solidFill>
            <a:ln w="25400">
              <a:noFill/>
            </a:ln>
          </c:spPr>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ser>
          <c:idx val="5"/>
          <c:order val="4"/>
          <c:spPr>
            <a:solidFill>
              <a:schemeClr val="accent1">
                <a:lumMod val="20000"/>
                <a:lumOff val="80000"/>
              </a:schemeClr>
            </a:solidFill>
            <a:ln w="25400">
              <a:noFill/>
            </a:ln>
          </c:spPr>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ser>
          <c:idx val="6"/>
          <c:order val="5"/>
          <c:spPr>
            <a:solidFill>
              <a:schemeClr val="bg1">
                <a:lumMod val="95000"/>
              </a:schemeClr>
            </a:solidFill>
            <a:ln w="25400">
              <a:noFill/>
            </a:ln>
          </c:spPr>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ser>
          <c:idx val="7"/>
          <c:order val="6"/>
          <c:spPr>
            <a:solidFill>
              <a:schemeClr val="accent3">
                <a:lumMod val="60000"/>
                <a:lumOff val="40000"/>
              </a:schemeClr>
            </a:solidFill>
            <a:ln w="25400">
              <a:noFill/>
            </a:ln>
          </c:spPr>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ser>
          <c:idx val="8"/>
          <c:order val="7"/>
          <c:tx>
            <c:strRef>
              <c:f>'GGO(SQ) (SQ and Post SPF)'!$B$222</c:f>
              <c:strCache>
                <c:ptCount val="1"/>
                <c:pt idx="0">
                  <c:v>Interest payments (paid)</c:v>
                </c:pt>
              </c:strCache>
            </c:strRef>
          </c:tx>
          <c:spPr>
            <a:solidFill>
              <a:schemeClr val="accent3">
                <a:lumMod val="75000"/>
              </a:schemeClr>
            </a:solidFill>
            <a:ln w="25400">
              <a:noFill/>
            </a:ln>
          </c:spPr>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SPF)'!$C$222:$R$222</c:f>
              <c:numCache>
                <c:formatCode>0.0</c:formatCode>
                <c:ptCount val="16"/>
                <c:pt idx="0">
                  <c:v>0.78895508200128006</c:v>
                </c:pt>
                <c:pt idx="1">
                  <c:v>0.81753937583716951</c:v>
                </c:pt>
                <c:pt idx="2">
                  <c:v>1.1069187681991497</c:v>
                </c:pt>
                <c:pt idx="3">
                  <c:v>1.1265704985326974</c:v>
                </c:pt>
                <c:pt idx="4">
                  <c:v>1.439951663934095</c:v>
                </c:pt>
                <c:pt idx="5">
                  <c:v>1.281227005559455</c:v>
                </c:pt>
                <c:pt idx="6">
                  <c:v>1.4851974661828731</c:v>
                </c:pt>
                <c:pt idx="7">
                  <c:v>1.6911097204713497</c:v>
                </c:pt>
                <c:pt idx="8">
                  <c:v>1.5828212215688988</c:v>
                </c:pt>
                <c:pt idx="9">
                  <c:v>1.5447335298788596</c:v>
                </c:pt>
                <c:pt idx="10">
                  <c:v>1.4636769856230982</c:v>
                </c:pt>
                <c:pt idx="11">
                  <c:v>1.4115058041214095</c:v>
                </c:pt>
                <c:pt idx="12">
                  <c:v>1.4293838577052949</c:v>
                </c:pt>
                <c:pt idx="13">
                  <c:v>1.4664454310282813</c:v>
                </c:pt>
                <c:pt idx="14">
                  <c:v>1.5071099471172387</c:v>
                </c:pt>
                <c:pt idx="15">
                  <c:v>1.5344341213194355</c:v>
                </c:pt>
              </c:numCache>
            </c:numRef>
          </c:val>
        </c:ser>
        <c:ser>
          <c:idx val="10"/>
          <c:order val="8"/>
          <c:tx>
            <c:strRef>
              <c:f>'GGO(SQ) (SQ and Post SPF)'!$B$224</c:f>
              <c:strCache>
                <c:ptCount val="1"/>
                <c:pt idx="0">
                  <c:v>Capital expenditure (investment)</c:v>
                </c:pt>
              </c:strCache>
            </c:strRef>
          </c:tx>
          <c:spPr>
            <a:solidFill>
              <a:schemeClr val="accent4">
                <a:lumMod val="40000"/>
                <a:lumOff val="60000"/>
              </a:schemeClr>
            </a:solidFill>
            <a:ln w="25400">
              <a:noFill/>
            </a:ln>
          </c:spPr>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SPF)'!$C$224:$R$224</c:f>
              <c:numCache>
                <c:formatCode>0.0</c:formatCode>
                <c:ptCount val="16"/>
                <c:pt idx="0">
                  <c:v>9.4373136292734294</c:v>
                </c:pt>
                <c:pt idx="1">
                  <c:v>9.0674508475620073</c:v>
                </c:pt>
                <c:pt idx="2">
                  <c:v>9.1195330095832237</c:v>
                </c:pt>
                <c:pt idx="3">
                  <c:v>8.0443732752966586</c:v>
                </c:pt>
                <c:pt idx="4">
                  <c:v>10.869645179749744</c:v>
                </c:pt>
                <c:pt idx="5">
                  <c:v>8.9933251000952286</c:v>
                </c:pt>
                <c:pt idx="6">
                  <c:v>7.1289061378824119</c:v>
                </c:pt>
                <c:pt idx="7">
                  <c:v>7.1289061378824119</c:v>
                </c:pt>
                <c:pt idx="8">
                  <c:v>7.1289061378824119</c:v>
                </c:pt>
                <c:pt idx="9">
                  <c:v>7.1289061378824119</c:v>
                </c:pt>
                <c:pt idx="10">
                  <c:v>7.128906137882411</c:v>
                </c:pt>
                <c:pt idx="11">
                  <c:v>7.0576170765035862</c:v>
                </c:pt>
                <c:pt idx="12">
                  <c:v>6.9870409057385512</c:v>
                </c:pt>
                <c:pt idx="13">
                  <c:v>6.84730008762378</c:v>
                </c:pt>
                <c:pt idx="14">
                  <c:v>6.7103540858713053</c:v>
                </c:pt>
                <c:pt idx="15">
                  <c:v>6.5761470041538796</c:v>
                </c:pt>
              </c:numCache>
            </c:numRef>
          </c:val>
        </c:ser>
        <c:ser>
          <c:idx val="12"/>
          <c:order val="9"/>
          <c:tx>
            <c:strRef>
              <c:f>'GGO(SQ) (SQ and Post SPF)'!$B$226</c:f>
              <c:strCache>
                <c:ptCount val="1"/>
                <c:pt idx="0">
                  <c:v>Off-budget expenditure, onlending etc.</c:v>
                </c:pt>
              </c:strCache>
            </c:strRef>
          </c:tx>
          <c:spPr>
            <a:solidFill>
              <a:schemeClr val="accent4">
                <a:lumMod val="60000"/>
                <a:lumOff val="40000"/>
              </a:schemeClr>
            </a:solidFill>
            <a:ln w="25400">
              <a:noFill/>
            </a:ln>
          </c:spPr>
          <c:cat>
            <c:numRef>
              <c:f>'GGO(SQ) (SQ and Post SPF)'!$C$216:$R$216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SPF)'!$C$226:$R$226</c:f>
              <c:numCache>
                <c:formatCode>0.0</c:formatCode>
                <c:ptCount val="16"/>
                <c:pt idx="0">
                  <c:v>3.1953193206922927</c:v>
                </c:pt>
                <c:pt idx="1">
                  <c:v>1.3400871426152021</c:v>
                </c:pt>
                <c:pt idx="2">
                  <c:v>1.8195960888619673</c:v>
                </c:pt>
                <c:pt idx="3">
                  <c:v>2.4548045558430154</c:v>
                </c:pt>
                <c:pt idx="4">
                  <c:v>3.8671143531463366</c:v>
                </c:pt>
                <c:pt idx="5">
                  <c:v>4.5348772404813618</c:v>
                </c:pt>
                <c:pt idx="6">
                  <c:v>2.7677169783676359</c:v>
                </c:pt>
                <c:pt idx="7">
                  <c:v>2.69367307337013</c:v>
                </c:pt>
                <c:pt idx="8">
                  <c:v>2.6397996119027267</c:v>
                </c:pt>
                <c:pt idx="9">
                  <c:v>2.5870036196646722</c:v>
                </c:pt>
                <c:pt idx="10">
                  <c:v>2.5695926447847262</c:v>
                </c:pt>
                <c:pt idx="11">
                  <c:v>2.543896718336879</c:v>
                </c:pt>
                <c:pt idx="12">
                  <c:v>2.5184577511535107</c:v>
                </c:pt>
                <c:pt idx="13">
                  <c:v>2.46808859613044</c:v>
                </c:pt>
                <c:pt idx="14">
                  <c:v>2.4187268242078312</c:v>
                </c:pt>
                <c:pt idx="15">
                  <c:v>2.382445921844714</c:v>
                </c:pt>
              </c:numCache>
            </c:numRef>
          </c:val>
        </c:ser>
        <c:axId val="135514368"/>
        <c:axId val="135532544"/>
      </c:areaChart>
      <c:catAx>
        <c:axId val="135514368"/>
        <c:scaling>
          <c:orientation val="minMax"/>
        </c:scaling>
        <c:axPos val="b"/>
        <c:numFmt formatCode="General" sourceLinked="1"/>
        <c:tickLblPos val="nextTo"/>
        <c:txPr>
          <a:bodyPr rot="-5400000" vert="horz"/>
          <a:lstStyle/>
          <a:p>
            <a:pPr>
              <a:defRPr lang="en-GB"/>
            </a:pPr>
            <a:endParaRPr lang="en-US"/>
          </a:p>
        </c:txPr>
        <c:crossAx val="135532544"/>
        <c:crosses val="autoZero"/>
        <c:auto val="1"/>
        <c:lblAlgn val="ctr"/>
        <c:lblOffset val="100"/>
      </c:catAx>
      <c:valAx>
        <c:axId val="135532544"/>
        <c:scaling>
          <c:orientation val="minMax"/>
        </c:scaling>
        <c:axPos val="l"/>
        <c:majorGridlines/>
        <c:title>
          <c:tx>
            <c:rich>
              <a:bodyPr rot="-5400000" vert="horz"/>
              <a:lstStyle/>
              <a:p>
                <a:pPr>
                  <a:defRPr lang="en-GB" b="0"/>
                </a:pPr>
                <a:r>
                  <a:rPr lang="en-US" b="0"/>
                  <a:t>Percentage of GDP</a:t>
                </a:r>
              </a:p>
            </c:rich>
          </c:tx>
          <c:spPr>
            <a:noFill/>
            <a:ln w="25400">
              <a:noFill/>
            </a:ln>
          </c:spPr>
        </c:title>
        <c:numFmt formatCode="General" sourceLinked="1"/>
        <c:tickLblPos val="nextTo"/>
        <c:txPr>
          <a:bodyPr/>
          <a:lstStyle/>
          <a:p>
            <a:pPr>
              <a:defRPr lang="en-GB"/>
            </a:pPr>
            <a:endParaRPr lang="en-US"/>
          </a:p>
        </c:txPr>
        <c:crossAx val="135514368"/>
        <c:crosses val="autoZero"/>
        <c:crossBetween val="midCat"/>
      </c:valAx>
    </c:plotArea>
    <c:legend>
      <c:legendPos val="r"/>
      <c:txPr>
        <a:bodyPr/>
        <a:lstStyle/>
        <a:p>
          <a:pPr>
            <a:defRPr lang="en-GB"/>
          </a:pPr>
          <a:endParaRPr lang="en-US"/>
        </a:p>
      </c:txPr>
    </c:legend>
    <c:plotVisOnly val="1"/>
    <c:dispBlanksAs val="zero"/>
  </c:chart>
  <c:printSettings>
    <c:headerFooter/>
    <c:pageMargins b="0.75000000000000722" l="0.70000000000000062" r="0.70000000000000062" t="0.75000000000000722"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n-GB"/>
  <c:style val="4"/>
  <c:chart>
    <c:autoTitleDeleted val="1"/>
    <c:plotArea>
      <c:layout>
        <c:manualLayout>
          <c:layoutTarget val="inner"/>
          <c:xMode val="edge"/>
          <c:yMode val="edge"/>
          <c:x val="7.998500187476569E-2"/>
          <c:y val="6.609944989752993E-2"/>
          <c:w val="0.55282368550085081"/>
          <c:h val="0.74565390285118505"/>
        </c:manualLayout>
      </c:layout>
      <c:areaChart>
        <c:grouping val="stacked"/>
        <c:ser>
          <c:idx val="0"/>
          <c:order val="0"/>
          <c:tx>
            <c:strRef>
              <c:f>'GGO(SQ) (SQ and Post SPF)'!$B$674</c:f>
              <c:strCache>
                <c:ptCount val="1"/>
                <c:pt idx="0">
                  <c:v>Labour market policies</c:v>
                </c:pt>
              </c:strCache>
            </c:strRef>
          </c:tx>
          <c:spPr>
            <a:solidFill>
              <a:srgbClr val="92D050"/>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SPF)'!$C$674:$R$674</c:f>
              <c:numCache>
                <c:formatCode>0.00</c:formatCode>
                <c:ptCount val="16"/>
                <c:pt idx="0">
                  <c:v>0.16038869360726821</c:v>
                </c:pt>
                <c:pt idx="1">
                  <c:v>0.17038485422344021</c:v>
                </c:pt>
                <c:pt idx="2">
                  <c:v>0.18273777452892756</c:v>
                </c:pt>
                <c:pt idx="3">
                  <c:v>0.15938986073083652</c:v>
                </c:pt>
                <c:pt idx="4">
                  <c:v>0.15208834107486019</c:v>
                </c:pt>
                <c:pt idx="5">
                  <c:v>0.13516150514267389</c:v>
                </c:pt>
                <c:pt idx="6">
                  <c:v>0.16720502336097634</c:v>
                </c:pt>
                <c:pt idx="7">
                  <c:v>0.16446934570261074</c:v>
                </c:pt>
                <c:pt idx="8">
                  <c:v>0.15642144208141132</c:v>
                </c:pt>
                <c:pt idx="9">
                  <c:v>0.14500281467069259</c:v>
                </c:pt>
                <c:pt idx="10">
                  <c:v>0.13613053221765695</c:v>
                </c:pt>
                <c:pt idx="11">
                  <c:v>0.13038104065956599</c:v>
                </c:pt>
                <c:pt idx="12">
                  <c:v>0.12600939774404454</c:v>
                </c:pt>
                <c:pt idx="13">
                  <c:v>0.12190552275508446</c:v>
                </c:pt>
                <c:pt idx="14">
                  <c:v>0.11825137671963477</c:v>
                </c:pt>
                <c:pt idx="15">
                  <c:v>0.11570601198999671</c:v>
                </c:pt>
              </c:numCache>
            </c:numRef>
          </c:val>
        </c:ser>
        <c:ser>
          <c:idx val="1"/>
          <c:order val="1"/>
          <c:tx>
            <c:strRef>
              <c:f>'GGO(SQ) (SQ and Post SPF)'!$B$675</c:f>
              <c:strCache>
                <c:ptCount val="1"/>
                <c:pt idx="0">
                  <c:v>Health insurance</c:v>
                </c:pt>
              </c:strCache>
            </c:strRef>
          </c:tx>
          <c:spPr>
            <a:solidFill>
              <a:schemeClr val="accent3">
                <a:lumMod val="40000"/>
                <a:lumOff val="6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SPF)'!$C$675:$R$675</c:f>
              <c:numCache>
                <c:formatCode>0.00</c:formatCode>
                <c:ptCount val="16"/>
                <c:pt idx="0">
                  <c:v>0.27186343263749058</c:v>
                </c:pt>
                <c:pt idx="1">
                  <c:v>0.33347180393842679</c:v>
                </c:pt>
                <c:pt idx="2">
                  <c:v>0.38243295110043352</c:v>
                </c:pt>
                <c:pt idx="3">
                  <c:v>0.75496333156898654</c:v>
                </c:pt>
                <c:pt idx="4">
                  <c:v>0.71737884575586541</c:v>
                </c:pt>
                <c:pt idx="5">
                  <c:v>0.95252396069783318</c:v>
                </c:pt>
                <c:pt idx="6">
                  <c:v>0.98904278878202778</c:v>
                </c:pt>
                <c:pt idx="7">
                  <c:v>0.99091366900566669</c:v>
                </c:pt>
                <c:pt idx="8">
                  <c:v>1.0429889906323369</c:v>
                </c:pt>
                <c:pt idx="9">
                  <c:v>1.6564967044566499</c:v>
                </c:pt>
                <c:pt idx="10">
                  <c:v>1.6719486259964988</c:v>
                </c:pt>
                <c:pt idx="11">
                  <c:v>1.4569552966296815</c:v>
                </c:pt>
                <c:pt idx="12">
                  <c:v>1.3974432470961757</c:v>
                </c:pt>
                <c:pt idx="13">
                  <c:v>1.2260384670183544</c:v>
                </c:pt>
                <c:pt idx="14">
                  <c:v>1.2212514037947646</c:v>
                </c:pt>
                <c:pt idx="15">
                  <c:v>1.136985454072664</c:v>
                </c:pt>
              </c:numCache>
            </c:numRef>
          </c:val>
        </c:ser>
        <c:ser>
          <c:idx val="2"/>
          <c:order val="2"/>
          <c:tx>
            <c:strRef>
              <c:f>'GGO(SQ) (SQ and Post SPF)'!$B$676</c:f>
              <c:strCache>
                <c:ptCount val="1"/>
                <c:pt idx="0">
                  <c:v>Social insurance</c:v>
                </c:pt>
              </c:strCache>
            </c:strRef>
          </c:tx>
          <c:spPr>
            <a:solidFill>
              <a:schemeClr val="accent3">
                <a:lumMod val="60000"/>
                <a:lumOff val="4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SPF)'!$C$676:$R$676</c:f>
              <c:numCache>
                <c:formatCode>0.00</c:formatCode>
                <c:ptCount val="16"/>
                <c:pt idx="0">
                  <c:v>1.0366064518765172</c:v>
                </c:pt>
                <c:pt idx="1">
                  <c:v>0.98948562713384969</c:v>
                </c:pt>
                <c:pt idx="2">
                  <c:v>0.92515204581868093</c:v>
                </c:pt>
                <c:pt idx="3">
                  <c:v>0.77587240191833473</c:v>
                </c:pt>
                <c:pt idx="4">
                  <c:v>0.71153390428904195</c:v>
                </c:pt>
                <c:pt idx="5">
                  <c:v>0.90643707517120831</c:v>
                </c:pt>
                <c:pt idx="6">
                  <c:v>0.83643516712717225</c:v>
                </c:pt>
                <c:pt idx="7">
                  <c:v>0.75944919137973099</c:v>
                </c:pt>
                <c:pt idx="8">
                  <c:v>0.74335893195015246</c:v>
                </c:pt>
                <c:pt idx="9">
                  <c:v>0.59912194492249027</c:v>
                </c:pt>
                <c:pt idx="10">
                  <c:v>0.59986790218385155</c:v>
                </c:pt>
                <c:pt idx="11">
                  <c:v>0.51823748681461057</c:v>
                </c:pt>
                <c:pt idx="12">
                  <c:v>0.49040307154288493</c:v>
                </c:pt>
                <c:pt idx="13">
                  <c:v>0.41845275853958563</c:v>
                </c:pt>
                <c:pt idx="14">
                  <c:v>0.42490312580775269</c:v>
                </c:pt>
                <c:pt idx="15">
                  <c:v>0.40589393072508317</c:v>
                </c:pt>
              </c:numCache>
            </c:numRef>
          </c:val>
        </c:ser>
        <c:ser>
          <c:idx val="3"/>
          <c:order val="3"/>
          <c:tx>
            <c:strRef>
              <c:f>'GGO(SQ) (SQ and Post SPF)'!$B$677</c:f>
              <c:strCache>
                <c:ptCount val="1"/>
                <c:pt idx="0">
                  <c:v>Social assistance</c:v>
                </c:pt>
              </c:strCache>
            </c:strRef>
          </c:tx>
          <c:spPr>
            <a:solidFill>
              <a:schemeClr val="accent3">
                <a:lumMod val="75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SPF)'!$C$677:$R$677</c:f>
              <c:numCache>
                <c:formatCode>0.00</c:formatCode>
                <c:ptCount val="16"/>
                <c:pt idx="0">
                  <c:v>1.2556660375557214</c:v>
                </c:pt>
                <c:pt idx="1">
                  <c:v>1.3179478370989854</c:v>
                </c:pt>
                <c:pt idx="2">
                  <c:v>1.1934117884433535</c:v>
                </c:pt>
                <c:pt idx="3">
                  <c:v>1.2264655823942461</c:v>
                </c:pt>
                <c:pt idx="4">
                  <c:v>0.75652670559480006</c:v>
                </c:pt>
                <c:pt idx="5">
                  <c:v>1.1746606649177453</c:v>
                </c:pt>
                <c:pt idx="6">
                  <c:v>1.0225512046322736</c:v>
                </c:pt>
                <c:pt idx="7">
                  <c:v>0.95099460293190785</c:v>
                </c:pt>
                <c:pt idx="8">
                  <c:v>0.87883471632212196</c:v>
                </c:pt>
                <c:pt idx="9">
                  <c:v>0.82810119871645038</c:v>
                </c:pt>
                <c:pt idx="10">
                  <c:v>0.76813230404555477</c:v>
                </c:pt>
                <c:pt idx="11">
                  <c:v>0.72926455932039191</c:v>
                </c:pt>
                <c:pt idx="12">
                  <c:v>0.68158645990132549</c:v>
                </c:pt>
                <c:pt idx="13">
                  <c:v>0.63362771055541722</c:v>
                </c:pt>
                <c:pt idx="14">
                  <c:v>0.59485080910846833</c:v>
                </c:pt>
                <c:pt idx="15">
                  <c:v>0.56196113728112296</c:v>
                </c:pt>
              </c:numCache>
            </c:numRef>
          </c:val>
        </c:ser>
        <c:ser>
          <c:idx val="4"/>
          <c:order val="4"/>
          <c:tx>
            <c:strRef>
              <c:f>'GGO(SQ) (SQ and Post SPF)'!$B$678</c:f>
              <c:strCache>
                <c:ptCount val="1"/>
                <c:pt idx="0">
                  <c:v>Monitoring and evaluation</c:v>
                </c:pt>
              </c:strCache>
            </c:strRef>
          </c:tx>
          <c:spPr>
            <a:solidFill>
              <a:srgbClr val="3F601A"/>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SPF)'!$C$678:$R$678</c:f>
              <c:numCache>
                <c:formatCode>0.00</c:formatCode>
                <c:ptCount val="16"/>
                <c:pt idx="0">
                  <c:v>1.0886064691544411E-2</c:v>
                </c:pt>
                <c:pt idx="1">
                  <c:v>9.4031028600353311E-3</c:v>
                </c:pt>
                <c:pt idx="2">
                  <c:v>9.2649644993530629E-3</c:v>
                </c:pt>
                <c:pt idx="3">
                  <c:v>1.1219990415828855E-2</c:v>
                </c:pt>
                <c:pt idx="4">
                  <c:v>1.091836716234852E-2</c:v>
                </c:pt>
                <c:pt idx="5">
                  <c:v>9.8700347042361622E-3</c:v>
                </c:pt>
                <c:pt idx="6">
                  <c:v>1.0120670698369983E-2</c:v>
                </c:pt>
                <c:pt idx="7">
                  <c:v>1.0595930939340329E-2</c:v>
                </c:pt>
                <c:pt idx="8">
                  <c:v>9.988618464408525E-3</c:v>
                </c:pt>
                <c:pt idx="9">
                  <c:v>9.719184419555495E-3</c:v>
                </c:pt>
                <c:pt idx="10">
                  <c:v>9.4004980321764613E-3</c:v>
                </c:pt>
                <c:pt idx="11">
                  <c:v>9.5818188227964514E-3</c:v>
                </c:pt>
                <c:pt idx="12">
                  <c:v>9.6032968216498878E-3</c:v>
                </c:pt>
                <c:pt idx="13">
                  <c:v>8.9804046121600752E-3</c:v>
                </c:pt>
                <c:pt idx="14">
                  <c:v>8.5919993999354852E-3</c:v>
                </c:pt>
                <c:pt idx="15">
                  <c:v>8.1675862699698391E-3</c:v>
                </c:pt>
              </c:numCache>
            </c:numRef>
          </c:val>
        </c:ser>
        <c:ser>
          <c:idx val="5"/>
          <c:order val="5"/>
          <c:tx>
            <c:strRef>
              <c:f>'GGO(SQ) (SQ and Post SPF)'!$B$679</c:f>
              <c:strCache>
                <c:ptCount val="1"/>
                <c:pt idx="0">
                  <c:v>Labour market policies</c:v>
                </c:pt>
              </c:strCache>
            </c:strRef>
          </c:tx>
          <c:spPr>
            <a:solidFill>
              <a:schemeClr val="accent1">
                <a:lumMod val="75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SPF)'!$C$679:$R$679</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6"/>
          <c:order val="6"/>
          <c:tx>
            <c:strRef>
              <c:f>'GGO(SQ) (SQ and Post SPF)'!$B$680</c:f>
              <c:strCache>
                <c:ptCount val="1"/>
                <c:pt idx="0">
                  <c:v>Health insurance</c:v>
                </c:pt>
              </c:strCache>
            </c:strRef>
          </c:tx>
          <c:spPr>
            <a:solidFill>
              <a:schemeClr val="accent1">
                <a:lumMod val="40000"/>
                <a:lumOff val="6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SPF)'!$C$680:$R$680</c:f>
              <c:numCache>
                <c:formatCode>0.00</c:formatCode>
                <c:ptCount val="16"/>
                <c:pt idx="0">
                  <c:v>0.43768640996579455</c:v>
                </c:pt>
                <c:pt idx="1">
                  <c:v>0.48872089215973047</c:v>
                </c:pt>
                <c:pt idx="2">
                  <c:v>0.51313076605293118</c:v>
                </c:pt>
                <c:pt idx="3">
                  <c:v>1.0609278553698196</c:v>
                </c:pt>
                <c:pt idx="4">
                  <c:v>0.73139161986054502</c:v>
                </c:pt>
                <c:pt idx="5">
                  <c:v>1.1736006077656489</c:v>
                </c:pt>
                <c:pt idx="6">
                  <c:v>1.1650800877029677</c:v>
                </c:pt>
                <c:pt idx="7">
                  <c:v>1.0815522043828727</c:v>
                </c:pt>
                <c:pt idx="8">
                  <c:v>1.0909503951655291</c:v>
                </c:pt>
                <c:pt idx="9">
                  <c:v>1.6089223649712754</c:v>
                </c:pt>
                <c:pt idx="10">
                  <c:v>1.5340307770640587</c:v>
                </c:pt>
                <c:pt idx="11">
                  <c:v>1.401427868375317</c:v>
                </c:pt>
                <c:pt idx="12">
                  <c:v>1.4025991142588559</c:v>
                </c:pt>
                <c:pt idx="13">
                  <c:v>1.2688078728248382</c:v>
                </c:pt>
                <c:pt idx="14">
                  <c:v>1.334641496314189</c:v>
                </c:pt>
                <c:pt idx="15">
                  <c:v>1.2975021364235833</c:v>
                </c:pt>
              </c:numCache>
            </c:numRef>
          </c:val>
        </c:ser>
        <c:ser>
          <c:idx val="7"/>
          <c:order val="7"/>
          <c:tx>
            <c:strRef>
              <c:f>'GGO(SQ) (SQ and Post SPF)'!$B$681</c:f>
              <c:strCache>
                <c:ptCount val="1"/>
                <c:pt idx="0">
                  <c:v>Social insurance</c:v>
                </c:pt>
              </c:strCache>
            </c:strRef>
          </c:tx>
          <c:spPr>
            <a:solidFill>
              <a:schemeClr val="accent1">
                <a:lumMod val="60000"/>
                <a:lumOff val="4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SPF)'!$C$681:$R$681</c:f>
              <c:numCache>
                <c:formatCode>0.00</c:formatCode>
                <c:ptCount val="16"/>
                <c:pt idx="0">
                  <c:v>1.7409727968999824</c:v>
                </c:pt>
                <c:pt idx="1">
                  <c:v>1.6404776934406959</c:v>
                </c:pt>
                <c:pt idx="2">
                  <c:v>1.5187869790584636</c:v>
                </c:pt>
                <c:pt idx="3">
                  <c:v>1.2615731045266183</c:v>
                </c:pt>
                <c:pt idx="4">
                  <c:v>1.1297011738500435</c:v>
                </c:pt>
                <c:pt idx="5">
                  <c:v>2.3829168968612904</c:v>
                </c:pt>
                <c:pt idx="6">
                  <c:v>2.6651324295071048</c:v>
                </c:pt>
                <c:pt idx="7">
                  <c:v>2.9599924237142643</c:v>
                </c:pt>
                <c:pt idx="8">
                  <c:v>3.2780010742038881</c:v>
                </c:pt>
                <c:pt idx="9">
                  <c:v>3.3044581585900095</c:v>
                </c:pt>
                <c:pt idx="10">
                  <c:v>3.683582141794739</c:v>
                </c:pt>
                <c:pt idx="11">
                  <c:v>3.8906455715366293</c:v>
                </c:pt>
                <c:pt idx="12">
                  <c:v>3.8222435397028356</c:v>
                </c:pt>
                <c:pt idx="13">
                  <c:v>3.6791676717009216</c:v>
                </c:pt>
                <c:pt idx="14">
                  <c:v>4.0498251189415377</c:v>
                </c:pt>
                <c:pt idx="15">
                  <c:v>4.3289834705534771</c:v>
                </c:pt>
              </c:numCache>
            </c:numRef>
          </c:val>
        </c:ser>
        <c:ser>
          <c:idx val="8"/>
          <c:order val="8"/>
          <c:tx>
            <c:strRef>
              <c:f>'GGO(SQ) (SQ and Post SPF)'!$B$682</c:f>
              <c:strCache>
                <c:ptCount val="1"/>
                <c:pt idx="0">
                  <c:v>Social assistance</c:v>
                </c:pt>
              </c:strCache>
            </c:strRef>
          </c:tx>
          <c:spPr>
            <a:solidFill>
              <a:schemeClr val="accent5">
                <a:lumMod val="75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SPF)'!$C$682:$R$682</c:f>
              <c:numCache>
                <c:formatCode>0.00</c:formatCode>
                <c:ptCount val="16"/>
                <c:pt idx="0">
                  <c:v>0.29855869046485339</c:v>
                </c:pt>
                <c:pt idx="1">
                  <c:v>0.30977823272133187</c:v>
                </c:pt>
                <c:pt idx="2">
                  <c:v>0.28712098309011846</c:v>
                </c:pt>
                <c:pt idx="3">
                  <c:v>0.29559485959922727</c:v>
                </c:pt>
                <c:pt idx="4">
                  <c:v>0.8271183675701298</c:v>
                </c:pt>
                <c:pt idx="5">
                  <c:v>0.33589564800005434</c:v>
                </c:pt>
                <c:pt idx="6">
                  <c:v>0.28757497617158156</c:v>
                </c:pt>
                <c:pt idx="7">
                  <c:v>0.26281203846017087</c:v>
                </c:pt>
                <c:pt idx="8">
                  <c:v>0.23900035022847654</c:v>
                </c:pt>
                <c:pt idx="9">
                  <c:v>0.22083471815967592</c:v>
                </c:pt>
                <c:pt idx="10">
                  <c:v>0.20206072565599853</c:v>
                </c:pt>
                <c:pt idx="11">
                  <c:v>0.18851408070609565</c:v>
                </c:pt>
                <c:pt idx="12">
                  <c:v>0.1739598785182348</c:v>
                </c:pt>
                <c:pt idx="13">
                  <c:v>0.1599401183986936</c:v>
                </c:pt>
                <c:pt idx="14">
                  <c:v>0.14826822339695145</c:v>
                </c:pt>
                <c:pt idx="15">
                  <c:v>0.13822691999268866</c:v>
                </c:pt>
              </c:numCache>
            </c:numRef>
          </c:val>
        </c:ser>
        <c:ser>
          <c:idx val="9"/>
          <c:order val="9"/>
          <c:tx>
            <c:strRef>
              <c:f>'GGO(SQ) (SQ and Post SPF)'!$B$683</c:f>
              <c:strCache>
                <c:ptCount val="1"/>
                <c:pt idx="0">
                  <c:v>Monitoring and evaluation</c:v>
                </c:pt>
              </c:strCache>
            </c:strRef>
          </c:tx>
          <c:spPr>
            <a:solidFill>
              <a:schemeClr val="accent1">
                <a:lumMod val="50000"/>
              </a:schemeClr>
            </a:solidFill>
          </c:spPr>
          <c:cat>
            <c:numRef>
              <c:f>'GGO(SQ) (SQ and Post SPF)'!$C$673:$R$673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SPF)'!$C$683:$R$683</c:f>
              <c:numCache>
                <c:formatCode>0.00</c:formatCode>
                <c:ptCount val="16"/>
                <c:pt idx="0">
                  <c:v>0</c:v>
                </c:pt>
                <c:pt idx="1">
                  <c:v>0</c:v>
                </c:pt>
                <c:pt idx="2">
                  <c:v>0</c:v>
                </c:pt>
                <c:pt idx="3">
                  <c:v>0</c:v>
                </c:pt>
                <c:pt idx="4">
                  <c:v>-5.7126674050944626E-10</c:v>
                </c:pt>
                <c:pt idx="5">
                  <c:v>0</c:v>
                </c:pt>
                <c:pt idx="6">
                  <c:v>0</c:v>
                </c:pt>
                <c:pt idx="7">
                  <c:v>0</c:v>
                </c:pt>
                <c:pt idx="8">
                  <c:v>0</c:v>
                </c:pt>
                <c:pt idx="9">
                  <c:v>0</c:v>
                </c:pt>
                <c:pt idx="10">
                  <c:v>0</c:v>
                </c:pt>
                <c:pt idx="11">
                  <c:v>0</c:v>
                </c:pt>
                <c:pt idx="12">
                  <c:v>0</c:v>
                </c:pt>
                <c:pt idx="13">
                  <c:v>0</c:v>
                </c:pt>
                <c:pt idx="14">
                  <c:v>0</c:v>
                </c:pt>
                <c:pt idx="15">
                  <c:v>0</c:v>
                </c:pt>
              </c:numCache>
            </c:numRef>
          </c:val>
        </c:ser>
        <c:axId val="135728128"/>
        <c:axId val="135746304"/>
      </c:areaChart>
      <c:catAx>
        <c:axId val="135728128"/>
        <c:scaling>
          <c:orientation val="minMax"/>
        </c:scaling>
        <c:axPos val="b"/>
        <c:numFmt formatCode="General" sourceLinked="1"/>
        <c:tickLblPos val="nextTo"/>
        <c:txPr>
          <a:bodyPr rot="-5400000" vert="horz"/>
          <a:lstStyle/>
          <a:p>
            <a:pPr>
              <a:defRPr lang="en-GB"/>
            </a:pPr>
            <a:endParaRPr lang="en-US"/>
          </a:p>
        </c:txPr>
        <c:crossAx val="135746304"/>
        <c:crosses val="autoZero"/>
        <c:auto val="1"/>
        <c:lblAlgn val="ctr"/>
        <c:lblOffset val="100"/>
      </c:catAx>
      <c:valAx>
        <c:axId val="135746304"/>
        <c:scaling>
          <c:orientation val="minMax"/>
        </c:scaling>
        <c:axPos val="l"/>
        <c:majorGridlines/>
        <c:title>
          <c:tx>
            <c:rich>
              <a:bodyPr rot="-5400000" vert="horz"/>
              <a:lstStyle/>
              <a:p>
                <a:pPr>
                  <a:defRPr lang="en-GB"/>
                </a:pPr>
                <a:r>
                  <a:rPr lang="en-US"/>
                  <a:t>Percentage of GDP</a:t>
                </a:r>
              </a:p>
            </c:rich>
          </c:tx>
          <c:spPr>
            <a:noFill/>
            <a:ln w="25400">
              <a:noFill/>
            </a:ln>
          </c:spPr>
        </c:title>
        <c:numFmt formatCode="0" sourceLinked="0"/>
        <c:tickLblPos val="nextTo"/>
        <c:spPr>
          <a:ln>
            <a:noFill/>
          </a:ln>
        </c:spPr>
        <c:txPr>
          <a:bodyPr/>
          <a:lstStyle/>
          <a:p>
            <a:pPr>
              <a:defRPr lang="en-GB"/>
            </a:pPr>
            <a:endParaRPr lang="en-US"/>
          </a:p>
        </c:txPr>
        <c:crossAx val="135728128"/>
        <c:crosses val="autoZero"/>
        <c:crossBetween val="midCat"/>
      </c:valAx>
    </c:plotArea>
    <c:legend>
      <c:legendPos val="r"/>
      <c:layout>
        <c:manualLayout>
          <c:xMode val="edge"/>
          <c:yMode val="edge"/>
          <c:x val="0.71576634651437865"/>
          <c:y val="6.320152446697587E-2"/>
          <c:w val="0.27272763981425485"/>
          <c:h val="0.85286535073526737"/>
        </c:manualLayout>
      </c:layout>
      <c:txPr>
        <a:bodyPr/>
        <a:lstStyle/>
        <a:p>
          <a:pPr>
            <a:defRPr lang="en-GB"/>
          </a:pPr>
          <a:endParaRPr lang="en-US"/>
        </a:p>
      </c:txPr>
    </c:legend>
    <c:plotVisOnly val="1"/>
    <c:dispBlanksAs val="zero"/>
  </c:chart>
  <c:printSettings>
    <c:headerFooter/>
    <c:pageMargins b="0.75000000000000699" l="0.70000000000000062" r="0.70000000000000062" t="0.75000000000000699"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a:pPr>
            <a:r>
              <a:rPr lang="en-GB" sz="1050"/>
              <a:t>State</a:t>
            </a:r>
            <a:r>
              <a:rPr lang="en-GB" sz="1050" baseline="0"/>
              <a:t> budget for social security and </a:t>
            </a:r>
          </a:p>
          <a:p>
            <a:pPr>
              <a:defRPr lang="en-GB"/>
            </a:pPr>
            <a:r>
              <a:rPr lang="en-GB" sz="1050" baseline="0"/>
              <a:t>c</a:t>
            </a:r>
            <a:r>
              <a:rPr lang="en-GB" sz="1050"/>
              <a:t>omposition</a:t>
            </a:r>
            <a:r>
              <a:rPr lang="en-GB" sz="1050" baseline="0"/>
              <a:t> over time </a:t>
            </a:r>
          </a:p>
          <a:p>
            <a:pPr>
              <a:defRPr lang="en-GB"/>
            </a:pPr>
            <a:r>
              <a:rPr lang="en-GB" sz="1050" baseline="0"/>
              <a:t>as a percentage of GDP</a:t>
            </a:r>
            <a:endParaRPr lang="en-GB" sz="1050"/>
          </a:p>
        </c:rich>
      </c:tx>
      <c:layout>
        <c:manualLayout>
          <c:xMode val="edge"/>
          <c:yMode val="edge"/>
          <c:x val="0.67028323382654165"/>
          <c:y val="2.1725020221528914E-2"/>
        </c:manualLayout>
      </c:layout>
      <c:overlay val="1"/>
      <c:spPr>
        <a:noFill/>
        <a:ln w="25400">
          <a:noFill/>
        </a:ln>
      </c:spPr>
    </c:title>
    <c:plotArea>
      <c:layout>
        <c:manualLayout>
          <c:layoutTarget val="inner"/>
          <c:xMode val="edge"/>
          <c:yMode val="edge"/>
          <c:x val="9.7693351424694708E-2"/>
          <c:y val="7.0678127984718314E-2"/>
          <c:w val="0.53731343283582089"/>
          <c:h val="0.74279898974892289"/>
        </c:manualLayout>
      </c:layout>
      <c:areaChart>
        <c:grouping val="stacked"/>
        <c:ser>
          <c:idx val="0"/>
          <c:order val="0"/>
          <c:tx>
            <c:strRef>
              <c:f>'GGO(SQ) (SQ and Post SPF)'!$B$295</c:f>
              <c:strCache>
                <c:ptCount val="1"/>
                <c:pt idx="0">
                  <c:v>Labour market policies</c:v>
                </c:pt>
              </c:strCache>
            </c:strRef>
          </c:tx>
          <c:cat>
            <c:numRef>
              <c:f>'GGO(SQ) (SQ and Post SPF)'!$C$294:$R$294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SPF)'!$C$295:$R$295</c:f>
              <c:numCache>
                <c:formatCode>0.00</c:formatCode>
                <c:ptCount val="16"/>
                <c:pt idx="0">
                  <c:v>0.16038869360726821</c:v>
                </c:pt>
                <c:pt idx="1">
                  <c:v>0.17038485422344021</c:v>
                </c:pt>
                <c:pt idx="2">
                  <c:v>0.18273777452892756</c:v>
                </c:pt>
                <c:pt idx="3">
                  <c:v>0.15938986073083652</c:v>
                </c:pt>
                <c:pt idx="4">
                  <c:v>0.15208834107486019</c:v>
                </c:pt>
                <c:pt idx="5">
                  <c:v>0.13516150514267389</c:v>
                </c:pt>
                <c:pt idx="6">
                  <c:v>0.16720502336097634</c:v>
                </c:pt>
                <c:pt idx="7">
                  <c:v>0.16446934570261074</c:v>
                </c:pt>
                <c:pt idx="8">
                  <c:v>0.15642144208141132</c:v>
                </c:pt>
                <c:pt idx="9">
                  <c:v>0.14500281467069259</c:v>
                </c:pt>
                <c:pt idx="10">
                  <c:v>0.13613053221765695</c:v>
                </c:pt>
                <c:pt idx="11">
                  <c:v>0.13038104065956599</c:v>
                </c:pt>
                <c:pt idx="12">
                  <c:v>0.12600939774404454</c:v>
                </c:pt>
                <c:pt idx="13">
                  <c:v>0.12190552275508446</c:v>
                </c:pt>
                <c:pt idx="14">
                  <c:v>0.11825137671963477</c:v>
                </c:pt>
                <c:pt idx="15">
                  <c:v>0.11570601198999671</c:v>
                </c:pt>
              </c:numCache>
            </c:numRef>
          </c:val>
        </c:ser>
        <c:ser>
          <c:idx val="1"/>
          <c:order val="1"/>
          <c:tx>
            <c:strRef>
              <c:f>'GGO(SQ) (SQ and Post SPF)'!$B$296</c:f>
              <c:strCache>
                <c:ptCount val="1"/>
                <c:pt idx="0">
                  <c:v>Health insurance</c:v>
                </c:pt>
              </c:strCache>
            </c:strRef>
          </c:tx>
          <c:spPr>
            <a:solidFill>
              <a:schemeClr val="accent2">
                <a:lumMod val="60000"/>
                <a:lumOff val="40000"/>
              </a:schemeClr>
            </a:solidFill>
          </c:spPr>
          <c:cat>
            <c:numRef>
              <c:f>'GGO(SQ) (SQ and Post SPF)'!$C$294:$R$294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SPF)'!$C$296:$R$296</c:f>
              <c:numCache>
                <c:formatCode>0.00</c:formatCode>
                <c:ptCount val="16"/>
                <c:pt idx="0">
                  <c:v>0.27186343263749058</c:v>
                </c:pt>
                <c:pt idx="1">
                  <c:v>0.33347180393842679</c:v>
                </c:pt>
                <c:pt idx="2">
                  <c:v>0.38243295110043352</c:v>
                </c:pt>
                <c:pt idx="3">
                  <c:v>0.75496333156898654</c:v>
                </c:pt>
                <c:pt idx="4">
                  <c:v>0.71737884575586541</c:v>
                </c:pt>
                <c:pt idx="5">
                  <c:v>0.95252396069783318</c:v>
                </c:pt>
                <c:pt idx="6">
                  <c:v>0.98904278878202778</c:v>
                </c:pt>
                <c:pt idx="7">
                  <c:v>0.99091366900566669</c:v>
                </c:pt>
                <c:pt idx="8">
                  <c:v>1.0429889906323369</c:v>
                </c:pt>
                <c:pt idx="9">
                  <c:v>1.6564967044566499</c:v>
                </c:pt>
                <c:pt idx="10">
                  <c:v>1.6719486259964988</c:v>
                </c:pt>
                <c:pt idx="11">
                  <c:v>1.4569552966296815</c:v>
                </c:pt>
                <c:pt idx="12">
                  <c:v>1.3974432470961757</c:v>
                </c:pt>
                <c:pt idx="13">
                  <c:v>1.2260384670183544</c:v>
                </c:pt>
                <c:pt idx="14">
                  <c:v>1.2212514037947646</c:v>
                </c:pt>
                <c:pt idx="15">
                  <c:v>1.136985454072664</c:v>
                </c:pt>
              </c:numCache>
            </c:numRef>
          </c:val>
        </c:ser>
        <c:ser>
          <c:idx val="2"/>
          <c:order val="2"/>
          <c:tx>
            <c:strRef>
              <c:f>'GGO(SQ) (SQ and Post SPF)'!$B$297</c:f>
              <c:strCache>
                <c:ptCount val="1"/>
                <c:pt idx="0">
                  <c:v>Social insurance</c:v>
                </c:pt>
              </c:strCache>
            </c:strRef>
          </c:tx>
          <c:spPr>
            <a:solidFill>
              <a:schemeClr val="accent2">
                <a:lumMod val="20000"/>
                <a:lumOff val="80000"/>
              </a:schemeClr>
            </a:solidFill>
          </c:spPr>
          <c:cat>
            <c:numRef>
              <c:f>'GGO(SQ) (SQ and Post SPF)'!$C$294:$R$294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SPF)'!$C$297:$R$297</c:f>
              <c:numCache>
                <c:formatCode>0.00</c:formatCode>
                <c:ptCount val="16"/>
                <c:pt idx="0">
                  <c:v>1.0366064518765172</c:v>
                </c:pt>
                <c:pt idx="1">
                  <c:v>0.98948562713384969</c:v>
                </c:pt>
                <c:pt idx="2">
                  <c:v>0.92515204581868093</c:v>
                </c:pt>
                <c:pt idx="3">
                  <c:v>0.77587240191833473</c:v>
                </c:pt>
                <c:pt idx="4">
                  <c:v>0.71153390428904195</c:v>
                </c:pt>
                <c:pt idx="5">
                  <c:v>0.90643707517120831</c:v>
                </c:pt>
                <c:pt idx="6">
                  <c:v>0.83643516712717225</c:v>
                </c:pt>
                <c:pt idx="7">
                  <c:v>0.75944919137973099</c:v>
                </c:pt>
                <c:pt idx="8">
                  <c:v>0.74335893195015246</c:v>
                </c:pt>
                <c:pt idx="9">
                  <c:v>0.59912194492249027</c:v>
                </c:pt>
                <c:pt idx="10">
                  <c:v>0.59986790218385155</c:v>
                </c:pt>
                <c:pt idx="11">
                  <c:v>0.51823748681461057</c:v>
                </c:pt>
                <c:pt idx="12">
                  <c:v>0.49040307154288493</c:v>
                </c:pt>
                <c:pt idx="13">
                  <c:v>0.41845275853958563</c:v>
                </c:pt>
                <c:pt idx="14">
                  <c:v>0.42490312580775269</c:v>
                </c:pt>
                <c:pt idx="15">
                  <c:v>0.40589393072508317</c:v>
                </c:pt>
              </c:numCache>
            </c:numRef>
          </c:val>
        </c:ser>
        <c:ser>
          <c:idx val="7"/>
          <c:order val="3"/>
          <c:tx>
            <c:strRef>
              <c:f>'GGO(SQ) (SQ and Post SPF)'!$B$299</c:f>
              <c:strCache>
                <c:ptCount val="1"/>
                <c:pt idx="0">
                  <c:v>Regular social assistance in accordance with Decree No. 67</c:v>
                </c:pt>
              </c:strCache>
            </c:strRef>
          </c:tx>
          <c:spPr>
            <a:solidFill>
              <a:schemeClr val="accent1">
                <a:lumMod val="75000"/>
              </a:schemeClr>
            </a:solidFill>
          </c:spPr>
          <c:cat>
            <c:numRef>
              <c:f>'GGO(SQ) (SQ and Post SPF)'!$C$294:$R$294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SPF)'!$C$299:$R$299</c:f>
              <c:numCache>
                <c:formatCode>0.00</c:formatCode>
                <c:ptCount val="16"/>
                <c:pt idx="0">
                  <c:v>2.9789876227204349E-2</c:v>
                </c:pt>
                <c:pt idx="1">
                  <c:v>4.1056591379142221E-2</c:v>
                </c:pt>
                <c:pt idx="2">
                  <c:v>4.8088888033928308E-2</c:v>
                </c:pt>
                <c:pt idx="3">
                  <c:v>0.13707393346163532</c:v>
                </c:pt>
                <c:pt idx="4">
                  <c:v>8.4551978297029387E-2</c:v>
                </c:pt>
                <c:pt idx="5">
                  <c:v>0.14740474173129003</c:v>
                </c:pt>
                <c:pt idx="6">
                  <c:v>0.134790346707342</c:v>
                </c:pt>
                <c:pt idx="7">
                  <c:v>0.13096411221266047</c:v>
                </c:pt>
                <c:pt idx="8">
                  <c:v>0.1267590317698169</c:v>
                </c:pt>
                <c:pt idx="9">
                  <c:v>0.12302133012902616</c:v>
                </c:pt>
                <c:pt idx="10">
                  <c:v>0.11994310013432605</c:v>
                </c:pt>
                <c:pt idx="11">
                  <c:v>0.11604116833693195</c:v>
                </c:pt>
                <c:pt idx="12">
                  <c:v>0.11246453323791632</c:v>
                </c:pt>
                <c:pt idx="13">
                  <c:v>0.10899877807159959</c:v>
                </c:pt>
                <c:pt idx="14">
                  <c:v>0.10560599803035027</c:v>
                </c:pt>
                <c:pt idx="15">
                  <c:v>0.10228448908116512</c:v>
                </c:pt>
              </c:numCache>
            </c:numRef>
          </c:val>
        </c:ser>
        <c:ser>
          <c:idx val="3"/>
          <c:order val="4"/>
          <c:tx>
            <c:strRef>
              <c:f>'GGO(SQ) (SQ and Post SPF)'!$B$300</c:f>
              <c:strCache>
                <c:ptCount val="1"/>
                <c:pt idx="0">
                  <c:v>Emergency social relief in accordance with Decree No. 67</c:v>
                </c:pt>
              </c:strCache>
            </c:strRef>
          </c:tx>
          <c:spPr>
            <a:solidFill>
              <a:schemeClr val="tx2">
                <a:lumMod val="60000"/>
                <a:lumOff val="40000"/>
              </a:schemeClr>
            </a:solidFill>
            <a:ln w="25400">
              <a:noFill/>
            </a:ln>
          </c:spPr>
          <c:cat>
            <c:numRef>
              <c:f>'GGO(SQ) (SQ and Post SPF)'!$C$294:$R$294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SPF)'!$C$300:$R$300</c:f>
              <c:numCache>
                <c:formatCode>0.00</c:formatCode>
                <c:ptCount val="16"/>
                <c:pt idx="0">
                  <c:v>0.53276214644732256</c:v>
                </c:pt>
                <c:pt idx="1">
                  <c:v>0.32188367641247501</c:v>
                </c:pt>
                <c:pt idx="2">
                  <c:v>0.22802876362270005</c:v>
                </c:pt>
                <c:pt idx="3">
                  <c:v>0.22445313087707425</c:v>
                </c:pt>
                <c:pt idx="4">
                  <c:v>0.13845051186139842</c:v>
                </c:pt>
                <c:pt idx="5">
                  <c:v>0.17668615127888465</c:v>
                </c:pt>
                <c:pt idx="6">
                  <c:v>0.15611158238055278</c:v>
                </c:pt>
                <c:pt idx="7">
                  <c:v>0.1465594807477387</c:v>
                </c:pt>
                <c:pt idx="8">
                  <c:v>0.13706475892122574</c:v>
                </c:pt>
                <c:pt idx="9">
                  <c:v>0.12853239222355872</c:v>
                </c:pt>
                <c:pt idx="10">
                  <c:v>0.12108566211721941</c:v>
                </c:pt>
                <c:pt idx="11">
                  <c:v>0.11407707208495163</c:v>
                </c:pt>
                <c:pt idx="12">
                  <c:v>0.10766404201397985</c:v>
                </c:pt>
                <c:pt idx="13">
                  <c:v>0.10161212801278344</c:v>
                </c:pt>
                <c:pt idx="14">
                  <c:v>9.5869690347656009E-2</c:v>
                </c:pt>
                <c:pt idx="15">
                  <c:v>9.0421423877623849E-2</c:v>
                </c:pt>
              </c:numCache>
            </c:numRef>
          </c:val>
        </c:ser>
        <c:ser>
          <c:idx val="4"/>
          <c:order val="5"/>
          <c:tx>
            <c:strRef>
              <c:f>'GGO(SQ) (SQ and Post SPF)'!$B$301</c:f>
              <c:strCache>
                <c:ptCount val="1"/>
                <c:pt idx="0">
                  <c:v>Other types of social assistance</c:v>
                </c:pt>
              </c:strCache>
            </c:strRef>
          </c:tx>
          <c:spPr>
            <a:solidFill>
              <a:schemeClr val="accent1">
                <a:lumMod val="40000"/>
                <a:lumOff val="60000"/>
              </a:schemeClr>
            </a:solidFill>
            <a:ln w="25400">
              <a:noFill/>
            </a:ln>
          </c:spPr>
          <c:cat>
            <c:numRef>
              <c:f>'GGO(SQ) (SQ and Post SPF)'!$C$294:$R$294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SPF)'!$C$301:$R$301</c:f>
              <c:numCache>
                <c:formatCode>0.00</c:formatCode>
                <c:ptCount val="16"/>
                <c:pt idx="0">
                  <c:v>0.69311401488119428</c:v>
                </c:pt>
                <c:pt idx="1">
                  <c:v>0.95500756930736819</c:v>
                </c:pt>
                <c:pt idx="2">
                  <c:v>0.91729413678672511</c:v>
                </c:pt>
                <c:pt idx="3">
                  <c:v>0.86493851805553645</c:v>
                </c:pt>
                <c:pt idx="4">
                  <c:v>0.5335242154363723</c:v>
                </c:pt>
                <c:pt idx="5">
                  <c:v>0.85056977190757044</c:v>
                </c:pt>
                <c:pt idx="6">
                  <c:v>0.73654912094791225</c:v>
                </c:pt>
                <c:pt idx="7">
                  <c:v>0.67770339812723945</c:v>
                </c:pt>
                <c:pt idx="8">
                  <c:v>0.62117033646368891</c:v>
                </c:pt>
                <c:pt idx="9">
                  <c:v>0.57089553734884402</c:v>
                </c:pt>
                <c:pt idx="10">
                  <c:v>0.52710354179400931</c:v>
                </c:pt>
                <c:pt idx="11">
                  <c:v>0.49028882900773518</c:v>
                </c:pt>
                <c:pt idx="12">
                  <c:v>0.45685115927692183</c:v>
                </c:pt>
                <c:pt idx="13">
                  <c:v>0.4256964379630559</c:v>
                </c:pt>
                <c:pt idx="14">
                  <c:v>0.3965392792226875</c:v>
                </c:pt>
                <c:pt idx="15">
                  <c:v>0.36925522432233404</c:v>
                </c:pt>
              </c:numCache>
            </c:numRef>
          </c:val>
        </c:ser>
        <c:ser>
          <c:idx val="5"/>
          <c:order val="6"/>
          <c:tx>
            <c:strRef>
              <c:f>'GGO(SQ) (SQ and Post SPF)'!$B$302</c:f>
              <c:strCache>
                <c:ptCount val="1"/>
                <c:pt idx="0">
                  <c:v>Monitoring and evaluation</c:v>
                </c:pt>
              </c:strCache>
            </c:strRef>
          </c:tx>
          <c:spPr>
            <a:solidFill>
              <a:schemeClr val="accent3">
                <a:lumMod val="60000"/>
                <a:lumOff val="40000"/>
              </a:schemeClr>
            </a:solidFill>
            <a:ln w="25400">
              <a:noFill/>
            </a:ln>
          </c:spPr>
          <c:cat>
            <c:numRef>
              <c:f>'GGO(SQ) (SQ and Post SPF)'!$C$294:$R$294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SPF)'!$C$302:$R$302</c:f>
              <c:numCache>
                <c:formatCode>0.00</c:formatCode>
                <c:ptCount val="16"/>
                <c:pt idx="0">
                  <c:v>1.0886064691544411E-2</c:v>
                </c:pt>
                <c:pt idx="1">
                  <c:v>9.4031028600353311E-3</c:v>
                </c:pt>
                <c:pt idx="2">
                  <c:v>9.2649644993530629E-3</c:v>
                </c:pt>
                <c:pt idx="3">
                  <c:v>1.1219990415828855E-2</c:v>
                </c:pt>
                <c:pt idx="4">
                  <c:v>1.091836716234852E-2</c:v>
                </c:pt>
                <c:pt idx="5">
                  <c:v>9.8700347042361622E-3</c:v>
                </c:pt>
                <c:pt idx="6">
                  <c:v>1.0120670698369983E-2</c:v>
                </c:pt>
                <c:pt idx="7">
                  <c:v>1.0595930939340329E-2</c:v>
                </c:pt>
                <c:pt idx="8">
                  <c:v>9.988618464408525E-3</c:v>
                </c:pt>
                <c:pt idx="9">
                  <c:v>9.719184419555495E-3</c:v>
                </c:pt>
                <c:pt idx="10">
                  <c:v>9.4004980321764613E-3</c:v>
                </c:pt>
                <c:pt idx="11">
                  <c:v>9.5818188227964514E-3</c:v>
                </c:pt>
                <c:pt idx="12">
                  <c:v>9.6032968216498878E-3</c:v>
                </c:pt>
                <c:pt idx="13">
                  <c:v>8.9804046121600752E-3</c:v>
                </c:pt>
                <c:pt idx="14">
                  <c:v>8.5919993999354852E-3</c:v>
                </c:pt>
                <c:pt idx="15">
                  <c:v>8.1675862699698391E-3</c:v>
                </c:pt>
              </c:numCache>
            </c:numRef>
          </c:val>
        </c:ser>
        <c:axId val="135886336"/>
        <c:axId val="135887872"/>
      </c:areaChart>
      <c:catAx>
        <c:axId val="135886336"/>
        <c:scaling>
          <c:orientation val="minMax"/>
        </c:scaling>
        <c:axPos val="b"/>
        <c:numFmt formatCode="General" sourceLinked="1"/>
        <c:tickLblPos val="nextTo"/>
        <c:txPr>
          <a:bodyPr rot="-5400000" vert="horz"/>
          <a:lstStyle/>
          <a:p>
            <a:pPr>
              <a:defRPr lang="en-GB"/>
            </a:pPr>
            <a:endParaRPr lang="en-US"/>
          </a:p>
        </c:txPr>
        <c:crossAx val="135887872"/>
        <c:crosses val="autoZero"/>
        <c:auto val="1"/>
        <c:lblAlgn val="ctr"/>
        <c:lblOffset val="100"/>
      </c:catAx>
      <c:valAx>
        <c:axId val="135887872"/>
        <c:scaling>
          <c:orientation val="minMax"/>
        </c:scaling>
        <c:axPos val="l"/>
        <c:majorGridlines/>
        <c:title>
          <c:tx>
            <c:rich>
              <a:bodyPr rot="-5400000" vert="horz"/>
              <a:lstStyle/>
              <a:p>
                <a:pPr>
                  <a:defRPr lang="en-GB"/>
                </a:pPr>
                <a:r>
                  <a:rPr lang="en-US"/>
                  <a:t>Percentage of GDP</a:t>
                </a:r>
              </a:p>
            </c:rich>
          </c:tx>
          <c:spPr>
            <a:noFill/>
            <a:ln w="25400">
              <a:noFill/>
            </a:ln>
          </c:spPr>
        </c:title>
        <c:numFmt formatCode="0.00" sourceLinked="1"/>
        <c:tickLblPos val="nextTo"/>
        <c:spPr>
          <a:ln>
            <a:noFill/>
          </a:ln>
        </c:spPr>
        <c:txPr>
          <a:bodyPr/>
          <a:lstStyle/>
          <a:p>
            <a:pPr>
              <a:defRPr lang="en-GB"/>
            </a:pPr>
            <a:endParaRPr lang="en-US"/>
          </a:p>
        </c:txPr>
        <c:crossAx val="135886336"/>
        <c:crosses val="autoZero"/>
        <c:crossBetween val="midCat"/>
      </c:valAx>
      <c:spPr>
        <a:ln>
          <a:noFill/>
        </a:ln>
      </c:spPr>
    </c:plotArea>
    <c:legend>
      <c:legendPos val="r"/>
      <c:layout>
        <c:manualLayout>
          <c:xMode val="edge"/>
          <c:yMode val="edge"/>
          <c:x val="0.65037812581119669"/>
          <c:y val="0.18189636672774459"/>
          <c:w val="0.33521675175218646"/>
          <c:h val="0.78371977087769651"/>
        </c:manualLayout>
      </c:layout>
      <c:txPr>
        <a:bodyPr/>
        <a:lstStyle/>
        <a:p>
          <a:pPr>
            <a:defRPr lang="en-GB"/>
          </a:pPr>
          <a:endParaRPr lang="en-US"/>
        </a:p>
      </c:txPr>
    </c:legend>
    <c:plotVisOnly val="1"/>
    <c:dispBlanksAs val="zero"/>
  </c:chart>
  <c:printSettings>
    <c:headerFooter/>
    <c:pageMargins b="0.75000000000000766" l="0.70000000000000062" r="0.70000000000000062" t="0.750000000000007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GB"/>
  <c:style val="4"/>
  <c:chart>
    <c:autoTitleDeleted val="1"/>
    <c:plotArea>
      <c:layout>
        <c:manualLayout>
          <c:layoutTarget val="inner"/>
          <c:xMode val="edge"/>
          <c:yMode val="edge"/>
          <c:x val="0.12285285074586155"/>
          <c:y val="0.11016878364656972"/>
          <c:w val="0.85344189755920974"/>
          <c:h val="0.65935411358251772"/>
        </c:manualLayout>
      </c:layout>
      <c:barChart>
        <c:barDir val="col"/>
        <c:grouping val="stacked"/>
        <c:ser>
          <c:idx val="0"/>
          <c:order val="0"/>
          <c:tx>
            <c:strRef>
              <c:f>'GGO(SQ) (SQ and Post SPF)'!$B$469</c:f>
              <c:strCache>
                <c:ptCount val="1"/>
                <c:pt idx="0">
                  <c:v>General government fiscal balance (IMF) - status quo</c:v>
                </c:pt>
              </c:strCache>
            </c:strRef>
          </c:tx>
          <c:spPr>
            <a:solidFill>
              <a:schemeClr val="accent3">
                <a:lumMod val="60000"/>
                <a:lumOff val="40000"/>
              </a:schemeClr>
            </a:solidFill>
          </c:spPr>
          <c:dLbls>
            <c:spPr>
              <a:noFill/>
              <a:ln w="25400">
                <a:noFill/>
              </a:ln>
            </c:spPr>
            <c:txPr>
              <a:bodyPr/>
              <a:lstStyle/>
              <a:p>
                <a:pPr>
                  <a:defRPr lang="en-GB">
                    <a:solidFill>
                      <a:sysClr val="windowText" lastClr="000000"/>
                    </a:solidFill>
                  </a:defRPr>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SPF)'!$C$469:$R$469</c:f>
              <c:numCache>
                <c:formatCode>0.0</c:formatCode>
                <c:ptCount val="16"/>
                <c:pt idx="0">
                  <c:v>-3.2910044031340679</c:v>
                </c:pt>
                <c:pt idx="1">
                  <c:v>-0.20466710802502394</c:v>
                </c:pt>
                <c:pt idx="2">
                  <c:v>-2.5373952194550626</c:v>
                </c:pt>
                <c:pt idx="3">
                  <c:v>-1.1953755041958576</c:v>
                </c:pt>
                <c:pt idx="4">
                  <c:v>-8.9926307428474317</c:v>
                </c:pt>
                <c:pt idx="5">
                  <c:v>-6.4139757811575144</c:v>
                </c:pt>
                <c:pt idx="6">
                  <c:v>-3.9371596114726799</c:v>
                </c:pt>
                <c:pt idx="7">
                  <c:v>-3.7570230896071366</c:v>
                </c:pt>
                <c:pt idx="8">
                  <c:v>-3.5645143922856395</c:v>
                </c:pt>
                <c:pt idx="9">
                  <c:v>-3.349645554534781</c:v>
                </c:pt>
                <c:pt idx="10">
                  <c:v>-3.0380957966810649</c:v>
                </c:pt>
                <c:pt idx="11">
                  <c:v>-2.9388151720636637</c:v>
                </c:pt>
                <c:pt idx="12">
                  <c:v>-3.0294302497309267</c:v>
                </c:pt>
                <c:pt idx="13">
                  <c:v>-2.9901966590619695</c:v>
                </c:pt>
                <c:pt idx="14">
                  <c:v>-2.9789377438899174</c:v>
                </c:pt>
                <c:pt idx="15">
                  <c:v>-2.9757775686240375</c:v>
                </c:pt>
              </c:numCache>
            </c:numRef>
          </c:val>
        </c:ser>
        <c:ser>
          <c:idx val="1"/>
          <c:order val="1"/>
          <c:tx>
            <c:strRef>
              <c:f>'GGO(SQ) (SQ and Post SPF)'!$B$471</c:f>
              <c:strCache>
                <c:ptCount val="1"/>
                <c:pt idx="0">
                  <c:v>Scenario 2. Old-age universal pension (65+ as an objective in 2020)</c:v>
                </c:pt>
              </c:strCache>
            </c:strRef>
          </c:tx>
          <c:spPr>
            <a:solidFill>
              <a:schemeClr val="accent1">
                <a:lumMod val="75000"/>
              </a:schemeClr>
            </a:solidFill>
          </c:spPr>
          <c:dLbls>
            <c:dLbl>
              <c:idx val="5"/>
              <c:delete val="1"/>
            </c:dLbl>
            <c:dLbl>
              <c:idx val="6"/>
              <c:delete val="1"/>
            </c:dLbl>
            <c:dLbl>
              <c:idx val="7"/>
              <c:layout>
                <c:manualLayout>
                  <c:x val="0"/>
                  <c:y val="6.4882400648824026E-3"/>
                </c:manualLayout>
              </c:layout>
              <c:showVal val="1"/>
            </c:dLbl>
            <c:dLbl>
              <c:idx val="10"/>
              <c:layout>
                <c:manualLayout>
                  <c:x val="0"/>
                  <c:y val="-3.0161161981449181E-3"/>
                </c:manualLayout>
              </c:layout>
              <c:showVal val="1"/>
            </c:dLbl>
            <c:txPr>
              <a:bodyPr/>
              <a:lstStyle/>
              <a:p>
                <a:pPr>
                  <a:defRPr lang="en-US">
                    <a:solidFill>
                      <a:schemeClr val="bg1"/>
                    </a:solidFill>
                  </a:defRPr>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SPF)'!$C$471:$R$471</c:f>
              <c:numCache>
                <c:formatCode>0.0</c:formatCode>
                <c:ptCount val="16"/>
                <c:pt idx="5">
                  <c:v>0</c:v>
                </c:pt>
                <c:pt idx="6">
                  <c:v>-9.8761085462372819E-2</c:v>
                </c:pt>
                <c:pt idx="7">
                  <c:v>-0.2310217328188236</c:v>
                </c:pt>
                <c:pt idx="8">
                  <c:v>-0.29001509507730311</c:v>
                </c:pt>
                <c:pt idx="9">
                  <c:v>-0.34484086873381609</c:v>
                </c:pt>
                <c:pt idx="10">
                  <c:v>-0.39882102290283655</c:v>
                </c:pt>
                <c:pt idx="11">
                  <c:v>-0.46914078369009687</c:v>
                </c:pt>
                <c:pt idx="12">
                  <c:v>-0.51119079212710039</c:v>
                </c:pt>
                <c:pt idx="13">
                  <c:v>-0.56402756459667358</c:v>
                </c:pt>
                <c:pt idx="14">
                  <c:v>-0.64109530194321163</c:v>
                </c:pt>
                <c:pt idx="15">
                  <c:v>-0.75516828554998428</c:v>
                </c:pt>
              </c:numCache>
            </c:numRef>
          </c:val>
        </c:ser>
        <c:ser>
          <c:idx val="2"/>
          <c:order val="2"/>
          <c:tx>
            <c:strRef>
              <c:f>'GGO(SQ) (SQ and Post SPF)'!$B$472</c:f>
              <c:strCache>
                <c:ptCount val="1"/>
                <c:pt idx="0">
                  <c:v>Scenario 2a. Child benefit (targeted for all poor children cash and kind )</c:v>
                </c:pt>
              </c:strCache>
            </c:strRef>
          </c:tx>
          <c:spPr>
            <a:solidFill>
              <a:schemeClr val="tx2">
                <a:lumMod val="40000"/>
                <a:lumOff val="60000"/>
              </a:schemeClr>
            </a:solidFill>
          </c:spPr>
          <c:dLbls>
            <c:dLbl>
              <c:idx val="5"/>
              <c:delete val="1"/>
            </c:dLbl>
            <c:dLbl>
              <c:idx val="6"/>
              <c:layout>
                <c:manualLayout>
                  <c:x val="2.1299258098204346E-3"/>
                  <c:y val="6.4884955074046412E-3"/>
                </c:manualLayout>
              </c:layout>
              <c:showVal val="1"/>
            </c:dLbl>
            <c:dLbl>
              <c:idx val="15"/>
              <c:layout>
                <c:manualLayout>
                  <c:x val="1.5413044467708563E-3"/>
                  <c:y val="2.3752687022719484E-7"/>
                </c:manualLayout>
              </c:layout>
              <c:showVal val="1"/>
            </c:dLbl>
            <c:txPr>
              <a:bodyPr/>
              <a:lstStyle/>
              <a:p>
                <a:pPr>
                  <a:defRPr lang="en-US"/>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SPF)'!$C$472:$R$472</c:f>
              <c:numCache>
                <c:formatCode>0.0</c:formatCode>
                <c:ptCount val="16"/>
                <c:pt idx="5">
                  <c:v>0</c:v>
                </c:pt>
                <c:pt idx="6">
                  <c:v>-0.23656098230020253</c:v>
                </c:pt>
                <c:pt idx="7">
                  <c:v>-0.47317831008327838</c:v>
                </c:pt>
                <c:pt idx="8">
                  <c:v>-0.54195122982304422</c:v>
                </c:pt>
                <c:pt idx="9">
                  <c:v>-0.59958036507729484</c:v>
                </c:pt>
                <c:pt idx="10">
                  <c:v>-0.74269096813190105</c:v>
                </c:pt>
                <c:pt idx="11">
                  <c:v>-0.8691432344746427</c:v>
                </c:pt>
                <c:pt idx="12">
                  <c:v>-0.8189414057595944</c:v>
                </c:pt>
                <c:pt idx="13">
                  <c:v>-0.77529649586100569</c:v>
                </c:pt>
                <c:pt idx="14">
                  <c:v>-0.73730811594077217</c:v>
                </c:pt>
                <c:pt idx="15">
                  <c:v>-0.70443414467270349</c:v>
                </c:pt>
              </c:numCache>
            </c:numRef>
          </c:val>
        </c:ser>
        <c:ser>
          <c:idx val="3"/>
          <c:order val="3"/>
          <c:tx>
            <c:strRef>
              <c:f>'GGO(SQ) (SQ and Post SPF)'!$B$474</c:f>
              <c:strCache>
                <c:ptCount val="1"/>
                <c:pt idx="0">
                  <c:v>Working-age income security</c:v>
                </c:pt>
              </c:strCache>
            </c:strRef>
          </c:tx>
          <c:spPr>
            <a:solidFill>
              <a:schemeClr val="bg1">
                <a:lumMod val="85000"/>
              </a:schemeClr>
            </a:solidFill>
          </c:spPr>
          <c:dLbls>
            <c:dLbl>
              <c:idx val="5"/>
              <c:delete val="1"/>
            </c:dLbl>
            <c:dLbl>
              <c:idx val="15"/>
              <c:layout>
                <c:manualLayout>
                  <c:x val="-1.5415471909940763E-3"/>
                  <c:y val="2.3752687022719484E-7"/>
                </c:manualLayout>
              </c:layout>
              <c:showVal val="1"/>
            </c:dLbl>
            <c:txPr>
              <a:bodyPr/>
              <a:lstStyle/>
              <a:p>
                <a:pPr>
                  <a:defRPr lang="en-US"/>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SPF)'!$C$474:$R$474</c:f>
              <c:numCache>
                <c:formatCode>0.0</c:formatCode>
                <c:ptCount val="16"/>
                <c:pt idx="5">
                  <c:v>0</c:v>
                </c:pt>
                <c:pt idx="6">
                  <c:v>-0.42390700550183824</c:v>
                </c:pt>
                <c:pt idx="7">
                  <c:v>-0.86247284695467974</c:v>
                </c:pt>
                <c:pt idx="8">
                  <c:v>-1.0048534111917509</c:v>
                </c:pt>
                <c:pt idx="9">
                  <c:v>-1.1379858403547507</c:v>
                </c:pt>
                <c:pt idx="10">
                  <c:v>-1.1024998034793752</c:v>
                </c:pt>
                <c:pt idx="11">
                  <c:v>-1.0766767531565706</c:v>
                </c:pt>
                <c:pt idx="12">
                  <c:v>-1.0539955292479177</c:v>
                </c:pt>
                <c:pt idx="13">
                  <c:v>-1.0325452416827277</c:v>
                </c:pt>
                <c:pt idx="14">
                  <c:v>-1.0125828141550952</c:v>
                </c:pt>
                <c:pt idx="15">
                  <c:v>-0.99461641629182718</c:v>
                </c:pt>
              </c:numCache>
            </c:numRef>
          </c:val>
        </c:ser>
        <c:ser>
          <c:idx val="4"/>
          <c:order val="4"/>
          <c:tx>
            <c:strRef>
              <c:f>'GGO(SQ) (SQ and Post SPF)'!$B$475</c:f>
              <c:strCache>
                <c:ptCount val="1"/>
                <c:pt idx="0">
                  <c:v>Additional interest payments ("expensive scenario")</c:v>
                </c:pt>
              </c:strCache>
            </c:strRef>
          </c:tx>
          <c:spPr>
            <a:solidFill>
              <a:schemeClr val="accent6"/>
            </a:solidFill>
          </c:spPr>
          <c:dLbls>
            <c:dLbl>
              <c:idx val="0"/>
              <c:delete val="1"/>
            </c:dLbl>
            <c:dLbl>
              <c:idx val="1"/>
              <c:delete val="1"/>
            </c:dLbl>
            <c:dLbl>
              <c:idx val="2"/>
              <c:delete val="1"/>
            </c:dLbl>
            <c:dLbl>
              <c:idx val="3"/>
              <c:delete val="1"/>
            </c:dLbl>
            <c:dLbl>
              <c:idx val="4"/>
              <c:delete val="1"/>
            </c:dLbl>
            <c:dLbl>
              <c:idx val="5"/>
              <c:delete val="1"/>
            </c:dLbl>
            <c:dLbl>
              <c:idx val="6"/>
              <c:delete val="1"/>
            </c:dLbl>
            <c:dLbl>
              <c:idx val="15"/>
              <c:layout>
                <c:manualLayout>
                  <c:x val="1.5413044467708563E-3"/>
                  <c:y val="-3.0163537250151432E-3"/>
                </c:manualLayout>
              </c:layout>
              <c:showVal val="1"/>
            </c:dLbl>
            <c:txPr>
              <a:bodyPr/>
              <a:lstStyle/>
              <a:p>
                <a:pPr>
                  <a:defRPr lang="en-US"/>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SPF)'!$C$475:$R$475</c:f>
              <c:numCache>
                <c:formatCode>0.0</c:formatCode>
                <c:ptCount val="16"/>
                <c:pt idx="0">
                  <c:v>0</c:v>
                </c:pt>
                <c:pt idx="1">
                  <c:v>0</c:v>
                </c:pt>
                <c:pt idx="2">
                  <c:v>0</c:v>
                </c:pt>
                <c:pt idx="3">
                  <c:v>0</c:v>
                </c:pt>
                <c:pt idx="4">
                  <c:v>0</c:v>
                </c:pt>
                <c:pt idx="5">
                  <c:v>0</c:v>
                </c:pt>
                <c:pt idx="6">
                  <c:v>-4.5270806399629458E-2</c:v>
                </c:pt>
                <c:pt idx="7">
                  <c:v>-0.12308602617352013</c:v>
                </c:pt>
                <c:pt idx="8">
                  <c:v>-0.24077967367502087</c:v>
                </c:pt>
                <c:pt idx="9">
                  <c:v>-0.3570503988117385</c:v>
                </c:pt>
                <c:pt idx="10">
                  <c:v>-0.46916301966962598</c:v>
                </c:pt>
                <c:pt idx="11">
                  <c:v>-0.56528899509159036</c:v>
                </c:pt>
                <c:pt idx="12">
                  <c:v>-0.66465129542913925</c:v>
                </c:pt>
                <c:pt idx="13">
                  <c:v>-0.77499781985248695</c:v>
                </c:pt>
                <c:pt idx="14">
                  <c:v>-0.88544888477239181</c:v>
                </c:pt>
                <c:pt idx="15">
                  <c:v>-1.045746725392807</c:v>
                </c:pt>
              </c:numCache>
            </c:numRef>
          </c:val>
        </c:ser>
        <c:gapWidth val="36"/>
        <c:overlap val="100"/>
        <c:axId val="136081792"/>
        <c:axId val="136083328"/>
      </c:barChart>
      <c:catAx>
        <c:axId val="136081792"/>
        <c:scaling>
          <c:orientation val="minMax"/>
        </c:scaling>
        <c:axPos val="b"/>
        <c:numFmt formatCode="General" sourceLinked="1"/>
        <c:tickLblPos val="high"/>
        <c:spPr>
          <a:ln>
            <a:noFill/>
          </a:ln>
        </c:spPr>
        <c:txPr>
          <a:bodyPr/>
          <a:lstStyle/>
          <a:p>
            <a:pPr>
              <a:defRPr lang="en-GB"/>
            </a:pPr>
            <a:endParaRPr lang="en-US"/>
          </a:p>
        </c:txPr>
        <c:crossAx val="136083328"/>
        <c:crosses val="autoZero"/>
        <c:auto val="1"/>
        <c:lblAlgn val="ctr"/>
        <c:lblOffset val="100"/>
      </c:catAx>
      <c:valAx>
        <c:axId val="136083328"/>
        <c:scaling>
          <c:orientation val="minMax"/>
        </c:scaling>
        <c:axPos val="l"/>
        <c:majorGridlines/>
        <c:title>
          <c:tx>
            <c:rich>
              <a:bodyPr rot="-5400000" vert="horz"/>
              <a:lstStyle/>
              <a:p>
                <a:pPr>
                  <a:defRPr lang="en-GB" sz="1000" b="0">
                    <a:latin typeface="Arial" pitchFamily="34" charset="0"/>
                    <a:cs typeface="Arial" pitchFamily="34" charset="0"/>
                  </a:defRPr>
                </a:pPr>
                <a:r>
                  <a:rPr lang="en-US" sz="1000" b="0">
                    <a:latin typeface="Arial" pitchFamily="34" charset="0"/>
                    <a:cs typeface="Arial" pitchFamily="34" charset="0"/>
                  </a:rPr>
                  <a:t>Percentage of GDP</a:t>
                </a:r>
              </a:p>
            </c:rich>
          </c:tx>
          <c:layout>
            <c:manualLayout>
              <c:xMode val="edge"/>
              <c:yMode val="edge"/>
              <c:x val="1.3665279478716062E-2"/>
              <c:y val="0.28664406000344866"/>
            </c:manualLayout>
          </c:layout>
          <c:spPr>
            <a:noFill/>
            <a:ln w="25400">
              <a:noFill/>
            </a:ln>
          </c:spPr>
        </c:title>
        <c:numFmt formatCode="0.0" sourceLinked="1"/>
        <c:tickLblPos val="nextTo"/>
        <c:spPr>
          <a:ln>
            <a:noFill/>
          </a:ln>
        </c:spPr>
        <c:txPr>
          <a:bodyPr/>
          <a:lstStyle/>
          <a:p>
            <a:pPr>
              <a:defRPr lang="en-GB"/>
            </a:pPr>
            <a:endParaRPr lang="en-US"/>
          </a:p>
        </c:txPr>
        <c:crossAx val="136081792"/>
        <c:crosses val="autoZero"/>
        <c:crossBetween val="between"/>
      </c:valAx>
    </c:plotArea>
    <c:legend>
      <c:legendPos val="r"/>
      <c:layout>
        <c:manualLayout>
          <c:xMode val="edge"/>
          <c:yMode val="edge"/>
          <c:x val="1.8630542025722129E-2"/>
          <c:y val="0.77183209763013261"/>
          <c:w val="0.9791907514450886"/>
          <c:h val="0.20909937352721436"/>
        </c:manualLayout>
      </c:layout>
      <c:txPr>
        <a:bodyPr/>
        <a:lstStyle/>
        <a:p>
          <a:pPr>
            <a:defRPr lang="en-GB" sz="1000"/>
          </a:pPr>
          <a:endParaRPr lang="en-US"/>
        </a:p>
      </c:txPr>
    </c:legend>
    <c:plotVisOnly val="1"/>
    <c:dispBlanksAs val="gap"/>
  </c:chart>
  <c:spPr>
    <a:ln>
      <a:noFill/>
    </a:ln>
  </c:spPr>
  <c:printSettings>
    <c:headerFooter/>
    <c:pageMargins b="0.75000000000000733" l="0.70000000000000062" r="0.70000000000000062" t="0.750000000000007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a:pPr>
            <a:r>
              <a:rPr lang="en-US" sz="1000"/>
              <a:t>General government fiscal balance (IMF) - from the STATUS QUO scenario to SP provision to fill the gaps regarding the SPF guarantees  </a:t>
            </a:r>
            <a:r>
              <a:rPr lang="en-US" sz="1000" b="0"/>
              <a:t>as a percentage of Government</a:t>
            </a:r>
            <a:r>
              <a:rPr lang="en-US" sz="1000" b="0" baseline="0"/>
              <a:t> expenditure (including new provisions)</a:t>
            </a:r>
            <a:endParaRPr lang="en-US" sz="1000" b="0"/>
          </a:p>
        </c:rich>
      </c:tx>
      <c:layout>
        <c:manualLayout>
          <c:xMode val="edge"/>
          <c:yMode val="edge"/>
          <c:x val="0.11454730429338499"/>
          <c:y val="8.6957924585668537E-3"/>
        </c:manualLayout>
      </c:layout>
      <c:overlay val="1"/>
      <c:spPr>
        <a:noFill/>
        <a:ln w="25400">
          <a:noFill/>
        </a:ln>
      </c:spPr>
    </c:title>
    <c:plotArea>
      <c:layout>
        <c:manualLayout>
          <c:layoutTarget val="inner"/>
          <c:xMode val="edge"/>
          <c:yMode val="edge"/>
          <c:x val="0.10632797273967129"/>
          <c:y val="0.20765342110867163"/>
          <c:w val="0.86688405707529304"/>
          <c:h val="0.5998020885195956"/>
        </c:manualLayout>
      </c:layout>
      <c:barChart>
        <c:barDir val="col"/>
        <c:grouping val="stacked"/>
        <c:ser>
          <c:idx val="0"/>
          <c:order val="0"/>
          <c:tx>
            <c:strRef>
              <c:f>'GGO(SQ) (SQ and Post SPF)'!$B$485</c:f>
              <c:strCache>
                <c:ptCount val="1"/>
                <c:pt idx="0">
                  <c:v>General government fiscal balance (IMF) - STATUS QUO</c:v>
                </c:pt>
              </c:strCache>
            </c:strRef>
          </c:tx>
          <c:spPr>
            <a:solidFill>
              <a:schemeClr val="tx2">
                <a:lumMod val="60000"/>
                <a:lumOff val="40000"/>
              </a:schemeClr>
            </a:solidFill>
          </c:spPr>
          <c:dLbls>
            <c:numFmt formatCode="#,##0.0" sourceLinked="0"/>
            <c:spPr>
              <a:noFill/>
              <a:ln w="25400">
                <a:noFill/>
              </a:ln>
            </c:spPr>
            <c:txPr>
              <a:bodyPr rot="-5400000" vert="horz"/>
              <a:lstStyle/>
              <a:p>
                <a:pPr>
                  <a:defRPr lang="en-GB" b="1">
                    <a:solidFill>
                      <a:schemeClr val="accent1">
                        <a:lumMod val="20000"/>
                        <a:lumOff val="80000"/>
                      </a:schemeClr>
                    </a:solidFill>
                  </a:defRPr>
                </a:pPr>
                <a:endParaRPr lang="en-US"/>
              </a:p>
            </c:txPr>
            <c:showVal val="1"/>
          </c:dLbls>
          <c:cat>
            <c:numRef>
              <c:f>'GGO(SQ) (SQ and Post SPF)'!$C$484:$R$484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SPF)'!$C$485:$R$485</c:f>
              <c:numCache>
                <c:formatCode>0.0</c:formatCode>
                <c:ptCount val="16"/>
                <c:pt idx="0">
                  <c:v>-10.79236917967382</c:v>
                </c:pt>
                <c:pt idx="1">
                  <c:v>-0.70843370069564349</c:v>
                </c:pt>
                <c:pt idx="2">
                  <c:v>-8.1305810868753969</c:v>
                </c:pt>
                <c:pt idx="3">
                  <c:v>-3.9599161190951206</c:v>
                </c:pt>
                <c:pt idx="4">
                  <c:v>-25.213762518226641</c:v>
                </c:pt>
                <c:pt idx="5">
                  <c:v>-18.547084492579351</c:v>
                </c:pt>
                <c:pt idx="6">
                  <c:v>-12.411240956104939</c:v>
                </c:pt>
                <c:pt idx="7">
                  <c:v>-11.794362183230312</c:v>
                </c:pt>
                <c:pt idx="8">
                  <c:v>-11.247279524464748</c:v>
                </c:pt>
                <c:pt idx="9">
                  <c:v>-10.599690483101661</c:v>
                </c:pt>
                <c:pt idx="10">
                  <c:v>-9.6438653080861592</c:v>
                </c:pt>
                <c:pt idx="11">
                  <c:v>-9.3730962233885258</c:v>
                </c:pt>
                <c:pt idx="12">
                  <c:v>-9.6862443888778209</c:v>
                </c:pt>
                <c:pt idx="13">
                  <c:v>-9.607815873685368</c:v>
                </c:pt>
                <c:pt idx="14">
                  <c:v>-9.6166425181921387</c:v>
                </c:pt>
                <c:pt idx="15">
                  <c:v>-9.6510443709312757</c:v>
                </c:pt>
              </c:numCache>
            </c:numRef>
          </c:val>
        </c:ser>
        <c:ser>
          <c:idx val="1"/>
          <c:order val="1"/>
          <c:tx>
            <c:strRef>
              <c:f>'GGO(SQ) (SQ and Post SPF)'!$B$487</c:f>
              <c:strCache>
                <c:ptCount val="1"/>
                <c:pt idx="0">
                  <c:v>Scenario 2. Old-age universal pension (65+ as an objective in 2020)</c:v>
                </c:pt>
              </c:strCache>
            </c:strRef>
          </c:tx>
          <c:cat>
            <c:numRef>
              <c:f>'GGO(SQ) (SQ and Post SPF)'!$C$484:$R$484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SPF)'!$C$487:$R$487</c:f>
              <c:numCache>
                <c:formatCode>0.0</c:formatCode>
                <c:ptCount val="16"/>
                <c:pt idx="0">
                  <c:v>0</c:v>
                </c:pt>
                <c:pt idx="1">
                  <c:v>0</c:v>
                </c:pt>
                <c:pt idx="2">
                  <c:v>0</c:v>
                </c:pt>
                <c:pt idx="3">
                  <c:v>0</c:v>
                </c:pt>
                <c:pt idx="4">
                  <c:v>0</c:v>
                </c:pt>
                <c:pt idx="5">
                  <c:v>0</c:v>
                </c:pt>
                <c:pt idx="6">
                  <c:v>-0.31132789871871497</c:v>
                </c:pt>
                <c:pt idx="7">
                  <c:v>-0.72524281168247784</c:v>
                </c:pt>
                <c:pt idx="8">
                  <c:v>-0.9150982382643893</c:v>
                </c:pt>
                <c:pt idx="9">
                  <c:v>-1.0912218666103006</c:v>
                </c:pt>
                <c:pt idx="10">
                  <c:v>-1.2659825378481528</c:v>
                </c:pt>
                <c:pt idx="11">
                  <c:v>-1.4962838594423595</c:v>
                </c:pt>
                <c:pt idx="12">
                  <c:v>-1.6344720075093091</c:v>
                </c:pt>
                <c:pt idx="13">
                  <c:v>-1.8122797950112064</c:v>
                </c:pt>
                <c:pt idx="14">
                  <c:v>-2.0695915352798804</c:v>
                </c:pt>
                <c:pt idx="15">
                  <c:v>-2.4491624334452364</c:v>
                </c:pt>
              </c:numCache>
            </c:numRef>
          </c:val>
        </c:ser>
        <c:ser>
          <c:idx val="2"/>
          <c:order val="2"/>
          <c:tx>
            <c:strRef>
              <c:f>'GGO(SQ) (SQ and Post SPF)'!$B$489</c:f>
              <c:strCache>
                <c:ptCount val="1"/>
                <c:pt idx="0">
                  <c:v>Scenario 2b Child benefit (targeted cash and kind) but limited to 2 children</c:v>
                </c:pt>
              </c:strCache>
            </c:strRef>
          </c:tx>
          <c:cat>
            <c:numRef>
              <c:f>'GGO(SQ) (SQ and Post SPF)'!$C$484:$R$484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SPF)'!$C$489:$R$489</c:f>
              <c:numCache>
                <c:formatCode>0.0</c:formatCode>
                <c:ptCount val="16"/>
                <c:pt idx="0">
                  <c:v>0</c:v>
                </c:pt>
                <c:pt idx="1">
                  <c:v>0</c:v>
                </c:pt>
                <c:pt idx="2">
                  <c:v>0</c:v>
                </c:pt>
                <c:pt idx="3">
                  <c:v>0</c:v>
                </c:pt>
                <c:pt idx="4">
                  <c:v>0</c:v>
                </c:pt>
                <c:pt idx="5">
                  <c:v>0</c:v>
                </c:pt>
                <c:pt idx="6">
                  <c:v>-0.40459528186984522</c:v>
                </c:pt>
                <c:pt idx="7">
                  <c:v>-0.8007050412660186</c:v>
                </c:pt>
                <c:pt idx="8">
                  <c:v>-0.92360602729055585</c:v>
                </c:pt>
                <c:pt idx="9">
                  <c:v>-1.0269523671999294</c:v>
                </c:pt>
                <c:pt idx="10">
                  <c:v>-1.2788928857481672</c:v>
                </c:pt>
                <c:pt idx="11">
                  <c:v>-1.5072574723518279</c:v>
                </c:pt>
                <c:pt idx="12">
                  <c:v>-1.4271152451229658</c:v>
                </c:pt>
                <c:pt idx="13">
                  <c:v>-1.3609536250515546</c:v>
                </c:pt>
                <c:pt idx="14">
                  <c:v>-1.3034853728424356</c:v>
                </c:pt>
                <c:pt idx="15">
                  <c:v>-1.2541624826145834</c:v>
                </c:pt>
              </c:numCache>
            </c:numRef>
          </c:val>
        </c:ser>
        <c:ser>
          <c:idx val="3"/>
          <c:order val="3"/>
          <c:tx>
            <c:strRef>
              <c:f>'GGO(SQ) (SQ and Post SPF)'!$B$490</c:f>
              <c:strCache>
                <c:ptCount val="1"/>
                <c:pt idx="0">
                  <c:v>Working age income security (scenario 1 - high cost )</c:v>
                </c:pt>
              </c:strCache>
            </c:strRef>
          </c:tx>
          <c:cat>
            <c:numRef>
              <c:f>'GGO(SQ) (SQ and Post SPF)'!$C$484:$R$484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SPF)'!$C$490:$R$490</c:f>
              <c:numCache>
                <c:formatCode>0.0</c:formatCode>
                <c:ptCount val="16"/>
                <c:pt idx="0">
                  <c:v>0</c:v>
                </c:pt>
                <c:pt idx="1">
                  <c:v>0</c:v>
                </c:pt>
                <c:pt idx="2">
                  <c:v>0</c:v>
                </c:pt>
                <c:pt idx="3">
                  <c:v>0</c:v>
                </c:pt>
                <c:pt idx="4">
                  <c:v>0</c:v>
                </c:pt>
                <c:pt idx="5">
                  <c:v>0</c:v>
                </c:pt>
                <c:pt idx="6">
                  <c:v>-1.3362963424021002</c:v>
                </c:pt>
                <c:pt idx="7">
                  <c:v>-2.707547142396975</c:v>
                </c:pt>
                <c:pt idx="8">
                  <c:v>-3.1706611204166153</c:v>
                </c:pt>
                <c:pt idx="9">
                  <c:v>-3.6010668846984868</c:v>
                </c:pt>
                <c:pt idx="10">
                  <c:v>-3.4996788509966543</c:v>
                </c:pt>
                <c:pt idx="11">
                  <c:v>-3.4339671663446336</c:v>
                </c:pt>
                <c:pt idx="12">
                  <c:v>-3.3700258594786057</c:v>
                </c:pt>
                <c:pt idx="13">
                  <c:v>-3.3176762917157725</c:v>
                </c:pt>
                <c:pt idx="14">
                  <c:v>-3.2688319733325653</c:v>
                </c:pt>
                <c:pt idx="15">
                  <c:v>-3.2257408170892203</c:v>
                </c:pt>
              </c:numCache>
            </c:numRef>
          </c:val>
        </c:ser>
        <c:overlap val="100"/>
        <c:axId val="136204672"/>
        <c:axId val="136206208"/>
      </c:barChart>
      <c:catAx>
        <c:axId val="136204672"/>
        <c:scaling>
          <c:orientation val="minMax"/>
        </c:scaling>
        <c:axPos val="b"/>
        <c:numFmt formatCode="General" sourceLinked="1"/>
        <c:tickLblPos val="high"/>
        <c:txPr>
          <a:bodyPr/>
          <a:lstStyle/>
          <a:p>
            <a:pPr>
              <a:defRPr lang="en-GB"/>
            </a:pPr>
            <a:endParaRPr lang="en-US"/>
          </a:p>
        </c:txPr>
        <c:crossAx val="136206208"/>
        <c:crosses val="autoZero"/>
        <c:auto val="1"/>
        <c:lblAlgn val="ctr"/>
        <c:lblOffset val="100"/>
      </c:catAx>
      <c:valAx>
        <c:axId val="136206208"/>
        <c:scaling>
          <c:orientation val="minMax"/>
        </c:scaling>
        <c:axPos val="l"/>
        <c:majorGridlines/>
        <c:title>
          <c:tx>
            <c:rich>
              <a:bodyPr rot="-5400000" vert="horz"/>
              <a:lstStyle/>
              <a:p>
                <a:pPr>
                  <a:defRPr lang="en-GB"/>
                </a:pPr>
                <a:r>
                  <a:rPr lang="en-US"/>
                  <a:t>As a percentage of General government</a:t>
                </a:r>
                <a:r>
                  <a:rPr lang="en-US" baseline="0"/>
                  <a:t> expenditure</a:t>
                </a:r>
                <a:endParaRPr lang="en-US"/>
              </a:p>
            </c:rich>
          </c:tx>
          <c:layout>
            <c:manualLayout>
              <c:xMode val="edge"/>
              <c:yMode val="edge"/>
              <c:x val="3.9517686435984495E-2"/>
              <c:y val="0.14898307924275422"/>
            </c:manualLayout>
          </c:layout>
          <c:spPr>
            <a:noFill/>
            <a:ln w="25400">
              <a:noFill/>
            </a:ln>
          </c:spPr>
        </c:title>
        <c:numFmt formatCode="0.0" sourceLinked="1"/>
        <c:tickLblPos val="nextTo"/>
        <c:spPr>
          <a:ln>
            <a:noFill/>
          </a:ln>
        </c:spPr>
        <c:txPr>
          <a:bodyPr/>
          <a:lstStyle/>
          <a:p>
            <a:pPr>
              <a:defRPr lang="en-GB"/>
            </a:pPr>
            <a:endParaRPr lang="en-US"/>
          </a:p>
        </c:txPr>
        <c:crossAx val="136204672"/>
        <c:crosses val="autoZero"/>
        <c:crossBetween val="between"/>
      </c:valAx>
    </c:plotArea>
    <c:legend>
      <c:legendPos val="r"/>
      <c:layout>
        <c:manualLayout>
          <c:xMode val="edge"/>
          <c:yMode val="edge"/>
          <c:x val="6.5366972477064231E-2"/>
          <c:y val="0.8455476753349096"/>
          <c:w val="0.93463302752293576"/>
          <c:h val="0.15130023640661941"/>
        </c:manualLayout>
      </c:layout>
      <c:txPr>
        <a:bodyPr/>
        <a:lstStyle/>
        <a:p>
          <a:pPr>
            <a:defRPr lang="en-GB"/>
          </a:pPr>
          <a:endParaRPr lang="en-US"/>
        </a:p>
      </c:txPr>
    </c:legend>
    <c:plotVisOnly val="1"/>
    <c:dispBlanksAs val="gap"/>
  </c:chart>
  <c:printSettings>
    <c:headerFooter/>
    <c:pageMargins b="0.75000000000000733" l="0.70000000000000062" r="0.70000000000000062" t="0.75000000000000733"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200" b="0"/>
            </a:pPr>
            <a:r>
              <a:rPr lang="en-US" sz="1200" b="0"/>
              <a:t>Total cost of the SP strategy and additional SP provision to fill the gap towards the SPF four guarantees</a:t>
            </a:r>
          </a:p>
        </c:rich>
      </c:tx>
      <c:overlay val="1"/>
      <c:spPr>
        <a:noFill/>
        <a:ln w="25400">
          <a:noFill/>
        </a:ln>
      </c:spPr>
    </c:title>
    <c:plotArea>
      <c:layout>
        <c:manualLayout>
          <c:layoutTarget val="inner"/>
          <c:xMode val="edge"/>
          <c:yMode val="edge"/>
          <c:x val="0.11742868924123712"/>
          <c:y val="8.1967475581928045E-2"/>
          <c:w val="0.51101538417822656"/>
          <c:h val="0.79841581396528361"/>
        </c:manualLayout>
      </c:layout>
      <c:areaChart>
        <c:grouping val="stacked"/>
        <c:ser>
          <c:idx val="0"/>
          <c:order val="0"/>
          <c:tx>
            <c:strRef>
              <c:f>'GGO(SQ) (SQ and Post SPF)'!$B$612</c:f>
              <c:strCache>
                <c:ptCount val="1"/>
                <c:pt idx="0">
                  <c:v>Labour market policies</c:v>
                </c:pt>
              </c:strCache>
            </c:strRef>
          </c:tx>
          <c:spPr>
            <a:solidFill>
              <a:schemeClr val="accent2">
                <a:lumMod val="50000"/>
              </a:schemeClr>
            </a:solidFill>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SPF)'!$C$612:$R$612</c:f>
              <c:numCache>
                <c:formatCode>0</c:formatCode>
                <c:ptCount val="16"/>
                <c:pt idx="0">
                  <c:v>1346000</c:v>
                </c:pt>
                <c:pt idx="1">
                  <c:v>1660000</c:v>
                </c:pt>
                <c:pt idx="2">
                  <c:v>2090000</c:v>
                </c:pt>
                <c:pt idx="3">
                  <c:v>2367000</c:v>
                </c:pt>
                <c:pt idx="4">
                  <c:v>2522216.3186679631</c:v>
                </c:pt>
                <c:pt idx="5" formatCode="#,###,###,###">
                  <c:v>2677432.6373359263</c:v>
                </c:pt>
                <c:pt idx="6" formatCode="#,###,###,###">
                  <c:v>4025896.7386713047</c:v>
                </c:pt>
                <c:pt idx="7" formatCode="#,###,###,###">
                  <c:v>4530017.454655475</c:v>
                </c:pt>
                <c:pt idx="8" formatCode="#,###,###,###">
                  <c:v>4947430.4672634797</c:v>
                </c:pt>
                <c:pt idx="9" formatCode="#,###,###,###">
                  <c:v>5252347.5301963659</c:v>
                </c:pt>
                <c:pt idx="10" formatCode="#,###,###,###">
                  <c:v>5621249.0330140423</c:v>
                </c:pt>
                <c:pt idx="11" formatCode="#,###,###,###">
                  <c:v>6112398.895697996</c:v>
                </c:pt>
                <c:pt idx="12" formatCode="#,###,###,###">
                  <c:v>6695044.5935450876</c:v>
                </c:pt>
                <c:pt idx="13" formatCode="#,###,###,###">
                  <c:v>7340483.3889486352</c:v>
                </c:pt>
                <c:pt idx="14" formatCode="#,###,###,###">
                  <c:v>8072300.3749502599</c:v>
                </c:pt>
                <c:pt idx="15" formatCode="#,###,###,###">
                  <c:v>8957413.5110518802</c:v>
                </c:pt>
              </c:numCache>
            </c:numRef>
          </c:val>
        </c:ser>
        <c:ser>
          <c:idx val="1"/>
          <c:order val="1"/>
          <c:tx>
            <c:strRef>
              <c:f>'GGO(SQ) (SQ and Post SPF)'!$B$613</c:f>
              <c:strCache>
                <c:ptCount val="1"/>
                <c:pt idx="0">
                  <c:v>Health insurance</c:v>
                </c:pt>
              </c:strCache>
            </c:strRef>
          </c:tx>
          <c:spPr>
            <a:solidFill>
              <a:srgbClr val="C86664"/>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SPF)'!$C$613:$R$613</c:f>
              <c:numCache>
                <c:formatCode>0</c:formatCode>
                <c:ptCount val="16"/>
                <c:pt idx="0">
                  <c:v>2281508.578317143</c:v>
                </c:pt>
                <c:pt idx="1">
                  <c:v>3248899.0706407144</c:v>
                </c:pt>
                <c:pt idx="2">
                  <c:v>4373944.4122067848</c:v>
                </c:pt>
                <c:pt idx="3">
                  <c:v>11211492.359865446</c:v>
                </c:pt>
                <c:pt idx="4">
                  <c:v>11896931.866342239</c:v>
                </c:pt>
                <c:pt idx="5" formatCode="#,###,###,###">
                  <c:v>18868676.680722032</c:v>
                </c:pt>
                <c:pt idx="6" formatCode="#,###,###,###">
                  <c:v>23813782.969712131</c:v>
                </c:pt>
                <c:pt idx="7" formatCode="#,###,###,###">
                  <c:v>27292965.734593503</c:v>
                </c:pt>
                <c:pt idx="8" formatCode="#,###,###,###">
                  <c:v>32988543.262433078</c:v>
                </c:pt>
                <c:pt idx="9" formatCode="#,###,###,###">
                  <c:v>60002258.536777332</c:v>
                </c:pt>
                <c:pt idx="10" formatCode="#,###,###,###">
                  <c:v>69039909.299002528</c:v>
                </c:pt>
                <c:pt idx="11" formatCode="#,###,###,###">
                  <c:v>68303580.805536553</c:v>
                </c:pt>
                <c:pt idx="12" formatCode="#,###,###,###">
                  <c:v>74247992.798612714</c:v>
                </c:pt>
                <c:pt idx="13" formatCode="#,###,###,###">
                  <c:v>73825326.350810617</c:v>
                </c:pt>
                <c:pt idx="14" formatCode="#,###,###,###">
                  <c:v>83367385.972463772</c:v>
                </c:pt>
                <c:pt idx="15" formatCode="#,###,###,###">
                  <c:v>88020049.200731501</c:v>
                </c:pt>
              </c:numCache>
            </c:numRef>
          </c:val>
        </c:ser>
        <c:ser>
          <c:idx val="2"/>
          <c:order val="2"/>
          <c:tx>
            <c:strRef>
              <c:f>'GGO(SQ) (SQ and Post SPF)'!$B$614</c:f>
              <c:strCache>
                <c:ptCount val="1"/>
                <c:pt idx="0">
                  <c:v>Social insurance</c:v>
                </c:pt>
              </c:strCache>
            </c:strRef>
          </c:tx>
          <c:spPr>
            <a:solidFill>
              <a:schemeClr val="accent2">
                <a:lumMod val="60000"/>
                <a:lumOff val="4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SPF)'!$C$614:$R$614</c:f>
              <c:numCache>
                <c:formatCode>0</c:formatCode>
                <c:ptCount val="16"/>
                <c:pt idx="0">
                  <c:v>8699318.2177933995</c:v>
                </c:pt>
                <c:pt idx="1">
                  <c:v>9640212.1451956015</c:v>
                </c:pt>
                <c:pt idx="2">
                  <c:v>10581106.0725978</c:v>
                </c:pt>
                <c:pt idx="3">
                  <c:v>11522000</c:v>
                </c:pt>
                <c:pt idx="4">
                  <c:v>11800000</c:v>
                </c:pt>
                <c:pt idx="5" formatCode="#,###,###,###">
                  <c:v>17955735.297508691</c:v>
                </c:pt>
                <c:pt idx="6" formatCode="#,###,###,###">
                  <c:v>20139356.723616127</c:v>
                </c:pt>
                <c:pt idx="7" formatCode="#,###,###,###">
                  <c:v>20917685.774070401</c:v>
                </c:pt>
                <c:pt idx="8" formatCode="#,###,###,###">
                  <c:v>23511588.814841092</c:v>
                </c:pt>
                <c:pt idx="9" formatCode="#,###,###,###">
                  <c:v>21701624.722572394</c:v>
                </c:pt>
                <c:pt idx="10" formatCode="#,###,###,###">
                  <c:v>24770393.607921034</c:v>
                </c:pt>
                <c:pt idx="11" formatCode="#,###,###,###">
                  <c:v>24295512.799180284</c:v>
                </c:pt>
                <c:pt idx="12" formatCode="#,###,###,###">
                  <c:v>26055758.471762639</c:v>
                </c:pt>
                <c:pt idx="13" formatCode="#,###,###,###">
                  <c:v>25196934.918942787</c:v>
                </c:pt>
                <c:pt idx="14" formatCode="#,###,###,###">
                  <c:v>29005545.279253755</c:v>
                </c:pt>
                <c:pt idx="15" formatCode="#,###,###,###">
                  <c:v>31422392.982009817</c:v>
                </c:pt>
              </c:numCache>
            </c:numRef>
          </c:val>
        </c:ser>
        <c:ser>
          <c:idx val="3"/>
          <c:order val="3"/>
          <c:tx>
            <c:strRef>
              <c:f>'GGO(SQ) (SQ and Post SPF)'!$B$616</c:f>
              <c:strCache>
                <c:ptCount val="1"/>
                <c:pt idx="0">
                  <c:v>Regular social assistance in accordance with Decree No. 67</c:v>
                </c:pt>
              </c:strCache>
            </c:strRef>
          </c:tx>
          <c:spPr>
            <a:solidFill>
              <a:schemeClr val="accent1">
                <a:lumMod val="40000"/>
                <a:lumOff val="6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SPF)'!$C$616:$R$616</c:f>
              <c:numCache>
                <c:formatCode>0</c:formatCode>
                <c:ptCount val="16"/>
                <c:pt idx="0">
                  <c:v>250000</c:v>
                </c:pt>
                <c:pt idx="1">
                  <c:v>400000</c:v>
                </c:pt>
                <c:pt idx="2">
                  <c:v>550000</c:v>
                </c:pt>
                <c:pt idx="3">
                  <c:v>2035600</c:v>
                </c:pt>
                <c:pt idx="4">
                  <c:v>1402200.7073603226</c:v>
                </c:pt>
                <c:pt idx="5" formatCode="#,###,###,###">
                  <c:v>2919960.5759999999</c:v>
                </c:pt>
                <c:pt idx="6" formatCode="#,###,###,###">
                  <c:v>3245428.9129934786</c:v>
                </c:pt>
                <c:pt idx="7" formatCode="#,###,###,###">
                  <c:v>3607175.0132060801</c:v>
                </c:pt>
                <c:pt idx="8" formatCode="#,###,###,###">
                  <c:v>4009242.5145423082</c:v>
                </c:pt>
                <c:pt idx="9" formatCode="#,###,###,###">
                  <c:v>4456125.7719865479</c:v>
                </c:pt>
                <c:pt idx="10" formatCode="#,###,###,###">
                  <c:v>4952820.0959999999</c:v>
                </c:pt>
                <c:pt idx="11" formatCode="#,###,###,###">
                  <c:v>5440130.7552849939</c:v>
                </c:pt>
                <c:pt idx="12" formatCode="#,###,###,###">
                  <c:v>5975388.1750114914</c:v>
                </c:pt>
                <c:pt idx="13" formatCode="#,###,###,###">
                  <c:v>6563309.8629807942</c:v>
                </c:pt>
                <c:pt idx="14" formatCode="#,###,###,###">
                  <c:v>7209077.4851490101</c:v>
                </c:pt>
                <c:pt idx="15" formatCode="#,###,###,###">
                  <c:v>7918382.5344000002</c:v>
                </c:pt>
              </c:numCache>
            </c:numRef>
          </c:val>
        </c:ser>
        <c:ser>
          <c:idx val="4"/>
          <c:order val="4"/>
          <c:tx>
            <c:strRef>
              <c:f>'GGO(SQ) (SQ and Post SPF)'!$B$617</c:f>
              <c:strCache>
                <c:ptCount val="1"/>
                <c:pt idx="0">
                  <c:v>Emergency social relief in accordance with Decree No. 67</c:v>
                </c:pt>
              </c:strCache>
            </c:strRef>
          </c:tx>
          <c:spPr>
            <a:solidFill>
              <a:schemeClr val="accent1">
                <a:lumMod val="60000"/>
                <a:lumOff val="4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SPF)'!$C$617:$R$617</c:f>
              <c:numCache>
                <c:formatCode>0</c:formatCode>
                <c:ptCount val="16"/>
                <c:pt idx="0">
                  <c:v>4471000</c:v>
                </c:pt>
                <c:pt idx="1">
                  <c:v>3136000</c:v>
                </c:pt>
                <c:pt idx="2">
                  <c:v>2608000</c:v>
                </c:pt>
                <c:pt idx="3">
                  <c:v>3333214.2857142859</c:v>
                </c:pt>
                <c:pt idx="4">
                  <c:v>2296048.0591531266</c:v>
                </c:pt>
                <c:pt idx="5" formatCode="#,###,###,###">
                  <c:v>3500000</c:v>
                </c:pt>
                <c:pt idx="6" formatCode="#,###,###,###">
                  <c:v>3758793.2332502278</c:v>
                </c:pt>
                <c:pt idx="7" formatCode="#,###,###,###">
                  <c:v>4036721.8772364859</c:v>
                </c:pt>
                <c:pt idx="8" formatCode="#,###,###,###">
                  <c:v>4335200.8219056167</c:v>
                </c:pt>
                <c:pt idx="9" formatCode="#,###,###,###">
                  <c:v>4655749.5754741877</c:v>
                </c:pt>
                <c:pt idx="10" formatCode="#,###,###,###">
                  <c:v>5000000</c:v>
                </c:pt>
                <c:pt idx="11" formatCode="#,###,###,###">
                  <c:v>5348051.8786253436</c:v>
                </c:pt>
                <c:pt idx="12" formatCode="#,###,###,###">
                  <c:v>5720331.7792936135</c:v>
                </c:pt>
                <c:pt idx="13" formatCode="#,###,###,###">
                  <c:v>6118526.223722293</c:v>
                </c:pt>
                <c:pt idx="14" formatCode="#,###,###,###">
                  <c:v>6544439.1330392882</c:v>
                </c:pt>
                <c:pt idx="15" formatCode="#,###,###,###">
                  <c:v>7000000</c:v>
                </c:pt>
              </c:numCache>
            </c:numRef>
          </c:val>
        </c:ser>
        <c:ser>
          <c:idx val="5"/>
          <c:order val="5"/>
          <c:tx>
            <c:strRef>
              <c:f>'GGO(SQ) (SQ and Post SPF)'!$B$618</c:f>
              <c:strCache>
                <c:ptCount val="1"/>
                <c:pt idx="0">
                  <c:v>Other types of social assistance</c:v>
                </c:pt>
              </c:strCache>
            </c:strRef>
          </c:tx>
          <c:spPr>
            <a:solidFill>
              <a:schemeClr val="accent1">
                <a:lumMod val="75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SPF)'!$C$618:$R$618</c:f>
              <c:numCache>
                <c:formatCode>0</c:formatCode>
                <c:ptCount val="16"/>
                <c:pt idx="0">
                  <c:v>5816690.9589929506</c:v>
                </c:pt>
                <c:pt idx="1">
                  <c:v>9304304.4951124322</c:v>
                </c:pt>
                <c:pt idx="2">
                  <c:v>10491233.959844299</c:v>
                </c:pt>
                <c:pt idx="3">
                  <c:v>12844665.669761578</c:v>
                </c:pt>
                <c:pt idx="4">
                  <c:v>8847906.9011330996</c:v>
                </c:pt>
                <c:pt idx="5" formatCode="#,###,###,###">
                  <c:v>16849052.289206043</c:v>
                </c:pt>
                <c:pt idx="6" formatCode="#,###,###,###">
                  <c:v>17734339.820004925</c:v>
                </c:pt>
                <c:pt idx="7" formatCode="#,###,###,###">
                  <c:v>18666142.371277098</c:v>
                </c:pt>
                <c:pt idx="8" formatCode="#,###,###,###">
                  <c:v>19646903.947997622</c:v>
                </c:pt>
                <c:pt idx="9" formatCode="#,###,###,###">
                  <c:v>20679196.968721889</c:v>
                </c:pt>
                <c:pt idx="10" formatCode="#,###,###,###">
                  <c:v>21765729.012727205</c:v>
                </c:pt>
                <c:pt idx="11" formatCode="#,###,###,###">
                  <c:v>22985250.630303726</c:v>
                </c:pt>
                <c:pt idx="12" formatCode="#,###,###,###">
                  <c:v>24273101.361730132</c:v>
                </c:pt>
                <c:pt idx="13" formatCode="#,###,###,###">
                  <c:v>25633109.649021905</c:v>
                </c:pt>
                <c:pt idx="14" formatCode="#,###,###,###">
                  <c:v>27069318.439658441</c:v>
                </c:pt>
                <c:pt idx="15" formatCode="#,###,###,###">
                  <c:v>28585997.205204185</c:v>
                </c:pt>
              </c:numCache>
            </c:numRef>
          </c:val>
        </c:ser>
        <c:ser>
          <c:idx val="6"/>
          <c:order val="6"/>
          <c:tx>
            <c:strRef>
              <c:f>'GGO(SQ) (SQ and Post SPF)'!$B$619</c:f>
              <c:strCache>
                <c:ptCount val="1"/>
                <c:pt idx="0">
                  <c:v>Monitoring and evaluation</c:v>
                </c:pt>
              </c:strCache>
            </c:strRef>
          </c:tx>
          <c:spPr>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SPF)'!$C$619:$R$619</c:f>
              <c:numCache>
                <c:formatCode>0</c:formatCode>
                <c:ptCount val="16"/>
                <c:pt idx="0">
                  <c:v>91357.082256044843</c:v>
                </c:pt>
                <c:pt idx="1">
                  <c:v>91611.140079323231</c:v>
                </c:pt>
                <c:pt idx="2">
                  <c:v>105964.82229010947</c:v>
                </c:pt>
                <c:pt idx="3">
                  <c:v>166621.12127141652</c:v>
                </c:pt>
                <c:pt idx="4">
                  <c:v>181069</c:v>
                </c:pt>
                <c:pt idx="5" formatCode="#,###,###,###">
                  <c:v>195516.85978093391</c:v>
                </c:pt>
                <c:pt idx="6" formatCode="#,###,###,###">
                  <c:v>243681.52546332707</c:v>
                </c:pt>
                <c:pt idx="7" formatCode="#,###,###,###">
                  <c:v>291846.19114572025</c:v>
                </c:pt>
                <c:pt idx="8" formatCode="#,###,###,###">
                  <c:v>315928.52398691687</c:v>
                </c:pt>
                <c:pt idx="9" formatCode="#,###,###,###">
                  <c:v>352052.02324871178</c:v>
                </c:pt>
                <c:pt idx="10" formatCode="#,###,###,###">
                  <c:v>388175.52251050662</c:v>
                </c:pt>
                <c:pt idx="11" formatCode="#,###,###,###">
                  <c:v>449205.63983044273</c:v>
                </c:pt>
                <c:pt idx="12" formatCode="#,###,###,###">
                  <c:v>510235.75715037883</c:v>
                </c:pt>
                <c:pt idx="13" formatCode="#,###,###,###">
                  <c:v>540750.81581034698</c:v>
                </c:pt>
                <c:pt idx="14" formatCode="#,###,###,###">
                  <c:v>586523.40380029904</c:v>
                </c:pt>
                <c:pt idx="15" formatCode="#,###,###,###">
                  <c:v>632295.99179025122</c:v>
                </c:pt>
              </c:numCache>
            </c:numRef>
          </c:val>
        </c:ser>
        <c:ser>
          <c:idx val="7"/>
          <c:order val="7"/>
          <c:tx>
            <c:strRef>
              <c:f>'GGO(SQ) (SQ and Post SPF)'!$B$622</c:f>
              <c:strCache>
                <c:ptCount val="1"/>
                <c:pt idx="0">
                  <c:v>1a. Old age  pension for uncovered (65+ as an objective in 2020)</c:v>
                </c:pt>
              </c:strCache>
            </c:strRef>
          </c:tx>
          <c:spPr>
            <a:solidFill>
              <a:schemeClr val="accent3">
                <a:lumMod val="20000"/>
                <a:lumOff val="8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SPF)'!$C$622:$R$622</c:f>
              <c:numCache>
                <c:formatCode>0</c:formatCode>
                <c:ptCount val="16"/>
                <c:pt idx="4">
                  <c:v>0</c:v>
                </c:pt>
                <c:pt idx="5" formatCode="#,###,###,###">
                  <c:v>0</c:v>
                </c:pt>
                <c:pt idx="6" formatCode="#,###,###,###">
                  <c:v>1841497.6255015361</c:v>
                </c:pt>
                <c:pt idx="7" formatCode="#,###,###,###">
                  <c:v>4744815.2147565279</c:v>
                </c:pt>
                <c:pt idx="8" formatCode="#,###,###,###">
                  <c:v>6992105.5243119467</c:v>
                </c:pt>
                <c:pt idx="9" formatCode="#,###,###,###">
                  <c:v>10035108.447804973</c:v>
                </c:pt>
                <c:pt idx="10" formatCode="#,###,###,###">
                  <c:v>13277472.376117788</c:v>
                </c:pt>
                <c:pt idx="11" formatCode="#,###,###,###">
                  <c:v>17780996.344951216</c:v>
                </c:pt>
                <c:pt idx="12" formatCode="#,###,###,###">
                  <c:v>23389747.840026889</c:v>
                </c:pt>
                <c:pt idx="13" formatCode="#,###,###,###">
                  <c:v>29392157.362494815</c:v>
                </c:pt>
                <c:pt idx="14" formatCode="#,###,###,###">
                  <c:v>38318906.057010323</c:v>
                </c:pt>
                <c:pt idx="15" formatCode="#,###,###,###">
                  <c:v>46642906.694756396</c:v>
                </c:pt>
              </c:numCache>
            </c:numRef>
          </c:val>
        </c:ser>
        <c:ser>
          <c:idx val="8"/>
          <c:order val="8"/>
          <c:tx>
            <c:strRef>
              <c:f>'GGO(SQ) (SQ and Post SPF)'!$B$625</c:f>
              <c:strCache>
                <c:ptCount val="1"/>
                <c:pt idx="0">
                  <c:v>2. Child benefit (scenario 2c - targeted cash and kind) - limited to 2 children</c:v>
                </c:pt>
              </c:strCache>
            </c:strRef>
          </c:tx>
          <c:spPr>
            <a:solidFill>
              <a:schemeClr val="accent3">
                <a:lumMod val="60000"/>
                <a:lumOff val="4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SPF)'!$C$625:$R$625</c:f>
              <c:numCache>
                <c:formatCode>0</c:formatCode>
                <c:ptCount val="16"/>
                <c:pt idx="4">
                  <c:v>0</c:v>
                </c:pt>
                <c:pt idx="5" formatCode="#,###,###,###">
                  <c:v>0</c:v>
                </c:pt>
                <c:pt idx="6" formatCode="#,###,###,###">
                  <c:v>3090309.2269442333</c:v>
                </c:pt>
                <c:pt idx="7" formatCode="#,###,###,###">
                  <c:v>7025170.640098583</c:v>
                </c:pt>
                <c:pt idx="8" formatCode="#,###,###,###">
                  <c:v>9258125.339878086</c:v>
                </c:pt>
                <c:pt idx="9" formatCode="#,###,###,###">
                  <c:v>11755280.389370345</c:v>
                </c:pt>
                <c:pt idx="10" formatCode="#,###,###,###">
                  <c:v>16636493.037618093</c:v>
                </c:pt>
                <c:pt idx="11" formatCode="#,###,###,###">
                  <c:v>22155108.889478397</c:v>
                </c:pt>
                <c:pt idx="12" formatCode="#,###,###,###">
                  <c:v>23714562.612932697</c:v>
                </c:pt>
                <c:pt idx="13" formatCode="#,###,###,###">
                  <c:v>25504668.678619366</c:v>
                </c:pt>
                <c:pt idx="14" formatCode="#,###,###,###">
                  <c:v>27563554.705675583</c:v>
                </c:pt>
                <c:pt idx="15" formatCode="#,###,###,###">
                  <c:v>29936888.293879248</c:v>
                </c:pt>
              </c:numCache>
            </c:numRef>
          </c:val>
        </c:ser>
        <c:ser>
          <c:idx val="9"/>
          <c:order val="9"/>
          <c:tx>
            <c:strRef>
              <c:f>'GGO(SQ) (SQ and Post SPF)'!$B$626</c:f>
              <c:strCache>
                <c:ptCount val="1"/>
                <c:pt idx="0">
                  <c:v>3. Working age income security (scenario 1 - high cost )</c:v>
                </c:pt>
              </c:strCache>
            </c:strRef>
          </c:tx>
          <c:spPr>
            <a:solidFill>
              <a:schemeClr val="accent3">
                <a:lumMod val="75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SPF)'!$C$626:$R$626</c:f>
              <c:numCache>
                <c:formatCode>0</c:formatCode>
                <c:ptCount val="16"/>
                <c:pt idx="4">
                  <c:v>0</c:v>
                </c:pt>
                <c:pt idx="5" formatCode="#,###,###,###">
                  <c:v>0</c:v>
                </c:pt>
                <c:pt idx="6" formatCode="#,###,###,###">
                  <c:v>10206666.023815591</c:v>
                </c:pt>
                <c:pt idx="7" formatCode="#,###,###,###">
                  <c:v>23755290.289387222</c:v>
                </c:pt>
                <c:pt idx="8" formatCode="#,###,###,###">
                  <c:v>31782358.70678306</c:v>
                </c:pt>
                <c:pt idx="9" formatCode="#,###,###,###">
                  <c:v>41220559.280590154</c:v>
                </c:pt>
                <c:pt idx="10" formatCode="#,###,###,###">
                  <c:v>45525613.198203348</c:v>
                </c:pt>
                <c:pt idx="11" formatCode="#,###,###,###">
                  <c:v>50475726.867386967</c:v>
                </c:pt>
                <c:pt idx="12" formatCode="#,###,###,###">
                  <c:v>56000165.035670698</c:v>
                </c:pt>
                <c:pt idx="13" formatCode="#,###,###,###">
                  <c:v>62174223.313388757</c:v>
                </c:pt>
                <c:pt idx="14" formatCode="#,###,###,###">
                  <c:v>69122853.848475769</c:v>
                </c:pt>
                <c:pt idx="15" formatCode="#,###,###,###">
                  <c:v>76998510.037461609</c:v>
                </c:pt>
              </c:numCache>
            </c:numRef>
          </c:val>
        </c:ser>
        <c:axId val="136152576"/>
        <c:axId val="136154112"/>
      </c:areaChart>
      <c:catAx>
        <c:axId val="136152576"/>
        <c:scaling>
          <c:orientation val="minMax"/>
        </c:scaling>
        <c:axPos val="b"/>
        <c:numFmt formatCode="General" sourceLinked="1"/>
        <c:tickLblPos val="nextTo"/>
        <c:txPr>
          <a:bodyPr/>
          <a:lstStyle/>
          <a:p>
            <a:pPr>
              <a:defRPr lang="en-GB"/>
            </a:pPr>
            <a:endParaRPr lang="en-US"/>
          </a:p>
        </c:txPr>
        <c:crossAx val="136154112"/>
        <c:crosses val="autoZero"/>
        <c:auto val="1"/>
        <c:lblAlgn val="ctr"/>
        <c:lblOffset val="100"/>
      </c:catAx>
      <c:valAx>
        <c:axId val="136154112"/>
        <c:scaling>
          <c:orientation val="minMax"/>
        </c:scaling>
        <c:axPos val="l"/>
        <c:majorGridlines/>
        <c:numFmt formatCode="#,##0.00;[Red]#,##0.00" sourceLinked="0"/>
        <c:tickLblPos val="nextTo"/>
        <c:txPr>
          <a:bodyPr/>
          <a:lstStyle/>
          <a:p>
            <a:pPr>
              <a:defRPr lang="en-GB"/>
            </a:pPr>
            <a:endParaRPr lang="en-US"/>
          </a:p>
        </c:txPr>
        <c:crossAx val="136152576"/>
        <c:crosses val="autoZero"/>
        <c:crossBetween val="midCat"/>
      </c:valAx>
    </c:plotArea>
    <c:legend>
      <c:legendPos val="r"/>
      <c:layout>
        <c:manualLayout>
          <c:xMode val="edge"/>
          <c:yMode val="edge"/>
          <c:x val="0.70994518981216737"/>
          <c:y val="0.11514423015963611"/>
          <c:w val="0.26591381105294948"/>
          <c:h val="0.83620373540263959"/>
        </c:manualLayout>
      </c:layout>
      <c:txPr>
        <a:bodyPr/>
        <a:lstStyle/>
        <a:p>
          <a:pPr>
            <a:defRPr lang="en-GB"/>
          </a:pPr>
          <a:endParaRPr lang="en-US"/>
        </a:p>
      </c:txPr>
    </c:legend>
    <c:plotVisOnly val="1"/>
    <c:dispBlanksAs val="zero"/>
  </c:chart>
  <c:printSettings>
    <c:headerFooter/>
    <c:pageMargins b="0.75000000000000622" l="0.70000000000000062" r="0.70000000000000062" t="0.75000000000000622"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1050"/>
            </a:pPr>
            <a:r>
              <a:rPr lang="en-GB" sz="1050"/>
              <a:t>IMF:</a:t>
            </a:r>
            <a:r>
              <a:rPr lang="en-GB" sz="1050" baseline="0"/>
              <a:t> General government revenue and expenditure (millions Dong) and balance in millions Dong and as percentage of GDP | STATUS QUO </a:t>
            </a:r>
            <a:endParaRPr lang="en-GB" sz="1050">
              <a:solidFill>
                <a:srgbClr val="FF0000"/>
              </a:solidFill>
            </a:endParaRPr>
          </a:p>
        </c:rich>
      </c:tx>
      <c:overlay val="1"/>
      <c:spPr>
        <a:noFill/>
        <a:ln w="25400">
          <a:noFill/>
        </a:ln>
      </c:spPr>
    </c:title>
    <c:plotArea>
      <c:layout>
        <c:manualLayout>
          <c:layoutTarget val="inner"/>
          <c:xMode val="edge"/>
          <c:yMode val="edge"/>
          <c:x val="0.17164515592575719"/>
          <c:y val="0.2088079615048119"/>
          <c:w val="0.41636970998460909"/>
          <c:h val="0.66571741032372589"/>
        </c:manualLayout>
      </c:layout>
      <c:lineChart>
        <c:grouping val="standard"/>
        <c:ser>
          <c:idx val="0"/>
          <c:order val="0"/>
          <c:tx>
            <c:strRef>
              <c:f>'GGO(SQ) (SQ and Post SPF)'!$B$160</c:f>
              <c:strCache>
                <c:ptCount val="1"/>
                <c:pt idx="0">
                  <c:v>Total revenue IMF (projections from Article IV)</c:v>
                </c:pt>
              </c:strCache>
            </c:strRef>
          </c:tx>
          <c:marker>
            <c:symbol val="none"/>
          </c:marker>
          <c:cat>
            <c:numRef>
              <c:f>'GGO(SQ)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SPF)'!$C$160:$R$160</c:f>
              <c:numCache>
                <c:formatCode>#,###,###,###</c:formatCode>
                <c:ptCount val="16"/>
                <c:pt idx="0">
                  <c:v>228289000.00000003</c:v>
                </c:pt>
                <c:pt idx="1">
                  <c:v>279472000</c:v>
                </c:pt>
                <c:pt idx="2">
                  <c:v>327910600</c:v>
                </c:pt>
                <c:pt idx="3">
                  <c:v>430534999.99999994</c:v>
                </c:pt>
                <c:pt idx="4">
                  <c:v>442341000</c:v>
                </c:pt>
                <c:pt idx="5">
                  <c:v>557986681.45034456</c:v>
                </c:pt>
                <c:pt idx="6">
                  <c:v>669005206.87984276</c:v>
                </c:pt>
                <c:pt idx="7">
                  <c:v>773892538.63292456</c:v>
                </c:pt>
                <c:pt idx="8">
                  <c:v>889647518.68079495</c:v>
                </c:pt>
                <c:pt idx="9">
                  <c:v>1023344157.7558947</c:v>
                </c:pt>
                <c:pt idx="10">
                  <c:v>1175398833.2093289</c:v>
                </c:pt>
                <c:pt idx="11">
                  <c:v>1332120728.0891364</c:v>
                </c:pt>
                <c:pt idx="12">
                  <c:v>1500755611.4114084</c:v>
                </c:pt>
                <c:pt idx="13">
                  <c:v>1693975948.0717642</c:v>
                </c:pt>
                <c:pt idx="14">
                  <c:v>1911250153.1182034</c:v>
                </c:pt>
                <c:pt idx="15">
                  <c:v>2156631720.0761657</c:v>
                </c:pt>
              </c:numCache>
            </c:numRef>
          </c:val>
        </c:ser>
        <c:ser>
          <c:idx val="1"/>
          <c:order val="1"/>
          <c:tx>
            <c:strRef>
              <c:f>'GGO(SQ) (SQ and Post SPF)'!$B$190</c:f>
              <c:strCache>
                <c:ptCount val="1"/>
                <c:pt idx="0">
                  <c:v>Total expenditure IMF</c:v>
                </c:pt>
              </c:strCache>
            </c:strRef>
          </c:tx>
          <c:marker>
            <c:symbol val="none"/>
          </c:marker>
          <c:cat>
            <c:numRef>
              <c:f>'GGO(SQ)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SPF)'!$C$190:$R$190</c:f>
              <c:numCache>
                <c:formatCode>#,##0</c:formatCode>
                <c:ptCount val="16"/>
                <c:pt idx="0">
                  <c:v>255907479.99999997</c:v>
                </c:pt>
                <c:pt idx="1">
                  <c:v>281466000</c:v>
                </c:pt>
                <c:pt idx="2">
                  <c:v>356931178.92700005</c:v>
                </c:pt>
                <c:pt idx="3">
                  <c:v>448286780.48000002</c:v>
                </c:pt>
                <c:pt idx="4">
                  <c:v>591473799.05000007</c:v>
                </c:pt>
                <c:pt idx="5">
                  <c:v>685042000</c:v>
                </c:pt>
                <c:pt idx="6">
                  <c:v>763802586.29371738</c:v>
                </c:pt>
                <c:pt idx="7">
                  <c:v>877373099.71108425</c:v>
                </c:pt>
                <c:pt idx="8">
                  <c:v>1002389012.8821763</c:v>
                </c:pt>
                <c:pt idx="9">
                  <c:v>1144676302.8963153</c:v>
                </c:pt>
                <c:pt idx="10">
                  <c:v>1300851167.6789532</c:v>
                </c:pt>
                <c:pt idx="11">
                  <c:v>1469895442.276958</c:v>
                </c:pt>
                <c:pt idx="12">
                  <c:v>1661713214.4005201</c:v>
                </c:pt>
                <c:pt idx="13">
                  <c:v>1874029225.4743962</c:v>
                </c:pt>
                <c:pt idx="14">
                  <c:v>2114604066.9078875</c:v>
                </c:pt>
                <c:pt idx="15">
                  <c:v>2387002378.7881999</c:v>
                </c:pt>
              </c:numCache>
            </c:numRef>
          </c:val>
        </c:ser>
        <c:ser>
          <c:idx val="2"/>
          <c:order val="2"/>
          <c:tx>
            <c:strRef>
              <c:f>'GGO(SQ) (SQ and Post SPF)'!$B$192</c:f>
              <c:strCache>
                <c:ptCount val="1"/>
                <c:pt idx="0">
                  <c:v>General government fiscal balance</c:v>
                </c:pt>
              </c:strCache>
            </c:strRef>
          </c:tx>
          <c:marker>
            <c:symbol val="none"/>
          </c:marker>
          <c:cat>
            <c:numRef>
              <c:f>'GGO(SQ)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SPF)'!$C$192:$R$192</c:f>
              <c:numCache>
                <c:formatCode>#,##0</c:formatCode>
                <c:ptCount val="16"/>
                <c:pt idx="0">
                  <c:v>-27618479.99999994</c:v>
                </c:pt>
                <c:pt idx="1">
                  <c:v>-1994000</c:v>
                </c:pt>
                <c:pt idx="2">
                  <c:v>-29020578.927000046</c:v>
                </c:pt>
                <c:pt idx="3">
                  <c:v>-17751780.480000079</c:v>
                </c:pt>
                <c:pt idx="4">
                  <c:v>-149132799.05000007</c:v>
                </c:pt>
                <c:pt idx="5">
                  <c:v>-127055318.54965544</c:v>
                </c:pt>
                <c:pt idx="6">
                  <c:v>-94797379.413874626</c:v>
                </c:pt>
                <c:pt idx="7">
                  <c:v>-103480561.07815969</c:v>
                </c:pt>
                <c:pt idx="8">
                  <c:v>-112741494.20138133</c:v>
                </c:pt>
                <c:pt idx="9">
                  <c:v>-121332145.14042068</c:v>
                </c:pt>
                <c:pt idx="10">
                  <c:v>-125452334.46962428</c:v>
                </c:pt>
                <c:pt idx="11">
                  <c:v>-137774714.18782163</c:v>
                </c:pt>
                <c:pt idx="12">
                  <c:v>-160957602.98911166</c:v>
                </c:pt>
                <c:pt idx="13">
                  <c:v>-180053277.402632</c:v>
                </c:pt>
                <c:pt idx="14">
                  <c:v>-203353913.78968406</c:v>
                </c:pt>
                <c:pt idx="15">
                  <c:v>-230370658.71203423</c:v>
                </c:pt>
              </c:numCache>
            </c:numRef>
          </c:val>
        </c:ser>
        <c:marker val="1"/>
        <c:axId val="136260224"/>
        <c:axId val="136282496"/>
      </c:lineChart>
      <c:lineChart>
        <c:grouping val="standard"/>
        <c:ser>
          <c:idx val="3"/>
          <c:order val="3"/>
          <c:tx>
            <c:strRef>
              <c:f>'GGO(SQ) (SQ and Post SPF)'!$B$193</c:f>
              <c:strCache>
                <c:ptCount val="1"/>
                <c:pt idx="0">
                  <c:v>Balance as a percentage of GDP </c:v>
                </c:pt>
              </c:strCache>
            </c:strRef>
          </c:tx>
          <c:spPr>
            <a:ln>
              <a:solidFill>
                <a:srgbClr val="F79646">
                  <a:lumMod val="75000"/>
                </a:srgbClr>
              </a:solidFill>
            </a:ln>
          </c:spPr>
          <c:marker>
            <c:symbol val="none"/>
          </c:marker>
          <c:cat>
            <c:numRef>
              <c:f>'GGO(SQ) (SQ and Post SPF)'!$C$14:$R$14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SPF)'!$C$193:$R$193</c:f>
              <c:numCache>
                <c:formatCode>#,##0.00</c:formatCode>
                <c:ptCount val="16"/>
                <c:pt idx="0">
                  <c:v>-3.2910044031340679</c:v>
                </c:pt>
                <c:pt idx="1">
                  <c:v>-0.20466710802502394</c:v>
                </c:pt>
                <c:pt idx="2">
                  <c:v>-2.5373952194550626</c:v>
                </c:pt>
                <c:pt idx="3">
                  <c:v>-1.1953755041958576</c:v>
                </c:pt>
                <c:pt idx="4">
                  <c:v>-8.9926307428474317</c:v>
                </c:pt>
                <c:pt idx="5">
                  <c:v>-6.4139757811575144</c:v>
                </c:pt>
                <c:pt idx="6">
                  <c:v>-3.9371596114726799</c:v>
                </c:pt>
                <c:pt idx="7">
                  <c:v>-3.7570230896071366</c:v>
                </c:pt>
                <c:pt idx="8">
                  <c:v>-3.5645143922856395</c:v>
                </c:pt>
                <c:pt idx="9">
                  <c:v>-3.349645554534781</c:v>
                </c:pt>
                <c:pt idx="10">
                  <c:v>-3.0380957966810649</c:v>
                </c:pt>
                <c:pt idx="11">
                  <c:v>-2.9388151720636637</c:v>
                </c:pt>
                <c:pt idx="12">
                  <c:v>-3.0294302497309267</c:v>
                </c:pt>
                <c:pt idx="13">
                  <c:v>-2.9901966590619695</c:v>
                </c:pt>
                <c:pt idx="14">
                  <c:v>-2.9789377438899174</c:v>
                </c:pt>
                <c:pt idx="15">
                  <c:v>-2.9757775686240375</c:v>
                </c:pt>
              </c:numCache>
            </c:numRef>
          </c:val>
        </c:ser>
        <c:marker val="1"/>
        <c:axId val="136284416"/>
        <c:axId val="136286208"/>
      </c:lineChart>
      <c:catAx>
        <c:axId val="136260224"/>
        <c:scaling>
          <c:orientation val="minMax"/>
        </c:scaling>
        <c:axPos val="b"/>
        <c:numFmt formatCode="General" sourceLinked="1"/>
        <c:tickLblPos val="low"/>
        <c:txPr>
          <a:bodyPr/>
          <a:lstStyle/>
          <a:p>
            <a:pPr>
              <a:defRPr lang="en-GB"/>
            </a:pPr>
            <a:endParaRPr lang="en-US"/>
          </a:p>
        </c:txPr>
        <c:crossAx val="136282496"/>
        <c:crosses val="autoZero"/>
        <c:auto val="1"/>
        <c:lblAlgn val="ctr"/>
        <c:lblOffset val="100"/>
      </c:catAx>
      <c:valAx>
        <c:axId val="136282496"/>
        <c:scaling>
          <c:orientation val="minMax"/>
        </c:scaling>
        <c:axPos val="l"/>
        <c:majorGridlines/>
        <c:title>
          <c:tx>
            <c:rich>
              <a:bodyPr rot="-5400000" vert="horz"/>
              <a:lstStyle/>
              <a:p>
                <a:pPr>
                  <a:defRPr lang="en-GB"/>
                </a:pPr>
                <a:r>
                  <a:rPr lang="en-US"/>
                  <a:t>Millions de VND</a:t>
                </a:r>
              </a:p>
            </c:rich>
          </c:tx>
          <c:spPr>
            <a:noFill/>
            <a:ln w="25400">
              <a:noFill/>
            </a:ln>
          </c:spPr>
        </c:title>
        <c:numFmt formatCode="#,###,###,###" sourceLinked="1"/>
        <c:tickLblPos val="nextTo"/>
        <c:txPr>
          <a:bodyPr/>
          <a:lstStyle/>
          <a:p>
            <a:pPr>
              <a:defRPr lang="en-GB"/>
            </a:pPr>
            <a:endParaRPr lang="en-US"/>
          </a:p>
        </c:txPr>
        <c:crossAx val="136260224"/>
        <c:crosses val="autoZero"/>
        <c:crossBetween val="between"/>
      </c:valAx>
      <c:catAx>
        <c:axId val="136284416"/>
        <c:scaling>
          <c:orientation val="minMax"/>
        </c:scaling>
        <c:delete val="1"/>
        <c:axPos val="b"/>
        <c:numFmt formatCode="General" sourceLinked="1"/>
        <c:tickLblPos val="none"/>
        <c:crossAx val="136286208"/>
        <c:crosses val="autoZero"/>
        <c:auto val="1"/>
        <c:lblAlgn val="ctr"/>
        <c:lblOffset val="100"/>
      </c:catAx>
      <c:valAx>
        <c:axId val="136286208"/>
        <c:scaling>
          <c:orientation val="minMax"/>
        </c:scaling>
        <c:axPos val="r"/>
        <c:numFmt formatCode="#,##0.00" sourceLinked="1"/>
        <c:tickLblPos val="nextTo"/>
        <c:txPr>
          <a:bodyPr/>
          <a:lstStyle/>
          <a:p>
            <a:pPr>
              <a:defRPr lang="en-GB"/>
            </a:pPr>
            <a:endParaRPr lang="en-US"/>
          </a:p>
        </c:txPr>
        <c:crossAx val="136284416"/>
        <c:crosses val="max"/>
        <c:crossBetween val="between"/>
      </c:valAx>
    </c:plotArea>
    <c:legend>
      <c:legendPos val="r"/>
      <c:layout>
        <c:manualLayout>
          <c:xMode val="edge"/>
          <c:yMode val="edge"/>
          <c:x val="0.72278338945005616"/>
          <c:y val="0.2179104477611957"/>
          <c:w val="0.27272727272727237"/>
          <c:h val="0.55522388059701477"/>
        </c:manualLayout>
      </c:layout>
      <c:txPr>
        <a:bodyPr/>
        <a:lstStyle/>
        <a:p>
          <a:pPr>
            <a:defRPr lang="en-GB"/>
          </a:pPr>
          <a:endParaRPr lang="en-US"/>
        </a:p>
      </c:txPr>
    </c:legend>
    <c:plotVisOnly val="1"/>
    <c:dispBlanksAs val="gap"/>
  </c:chart>
  <c:printSettings>
    <c:headerFooter/>
    <c:pageMargins b="0.75000000000000744" l="0.70000000000000062" r="0.70000000000000062" t="0.750000000000007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GB"/>
  <c:style val="3"/>
  <c:chart>
    <c:title>
      <c:tx>
        <c:rich>
          <a:bodyPr/>
          <a:lstStyle/>
          <a:p>
            <a:pPr>
              <a:defRPr lang="en-GB" sz="1100"/>
            </a:pPr>
            <a:r>
              <a:rPr lang="en-US" sz="1100"/>
              <a:t>General government revenue as a percentage of GDP and composition </a:t>
            </a:r>
          </a:p>
          <a:p>
            <a:pPr>
              <a:defRPr lang="en-GB" sz="1100"/>
            </a:pPr>
            <a:r>
              <a:rPr lang="en-US" sz="1100"/>
              <a:t> </a:t>
            </a:r>
            <a:r>
              <a:rPr lang="en-US" sz="1100">
                <a:solidFill>
                  <a:srgbClr val="FF0000"/>
                </a:solidFill>
              </a:rPr>
              <a:t>D</a:t>
            </a:r>
            <a:r>
              <a:rPr lang="en-US" sz="1100" b="1" i="0" u="none" strike="noStrike" baseline="0">
                <a:solidFill>
                  <a:srgbClr val="FF0000"/>
                </a:solidFill>
              </a:rPr>
              <a:t>istinction of contributions</a:t>
            </a:r>
            <a:endParaRPr lang="en-US" sz="1100">
              <a:solidFill>
                <a:srgbClr val="FF0000"/>
              </a:solidFill>
            </a:endParaRPr>
          </a:p>
        </c:rich>
      </c:tx>
      <c:layout>
        <c:manualLayout>
          <c:xMode val="edge"/>
          <c:yMode val="edge"/>
          <c:x val="0.11249272412377023"/>
          <c:y val="5.6370053257905874E-2"/>
        </c:manualLayout>
      </c:layout>
      <c:overlay val="1"/>
      <c:spPr>
        <a:noFill/>
        <a:ln w="25400">
          <a:noFill/>
        </a:ln>
      </c:spPr>
    </c:title>
    <c:plotArea>
      <c:layout>
        <c:manualLayout>
          <c:layoutTarget val="inner"/>
          <c:xMode val="edge"/>
          <c:yMode val="edge"/>
          <c:x val="0.12974955163414845"/>
          <c:y val="0.1981149752114319"/>
          <c:w val="0.52358423100108209"/>
          <c:h val="0.60486730825313562"/>
        </c:manualLayout>
      </c:layout>
      <c:areaChart>
        <c:grouping val="stacked"/>
        <c:ser>
          <c:idx val="0"/>
          <c:order val="0"/>
          <c:tx>
            <c:strRef>
              <c:f>'GGO(SQ) (SQ and Post SPF)'!$B$208</c:f>
              <c:strCache>
                <c:ptCount val="1"/>
                <c:pt idx="0">
                  <c:v>Oil</c:v>
                </c:pt>
              </c:strCache>
            </c:strRef>
          </c:tx>
          <c:cat>
            <c:numRef>
              <c:f>'GGO(SQ) (SQ and Post SPF)'!$C$150:$R$150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SPF)'!$C$208:$R$208</c:f>
              <c:numCache>
                <c:formatCode>#,###,###,###.0</c:formatCode>
                <c:ptCount val="16"/>
                <c:pt idx="0">
                  <c:v>7.9310183277210689</c:v>
                </c:pt>
                <c:pt idx="1">
                  <c:v>8.5547566627149685</c:v>
                </c:pt>
                <c:pt idx="2">
                  <c:v>6.8753120393816696</c:v>
                </c:pt>
                <c:pt idx="3">
                  <c:v>6.03371765570982</c:v>
                </c:pt>
                <c:pt idx="4">
                  <c:v>3.648118746566698</c:v>
                </c:pt>
                <c:pt idx="5">
                  <c:v>3.4892783932108151</c:v>
                </c:pt>
                <c:pt idx="6">
                  <c:v>3.4395311241044735</c:v>
                </c:pt>
                <c:pt idx="7">
                  <c:v>3.3877434113585845</c:v>
                </c:pt>
                <c:pt idx="8">
                  <c:v>3.1167160262428126</c:v>
                </c:pt>
                <c:pt idx="9">
                  <c:v>2.9153720163410273</c:v>
                </c:pt>
                <c:pt idx="10">
                  <c:v>2.7790301051572461</c:v>
                </c:pt>
                <c:pt idx="11">
                  <c:v>2.7109438675808932</c:v>
                </c:pt>
                <c:pt idx="12">
                  <c:v>2.5847494305450027</c:v>
                </c:pt>
                <c:pt idx="13">
                  <c:v>2.4156680465459015</c:v>
                </c:pt>
                <c:pt idx="14">
                  <c:v>2.2215449623254733</c:v>
                </c:pt>
                <c:pt idx="15">
                  <c:v>2.0174405189118207</c:v>
                </c:pt>
              </c:numCache>
            </c:numRef>
          </c:val>
        </c:ser>
        <c:ser>
          <c:idx val="1"/>
          <c:order val="1"/>
          <c:tx>
            <c:strRef>
              <c:f>'GGO(SQ) (SQ and Post SPF)'!$B$209</c:f>
              <c:strCache>
                <c:ptCount val="1"/>
                <c:pt idx="0">
                  <c:v>Non-oil</c:v>
                </c:pt>
              </c:strCache>
            </c:strRef>
          </c:tx>
          <c:spPr>
            <a:solidFill>
              <a:schemeClr val="tx2">
                <a:lumMod val="60000"/>
                <a:lumOff val="40000"/>
              </a:schemeClr>
            </a:solidFill>
          </c:spPr>
          <c:cat>
            <c:numRef>
              <c:f>'GGO(SQ) (SQ and Post SPF)'!$C$150:$R$150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SPF)'!$C$209:$R$209</c:f>
              <c:numCache>
                <c:formatCode>#,###,###,###.0</c:formatCode>
                <c:ptCount val="16"/>
                <c:pt idx="0">
                  <c:v>18.82029052430844</c:v>
                </c:pt>
                <c:pt idx="1">
                  <c:v>19.320102846761401</c:v>
                </c:pt>
                <c:pt idx="2">
                  <c:v>21.26968020366974</c:v>
                </c:pt>
                <c:pt idx="3">
                  <c:v>22.324815930636117</c:v>
                </c:pt>
                <c:pt idx="4">
                  <c:v>22.631662414548096</c:v>
                </c:pt>
                <c:pt idx="5">
                  <c:v>24.401220286304767</c:v>
                </c:pt>
                <c:pt idx="6">
                  <c:v>24.138177231325528</c:v>
                </c:pt>
                <c:pt idx="7">
                  <c:v>24.506123051990194</c:v>
                </c:pt>
                <c:pt idx="8">
                  <c:v>24.815637518111629</c:v>
                </c:pt>
                <c:pt idx="9">
                  <c:v>25.152688777273966</c:v>
                </c:pt>
                <c:pt idx="10">
                  <c:v>25.516804620124457</c:v>
                </c:pt>
                <c:pt idx="11">
                  <c:v>25.551910759880855</c:v>
                </c:pt>
                <c:pt idx="12">
                  <c:v>25.524558937086859</c:v>
                </c:pt>
                <c:pt idx="13">
                  <c:v>25.593510823921775</c:v>
                </c:pt>
                <c:pt idx="14">
                  <c:v>25.665566346511682</c:v>
                </c:pt>
                <c:pt idx="15">
                  <c:v>25.740752258018059</c:v>
                </c:pt>
              </c:numCache>
            </c:numRef>
          </c:val>
        </c:ser>
        <c:ser>
          <c:idx val="2"/>
          <c:order val="2"/>
          <c:tx>
            <c:strRef>
              <c:f>'GGO(SQ) (SQ and Post SPF)'!$B$210</c:f>
              <c:strCache>
                <c:ptCount val="1"/>
                <c:pt idx="0">
                  <c:v>Non-Oil | Domestic</c:v>
                </c:pt>
              </c:strCache>
            </c:strRef>
          </c:tx>
          <c:spPr>
            <a:solidFill>
              <a:schemeClr val="accent1">
                <a:lumMod val="60000"/>
                <a:lumOff val="40000"/>
              </a:schemeClr>
            </a:solidFill>
          </c:spPr>
          <c:cat>
            <c:numRef>
              <c:f>'GGO(SQ) (SQ and Post SPF)'!$C$150:$R$150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SPF)'!$C$210:$R$210</c:f>
              <c:numCache>
                <c:formatCode>#,###,###,###.0</c:formatCode>
                <c:ptCount val="16"/>
                <c:pt idx="0">
                  <c:v>16.00097663816582</c:v>
                </c:pt>
                <c:pt idx="1">
                  <c:v>16.622684793151755</c:v>
                </c:pt>
                <c:pt idx="2">
                  <c:v>17.920158000593815</c:v>
                </c:pt>
                <c:pt idx="3">
                  <c:v>18.252596903244225</c:v>
                </c:pt>
                <c:pt idx="4">
                  <c:v>17.98619021230845</c:v>
                </c:pt>
                <c:pt idx="5">
                  <c:v>20.472284679683273</c:v>
                </c:pt>
                <c:pt idx="6">
                  <c:v>20.506199830102666</c:v>
                </c:pt>
                <c:pt idx="7">
                  <c:v>20.899750767668486</c:v>
                </c:pt>
                <c:pt idx="8">
                  <c:v>21.298621229153166</c:v>
                </c:pt>
                <c:pt idx="9">
                  <c:v>21.717694391889161</c:v>
                </c:pt>
                <c:pt idx="10">
                  <c:v>22.148742810085597</c:v>
                </c:pt>
                <c:pt idx="11">
                  <c:v>22.180211460501461</c:v>
                </c:pt>
                <c:pt idx="12">
                  <c:v>22.211837454169395</c:v>
                </c:pt>
                <c:pt idx="13">
                  <c:v>22.338973948714511</c:v>
                </c:pt>
                <c:pt idx="14">
                  <c:v>22.468653173150535</c:v>
                </c:pt>
                <c:pt idx="15">
                  <c:v>22.600925982075275</c:v>
                </c:pt>
              </c:numCache>
            </c:numRef>
          </c:val>
        </c:ser>
        <c:ser>
          <c:idx val="3"/>
          <c:order val="3"/>
          <c:tx>
            <c:strRef>
              <c:f>'GGO(SQ) (SQ and Post SPF)'!$B$211</c:f>
              <c:strCache>
                <c:ptCount val="1"/>
                <c:pt idx="0">
                  <c:v>Non-Oil | Foreign</c:v>
                </c:pt>
              </c:strCache>
            </c:strRef>
          </c:tx>
          <c:spPr>
            <a:solidFill>
              <a:schemeClr val="accent1">
                <a:lumMod val="40000"/>
                <a:lumOff val="60000"/>
              </a:schemeClr>
            </a:solidFill>
          </c:spPr>
          <c:cat>
            <c:numRef>
              <c:f>'GGO(SQ) (SQ and Post SPF)'!$C$150:$R$150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SPF)'!$C$211:$R$211</c:f>
              <c:numCache>
                <c:formatCode>#,###,###,###.0</c:formatCode>
                <c:ptCount val="16"/>
                <c:pt idx="0">
                  <c:v>2.8193138861426199</c:v>
                </c:pt>
                <c:pt idx="1">
                  <c:v>2.6974180536096437</c:v>
                </c:pt>
                <c:pt idx="2">
                  <c:v>3.3495222030759262</c:v>
                </c:pt>
                <c:pt idx="3">
                  <c:v>4.0722190273918919</c:v>
                </c:pt>
                <c:pt idx="4">
                  <c:v>4.6454722022396435</c:v>
                </c:pt>
                <c:pt idx="5">
                  <c:v>3.928935606621494</c:v>
                </c:pt>
                <c:pt idx="6">
                  <c:v>3.6319774012228603</c:v>
                </c:pt>
                <c:pt idx="7">
                  <c:v>3.606372284321707</c:v>
                </c:pt>
                <c:pt idx="8">
                  <c:v>3.5170162889584629</c:v>
                </c:pt>
                <c:pt idx="9">
                  <c:v>3.4349943853848064</c:v>
                </c:pt>
                <c:pt idx="10">
                  <c:v>3.36806181003886</c:v>
                </c:pt>
                <c:pt idx="11">
                  <c:v>3.3716992993793946</c:v>
                </c:pt>
                <c:pt idx="12">
                  <c:v>3.3127214829174654</c:v>
                </c:pt>
                <c:pt idx="13">
                  <c:v>3.2545368752072652</c:v>
                </c:pt>
                <c:pt idx="14">
                  <c:v>3.1969131733611476</c:v>
                </c:pt>
                <c:pt idx="15">
                  <c:v>3.139826275942784</c:v>
                </c:pt>
              </c:numCache>
            </c:numRef>
          </c:val>
        </c:ser>
        <c:ser>
          <c:idx val="4"/>
          <c:order val="4"/>
          <c:tx>
            <c:strRef>
              <c:f>'GGO(SQ) (SQ and Post SPF)'!$B$212</c:f>
              <c:strCache>
                <c:ptCount val="1"/>
                <c:pt idx="0">
                  <c:v>Grants</c:v>
                </c:pt>
              </c:strCache>
            </c:strRef>
          </c:tx>
          <c:spPr>
            <a:solidFill>
              <a:schemeClr val="accent1">
                <a:lumMod val="20000"/>
                <a:lumOff val="80000"/>
              </a:schemeClr>
            </a:solidFill>
          </c:spPr>
          <c:cat>
            <c:numRef>
              <c:f>'GGO(SQ) (SQ and Post SPF)'!$C$150:$R$150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SPF)'!$C$212:$R$212</c:f>
              <c:numCache>
                <c:formatCode>#,###,###,###.0</c:formatCode>
                <c:ptCount val="16"/>
                <c:pt idx="0">
                  <c:v>0.45149536409950913</c:v>
                </c:pt>
                <c:pt idx="1">
                  <c:v>0.81055975530271529</c:v>
                </c:pt>
                <c:pt idx="2">
                  <c:v>0.52565526338177626</c:v>
                </c:pt>
                <c:pt idx="3">
                  <c:v>0.63298043551747496</c:v>
                </c:pt>
                <c:pt idx="4">
                  <c:v>0.39315263186140287</c:v>
                </c:pt>
                <c:pt idx="5">
                  <c:v>0.27764966629539017</c:v>
                </c:pt>
                <c:pt idx="6">
                  <c:v>0.20766183811281783</c:v>
                </c:pt>
                <c:pt idx="7">
                  <c:v>0.20350860135056151</c:v>
                </c:pt>
                <c:pt idx="8">
                  <c:v>0.19536825729653901</c:v>
                </c:pt>
                <c:pt idx="9">
                  <c:v>0.18364616185874666</c:v>
                </c:pt>
                <c:pt idx="10">
                  <c:v>0.1689544689100469</c:v>
                </c:pt>
                <c:pt idx="11">
                  <c:v>0.15205902201904223</c:v>
                </c:pt>
                <c:pt idx="12">
                  <c:v>0.13685311981713799</c:v>
                </c:pt>
                <c:pt idx="13">
                  <c:v>0.12316780783542419</c:v>
                </c:pt>
                <c:pt idx="14">
                  <c:v>0.11085102705188178</c:v>
                </c:pt>
                <c:pt idx="15">
                  <c:v>9.9765924346693624E-2</c:v>
                </c:pt>
              </c:numCache>
            </c:numRef>
          </c:val>
        </c:ser>
        <c:ser>
          <c:idx val="5"/>
          <c:order val="5"/>
          <c:spPr>
            <a:solidFill>
              <a:schemeClr val="accent3">
                <a:lumMod val="75000"/>
              </a:schemeClr>
            </a:solidFill>
          </c:spPr>
          <c:cat>
            <c:numRef>
              <c:f>'GGO(SQ) (SQ and Post SPF)'!$C$150:$R$150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ser>
          <c:idx val="6"/>
          <c:order val="6"/>
          <c:spPr>
            <a:solidFill>
              <a:schemeClr val="accent3">
                <a:lumMod val="40000"/>
                <a:lumOff val="60000"/>
              </a:schemeClr>
            </a:solidFill>
          </c:spPr>
          <c:cat>
            <c:numRef>
              <c:f>'GGO(SQ) (SQ and Post SPF)'!$C$150:$R$150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ser>
          <c:idx val="7"/>
          <c:order val="7"/>
          <c:spPr>
            <a:solidFill>
              <a:schemeClr val="accent3">
                <a:lumMod val="75000"/>
              </a:schemeClr>
            </a:solidFill>
            <a:ln w="25400">
              <a:noFill/>
            </a:ln>
          </c:spPr>
          <c:cat>
            <c:numRef>
              <c:f>'GGO(SQ) (SQ and Post SPF)'!$C$150:$R$150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Lit>
              <c:formatCode>General</c:formatCode>
              <c:ptCount val="1"/>
              <c:pt idx="0">
                <c:v>0</c:v>
              </c:pt>
            </c:numLit>
          </c:val>
        </c:ser>
        <c:axId val="136393856"/>
        <c:axId val="136395392"/>
      </c:areaChart>
      <c:catAx>
        <c:axId val="136393856"/>
        <c:scaling>
          <c:orientation val="minMax"/>
        </c:scaling>
        <c:axPos val="b"/>
        <c:numFmt formatCode="General" sourceLinked="1"/>
        <c:tickLblPos val="nextTo"/>
        <c:txPr>
          <a:bodyPr rot="-5400000" vert="horz"/>
          <a:lstStyle/>
          <a:p>
            <a:pPr>
              <a:defRPr lang="en-GB"/>
            </a:pPr>
            <a:endParaRPr lang="en-US"/>
          </a:p>
        </c:txPr>
        <c:crossAx val="136395392"/>
        <c:crosses val="autoZero"/>
        <c:auto val="1"/>
        <c:lblAlgn val="ctr"/>
        <c:lblOffset val="100"/>
      </c:catAx>
      <c:valAx>
        <c:axId val="136395392"/>
        <c:scaling>
          <c:orientation val="minMax"/>
        </c:scaling>
        <c:axPos val="l"/>
        <c:majorGridlines/>
        <c:title>
          <c:tx>
            <c:rich>
              <a:bodyPr rot="-5400000" vert="horz"/>
              <a:lstStyle/>
              <a:p>
                <a:pPr>
                  <a:defRPr lang="en-GB"/>
                </a:pPr>
                <a:r>
                  <a:rPr lang="en-US"/>
                  <a:t>Percentage of GDP</a:t>
                </a:r>
              </a:p>
            </c:rich>
          </c:tx>
          <c:spPr>
            <a:noFill/>
            <a:ln w="25400">
              <a:noFill/>
            </a:ln>
          </c:spPr>
        </c:title>
        <c:numFmt formatCode="#,###,###,###.0" sourceLinked="1"/>
        <c:tickLblPos val="nextTo"/>
        <c:txPr>
          <a:bodyPr/>
          <a:lstStyle/>
          <a:p>
            <a:pPr>
              <a:defRPr lang="en-GB"/>
            </a:pPr>
            <a:endParaRPr lang="en-US"/>
          </a:p>
        </c:txPr>
        <c:crossAx val="136393856"/>
        <c:crosses val="autoZero"/>
        <c:crossBetween val="midCat"/>
      </c:valAx>
    </c:plotArea>
    <c:legend>
      <c:legendPos val="b"/>
      <c:layout>
        <c:manualLayout>
          <c:xMode val="edge"/>
          <c:yMode val="edge"/>
          <c:x val="0.66517911451545153"/>
          <c:y val="4.7967280788930533E-2"/>
          <c:w val="0.33482088548455541"/>
          <c:h val="0.40077211222383607"/>
        </c:manualLayout>
      </c:layout>
      <c:txPr>
        <a:bodyPr/>
        <a:lstStyle/>
        <a:p>
          <a:pPr>
            <a:defRPr lang="en-GB" sz="800"/>
          </a:pPr>
          <a:endParaRPr lang="en-US"/>
        </a:p>
      </c:txPr>
    </c:legend>
    <c:plotVisOnly val="1"/>
    <c:dispBlanksAs val="zero"/>
  </c:chart>
  <c:printSettings>
    <c:headerFooter/>
    <c:pageMargins b="0.75000000000000722" l="0.70000000000000062" r="0.70000000000000062" t="0.750000000000007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a:pPr>
            <a:r>
              <a:rPr lang="en-GB" sz="1050"/>
              <a:t>State</a:t>
            </a:r>
            <a:r>
              <a:rPr lang="en-GB" sz="1050" baseline="0"/>
              <a:t> budget for social security  </a:t>
            </a:r>
          </a:p>
          <a:p>
            <a:pPr>
              <a:defRPr lang="en-GB"/>
            </a:pPr>
            <a:r>
              <a:rPr lang="en-GB" sz="1050" baseline="0"/>
              <a:t>c</a:t>
            </a:r>
            <a:r>
              <a:rPr lang="en-GB" sz="1050"/>
              <a:t>omposition</a:t>
            </a:r>
            <a:r>
              <a:rPr lang="en-GB" sz="1050" baseline="0"/>
              <a:t> over time </a:t>
            </a:r>
          </a:p>
        </c:rich>
      </c:tx>
      <c:layout>
        <c:manualLayout>
          <c:xMode val="edge"/>
          <c:yMode val="edge"/>
          <c:x val="0.6702831882856749"/>
          <c:y val="2.1725072827435042E-2"/>
        </c:manualLayout>
      </c:layout>
      <c:overlay val="1"/>
      <c:spPr>
        <a:noFill/>
        <a:ln w="25400">
          <a:noFill/>
        </a:ln>
      </c:spPr>
    </c:title>
    <c:plotArea>
      <c:layout>
        <c:manualLayout>
          <c:layoutTarget val="inner"/>
          <c:xMode val="edge"/>
          <c:yMode val="edge"/>
          <c:x val="0.13988919667590041"/>
          <c:y val="3.8461538461538464E-2"/>
          <c:w val="0.49307479224376927"/>
          <c:h val="0.81868131868132088"/>
        </c:manualLayout>
      </c:layout>
      <c:areaChart>
        <c:grouping val="stacked"/>
        <c:ser>
          <c:idx val="0"/>
          <c:order val="0"/>
          <c:tx>
            <c:strRef>
              <c:f>'GGO(SQ) (SQ and Post SPF)'!$B$283</c:f>
              <c:strCache>
                <c:ptCount val="1"/>
                <c:pt idx="0">
                  <c:v>Labour market policies</c:v>
                </c:pt>
              </c:strCache>
            </c:strRef>
          </c:tx>
          <c:cat>
            <c:numRef>
              <c:f>'GGO(SQ) (SQ and Post SPF)'!$C$282:$R$282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SPF)'!$C$283:$R$283</c:f>
              <c:numCache>
                <c:formatCode>0.00</c:formatCode>
                <c:ptCount val="16"/>
                <c:pt idx="0">
                  <c:v>5.863422803688807</c:v>
                </c:pt>
                <c:pt idx="1">
                  <c:v>6.0405311963002539</c:v>
                </c:pt>
                <c:pt idx="2">
                  <c:v>6.7856593688136391</c:v>
                </c:pt>
                <c:pt idx="3">
                  <c:v>5.4438079449184187</c:v>
                </c:pt>
                <c:pt idx="4">
                  <c:v>6.47612636023924</c:v>
                </c:pt>
                <c:pt idx="5">
                  <c:v>4.2521626270793877</c:v>
                </c:pt>
                <c:pt idx="6">
                  <c:v>5.5267904558930887</c:v>
                </c:pt>
                <c:pt idx="7">
                  <c:v>5.7178433273316562</c:v>
                </c:pt>
                <c:pt idx="8">
                  <c:v>5.5241504935286176</c:v>
                </c:pt>
                <c:pt idx="9">
                  <c:v>4.4775488186301082</c:v>
                </c:pt>
                <c:pt idx="10">
                  <c:v>4.2734701864307816</c:v>
                </c:pt>
                <c:pt idx="11">
                  <c:v>4.5837475263523668</c:v>
                </c:pt>
                <c:pt idx="12">
                  <c:v>4.6583097769278412</c:v>
                </c:pt>
                <c:pt idx="13">
                  <c:v>5.0604099893327623</c:v>
                </c:pt>
                <c:pt idx="14">
                  <c:v>4.9940427350358352</c:v>
                </c:pt>
                <c:pt idx="15">
                  <c:v>5.1916040255717331</c:v>
                </c:pt>
              </c:numCache>
            </c:numRef>
          </c:val>
        </c:ser>
        <c:ser>
          <c:idx val="1"/>
          <c:order val="1"/>
          <c:tx>
            <c:strRef>
              <c:f>'GGO(SQ) (SQ and Post SPF)'!$B$284</c:f>
              <c:strCache>
                <c:ptCount val="1"/>
                <c:pt idx="0">
                  <c:v>Health insurance</c:v>
                </c:pt>
              </c:strCache>
            </c:strRef>
          </c:tx>
          <c:spPr>
            <a:solidFill>
              <a:schemeClr val="accent2">
                <a:lumMod val="60000"/>
                <a:lumOff val="40000"/>
              </a:schemeClr>
            </a:solidFill>
          </c:spPr>
          <c:cat>
            <c:numRef>
              <c:f>'GGO(SQ) (SQ and Post SPF)'!$C$282:$R$282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SPF)'!$C$284:$R$284</c:f>
              <c:numCache>
                <c:formatCode>0.00</c:formatCode>
                <c:ptCount val="16"/>
                <c:pt idx="0">
                  <c:v>9.9386697064757552</c:v>
                </c:pt>
                <c:pt idx="1">
                  <c:v>11.822335054118154</c:v>
                </c:pt>
                <c:pt idx="2">
                  <c:v>14.201003291560305</c:v>
                </c:pt>
                <c:pt idx="3">
                  <c:v>25.785049084506827</c:v>
                </c:pt>
                <c:pt idx="4">
                  <c:v>30.546957251580569</c:v>
                </c:pt>
                <c:pt idx="5">
                  <c:v>29.966274663792454</c:v>
                </c:pt>
                <c:pt idx="6">
                  <c:v>32.691794394893449</c:v>
                </c:pt>
                <c:pt idx="7">
                  <c:v>34.449514504245045</c:v>
                </c:pt>
                <c:pt idx="8">
                  <c:v>36.834004792947972</c:v>
                </c:pt>
                <c:pt idx="9">
                  <c:v>51.151040612204369</c:v>
                </c:pt>
                <c:pt idx="10">
                  <c:v>52.486554559383372</c:v>
                </c:pt>
                <c:pt idx="11">
                  <c:v>51.221521190107921</c:v>
                </c:pt>
                <c:pt idx="12">
                  <c:v>51.660619423582375</c:v>
                </c:pt>
                <c:pt idx="13">
                  <c:v>50.893980564528107</c:v>
                </c:pt>
                <c:pt idx="14">
                  <c:v>51.576411792936597</c:v>
                </c:pt>
                <c:pt idx="15">
                  <c:v>51.015311640768232</c:v>
                </c:pt>
              </c:numCache>
            </c:numRef>
          </c:val>
        </c:ser>
        <c:ser>
          <c:idx val="2"/>
          <c:order val="2"/>
          <c:tx>
            <c:strRef>
              <c:f>'GGO(SQ) (SQ and Post SPF)'!$B$285</c:f>
              <c:strCache>
                <c:ptCount val="1"/>
                <c:pt idx="0">
                  <c:v>Social insurance</c:v>
                </c:pt>
              </c:strCache>
            </c:strRef>
          </c:tx>
          <c:spPr>
            <a:solidFill>
              <a:schemeClr val="accent2">
                <a:lumMod val="20000"/>
                <a:lumOff val="80000"/>
              </a:schemeClr>
            </a:solidFill>
          </c:spPr>
          <c:cat>
            <c:numRef>
              <c:f>'GGO(SQ) (SQ and Post SPF)'!$C$282:$R$282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SPF)'!$C$285:$R$285</c:f>
              <c:numCache>
                <c:formatCode>0.00</c:formatCode>
                <c:ptCount val="16"/>
                <c:pt idx="0">
                  <c:v>37.895825270992049</c:v>
                </c:pt>
                <c:pt idx="1">
                  <c:v>35.079519398799171</c:v>
                </c:pt>
                <c:pt idx="2">
                  <c:v>34.353962465997199</c:v>
                </c:pt>
                <c:pt idx="3">
                  <c:v>26.499178344465573</c:v>
                </c:pt>
                <c:pt idx="4">
                  <c:v>30.29807177331292</c:v>
                </c:pt>
                <c:pt idx="5">
                  <c:v>28.51638749341847</c:v>
                </c:pt>
                <c:pt idx="6">
                  <c:v>27.647506072061606</c:v>
                </c:pt>
                <c:pt idx="7">
                  <c:v>26.40255831764452</c:v>
                </c:pt>
                <c:pt idx="8">
                  <c:v>26.25232548785802</c:v>
                </c:pt>
                <c:pt idx="9">
                  <c:v>18.500315064885879</c:v>
                </c:pt>
                <c:pt idx="10">
                  <c:v>18.831319866440381</c:v>
                </c:pt>
                <c:pt idx="11">
                  <c:v>18.219441923707727</c:v>
                </c:pt>
                <c:pt idx="12">
                  <c:v>18.129198803441085</c:v>
                </c:pt>
                <c:pt idx="13">
                  <c:v>17.370357564782687</c:v>
                </c:pt>
                <c:pt idx="14">
                  <c:v>17.944690602336852</c:v>
                </c:pt>
                <c:pt idx="15">
                  <c:v>18.212023113281759</c:v>
                </c:pt>
              </c:numCache>
            </c:numRef>
          </c:val>
        </c:ser>
        <c:ser>
          <c:idx val="6"/>
          <c:order val="3"/>
          <c:tx>
            <c:strRef>
              <c:f>'GGO(SQ) (SQ and Post SPF)'!$B$287</c:f>
              <c:strCache>
                <c:ptCount val="1"/>
                <c:pt idx="0">
                  <c:v>Regular social assistance in accordance with Decree No. 67</c:v>
                </c:pt>
              </c:strCache>
            </c:strRef>
          </c:tx>
          <c:spPr>
            <a:solidFill>
              <a:schemeClr val="accent1">
                <a:lumMod val="75000"/>
              </a:schemeClr>
            </a:solidFill>
          </c:spPr>
          <c:cat>
            <c:numRef>
              <c:f>'GGO(SQ) (SQ and Post SPF)'!$C$282:$R$282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SPF)'!$C$287:$R$287</c:f>
              <c:numCache>
                <c:formatCode>0.00</c:formatCode>
                <c:ptCount val="16"/>
                <c:pt idx="0">
                  <c:v>1.0890458402096597</c:v>
                </c:pt>
                <c:pt idx="1">
                  <c:v>1.4555496858554828</c:v>
                </c:pt>
                <c:pt idx="2">
                  <c:v>1.7856998338983261</c:v>
                </c:pt>
                <c:pt idx="3">
                  <c:v>4.6816288350975634</c:v>
                </c:pt>
                <c:pt idx="4">
                  <c:v>3.6003370908638304</c:v>
                </c:pt>
                <c:pt idx="5">
                  <c:v>4.6373331902634156</c:v>
                </c:pt>
                <c:pt idx="6">
                  <c:v>4.4553565841163749</c:v>
                </c:pt>
                <c:pt idx="7">
                  <c:v>4.5530203329749632</c:v>
                </c:pt>
                <c:pt idx="8">
                  <c:v>4.4765983396700699</c:v>
                </c:pt>
                <c:pt idx="9">
                  <c:v>3.7987815108037211</c:v>
                </c:pt>
                <c:pt idx="10">
                  <c:v>3.7653071220832293</c:v>
                </c:pt>
                <c:pt idx="11">
                  <c:v>4.0796070933985522</c:v>
                </c:pt>
                <c:pt idx="12">
                  <c:v>4.1575838319929757</c:v>
                </c:pt>
                <c:pt idx="13">
                  <c:v>4.5246391870755671</c:v>
                </c:pt>
                <c:pt idx="14">
                  <c:v>4.4599976919516777</c:v>
                </c:pt>
                <c:pt idx="15">
                  <c:v>4.5893947612094168</c:v>
                </c:pt>
              </c:numCache>
            </c:numRef>
          </c:val>
        </c:ser>
        <c:ser>
          <c:idx val="7"/>
          <c:order val="4"/>
          <c:tx>
            <c:strRef>
              <c:f>'GGO(SQ) (SQ and Post SPF)'!$B$288</c:f>
              <c:strCache>
                <c:ptCount val="1"/>
                <c:pt idx="0">
                  <c:v>Emergency social relief in accordance with Decree No. 67</c:v>
                </c:pt>
              </c:strCache>
            </c:strRef>
          </c:tx>
          <c:spPr>
            <a:solidFill>
              <a:schemeClr val="tx2">
                <a:lumMod val="60000"/>
                <a:lumOff val="40000"/>
              </a:schemeClr>
            </a:solidFill>
          </c:spPr>
          <c:cat>
            <c:numRef>
              <c:f>'GGO(SQ) (SQ and Post SPF)'!$C$282:$R$282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SPF)'!$C$288:$R$288</c:f>
              <c:numCache>
                <c:formatCode>0.00</c:formatCode>
                <c:ptCount val="16"/>
                <c:pt idx="0">
                  <c:v>19.476495806309551</c:v>
                </c:pt>
                <c:pt idx="1">
                  <c:v>11.411509537106985</c:v>
                </c:pt>
                <c:pt idx="2">
                  <c:v>8.4674639396487912</c:v>
                </c:pt>
                <c:pt idx="3">
                  <c:v>7.6659815845741459</c:v>
                </c:pt>
                <c:pt idx="4">
                  <c:v>5.8954092280675638</c:v>
                </c:pt>
                <c:pt idx="5">
                  <c:v>5.5585223647628981</c:v>
                </c:pt>
                <c:pt idx="6">
                  <c:v>5.1601081487398242</c:v>
                </c:pt>
                <c:pt idx="7">
                  <c:v>5.095199628056573</c:v>
                </c:pt>
                <c:pt idx="8">
                  <c:v>4.8405534788893867</c:v>
                </c:pt>
                <c:pt idx="9">
                  <c:v>3.9689578596339965</c:v>
                </c:pt>
                <c:pt idx="10">
                  <c:v>3.8011749357948306</c:v>
                </c:pt>
                <c:pt idx="11">
                  <c:v>4.0105562460438362</c:v>
                </c:pt>
                <c:pt idx="12">
                  <c:v>3.9801194872467014</c:v>
                </c:pt>
                <c:pt idx="13">
                  <c:v>4.2180125724599487</c:v>
                </c:pt>
                <c:pt idx="14">
                  <c:v>4.0488097802530625</c:v>
                </c:pt>
                <c:pt idx="15">
                  <c:v>4.0571118140480413</c:v>
                </c:pt>
              </c:numCache>
            </c:numRef>
          </c:val>
        </c:ser>
        <c:ser>
          <c:idx val="3"/>
          <c:order val="5"/>
          <c:tx>
            <c:strRef>
              <c:f>'GGO(SQ) (SQ and Post SPF)'!$B$289</c:f>
              <c:strCache>
                <c:ptCount val="1"/>
                <c:pt idx="0">
                  <c:v>Other types of social assistance</c:v>
                </c:pt>
              </c:strCache>
            </c:strRef>
          </c:tx>
          <c:spPr>
            <a:solidFill>
              <a:schemeClr val="accent1">
                <a:lumMod val="40000"/>
                <a:lumOff val="60000"/>
              </a:schemeClr>
            </a:solidFill>
            <a:ln w="25400">
              <a:noFill/>
            </a:ln>
          </c:spPr>
          <c:cat>
            <c:numRef>
              <c:f>'GGO(SQ) (SQ and Post SPF)'!$C$282:$R$282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SPF)'!$C$289:$R$289</c:f>
              <c:numCache>
                <c:formatCode>0.00</c:formatCode>
                <c:ptCount val="16"/>
                <c:pt idx="0">
                  <c:v>25.338572370705638</c:v>
                </c:pt>
                <c:pt idx="1">
                  <c:v>33.857193712411643</c:v>
                </c:pt>
                <c:pt idx="2">
                  <c:v>34.062172253604437</c:v>
                </c:pt>
                <c:pt idx="3">
                  <c:v>29.541146186256416</c:v>
                </c:pt>
                <c:pt idx="4">
                  <c:v>22.718179519840788</c:v>
                </c:pt>
                <c:pt idx="5">
                  <c:v>26.758809707031801</c:v>
                </c:pt>
                <c:pt idx="6">
                  <c:v>24.345875321957767</c:v>
                </c:pt>
                <c:pt idx="7">
                  <c:v>23.560632750971745</c:v>
                </c:pt>
                <c:pt idx="8">
                  <c:v>21.937135824098167</c:v>
                </c:pt>
                <c:pt idx="9">
                  <c:v>17.628710481398464</c:v>
                </c:pt>
                <c:pt idx="10">
                  <c:v>16.547068716496202</c:v>
                </c:pt>
                <c:pt idx="11">
                  <c:v>17.236863548515615</c:v>
                </c:pt>
                <c:pt idx="12">
                  <c:v>16.888853212228643</c:v>
                </c:pt>
                <c:pt idx="13">
                  <c:v>17.671049337276845</c:v>
                </c:pt>
                <c:pt idx="14">
                  <c:v>16.74681649798999</c:v>
                </c:pt>
                <c:pt idx="15">
                  <c:v>16.568083853939743</c:v>
                </c:pt>
              </c:numCache>
            </c:numRef>
          </c:val>
        </c:ser>
        <c:ser>
          <c:idx val="4"/>
          <c:order val="6"/>
          <c:tx>
            <c:strRef>
              <c:f>'GGO(SQ) (SQ and Post SPF)'!$B$290</c:f>
              <c:strCache>
                <c:ptCount val="1"/>
                <c:pt idx="0">
                  <c:v>Monitoring and evaluation</c:v>
                </c:pt>
              </c:strCache>
            </c:strRef>
          </c:tx>
          <c:spPr>
            <a:solidFill>
              <a:schemeClr val="accent3">
                <a:lumMod val="40000"/>
                <a:lumOff val="60000"/>
              </a:schemeClr>
            </a:solidFill>
            <a:ln w="25400">
              <a:noFill/>
            </a:ln>
          </c:spPr>
          <c:cat>
            <c:numRef>
              <c:f>'GGO(SQ) (SQ and Post SPF)'!$C$282:$R$282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SPF)'!$C$290:$R$290</c:f>
              <c:numCache>
                <c:formatCode>0.00</c:formatCode>
                <c:ptCount val="16"/>
                <c:pt idx="0">
                  <c:v>0.3979682016185494</c:v>
                </c:pt>
                <c:pt idx="1">
                  <c:v>0.33336141540830388</c:v>
                </c:pt>
                <c:pt idx="2">
                  <c:v>0.34403884647729843</c:v>
                </c:pt>
                <c:pt idx="3">
                  <c:v>0.38320802018105304</c:v>
                </c:pt>
                <c:pt idx="4">
                  <c:v>0.46491877609508447</c:v>
                </c:pt>
                <c:pt idx="5">
                  <c:v>0.31050995365158074</c:v>
                </c:pt>
                <c:pt idx="6">
                  <c:v>0.33452838376889693</c:v>
                </c:pt>
                <c:pt idx="7">
                  <c:v>0.36837182491091064</c:v>
                </c:pt>
                <c:pt idx="8">
                  <c:v>0.35275618793434382</c:v>
                </c:pt>
                <c:pt idx="9">
                  <c:v>0.30011915847744286</c:v>
                </c:pt>
                <c:pt idx="10">
                  <c:v>0.29510461337119998</c:v>
                </c:pt>
                <c:pt idx="11">
                  <c:v>0.33686368895942193</c:v>
                </c:pt>
                <c:pt idx="12">
                  <c:v>0.355014247158768</c:v>
                </c:pt>
                <c:pt idx="13">
                  <c:v>0.37278482697560517</c:v>
                </c:pt>
                <c:pt idx="14">
                  <c:v>0.36286099471309896</c:v>
                </c:pt>
                <c:pt idx="15">
                  <c:v>0.36647079118106451</c:v>
                </c:pt>
              </c:numCache>
            </c:numRef>
          </c:val>
        </c:ser>
        <c:axId val="136445952"/>
        <c:axId val="136447488"/>
      </c:areaChart>
      <c:catAx>
        <c:axId val="136445952"/>
        <c:scaling>
          <c:orientation val="minMax"/>
        </c:scaling>
        <c:axPos val="b"/>
        <c:numFmt formatCode="General" sourceLinked="1"/>
        <c:tickLblPos val="nextTo"/>
        <c:txPr>
          <a:bodyPr/>
          <a:lstStyle/>
          <a:p>
            <a:pPr>
              <a:defRPr lang="en-GB"/>
            </a:pPr>
            <a:endParaRPr lang="en-US"/>
          </a:p>
        </c:txPr>
        <c:crossAx val="136447488"/>
        <c:crosses val="autoZero"/>
        <c:auto val="1"/>
        <c:lblAlgn val="ctr"/>
        <c:lblOffset val="100"/>
      </c:catAx>
      <c:valAx>
        <c:axId val="136447488"/>
        <c:scaling>
          <c:orientation val="minMax"/>
          <c:max val="100"/>
        </c:scaling>
        <c:axPos val="l"/>
        <c:majorGridlines/>
        <c:title>
          <c:tx>
            <c:rich>
              <a:bodyPr rot="-5400000" vert="horz"/>
              <a:lstStyle/>
              <a:p>
                <a:pPr>
                  <a:defRPr lang="en-GB"/>
                </a:pPr>
                <a:r>
                  <a:rPr lang="en-US"/>
                  <a:t>Percentage of total state budget for social security</a:t>
                </a:r>
              </a:p>
            </c:rich>
          </c:tx>
          <c:spPr>
            <a:noFill/>
            <a:ln w="25400">
              <a:noFill/>
            </a:ln>
          </c:spPr>
        </c:title>
        <c:numFmt formatCode="0.00" sourceLinked="1"/>
        <c:tickLblPos val="nextTo"/>
        <c:txPr>
          <a:bodyPr/>
          <a:lstStyle/>
          <a:p>
            <a:pPr>
              <a:defRPr lang="en-GB"/>
            </a:pPr>
            <a:endParaRPr lang="en-US"/>
          </a:p>
        </c:txPr>
        <c:crossAx val="136445952"/>
        <c:crosses val="autoZero"/>
        <c:crossBetween val="midCat"/>
      </c:valAx>
    </c:plotArea>
    <c:legend>
      <c:legendPos val="r"/>
      <c:layout>
        <c:manualLayout>
          <c:xMode val="edge"/>
          <c:yMode val="edge"/>
          <c:x val="0.65037814179044751"/>
          <c:y val="0.18189610914020451"/>
          <c:w val="0.33521669902065876"/>
          <c:h val="0.78371982348360603"/>
        </c:manualLayout>
      </c:layout>
      <c:txPr>
        <a:bodyPr/>
        <a:lstStyle/>
        <a:p>
          <a:pPr>
            <a:defRPr lang="en-GB"/>
          </a:pPr>
          <a:endParaRPr lang="en-US"/>
        </a:p>
      </c:txPr>
    </c:legend>
    <c:plotVisOnly val="1"/>
    <c:dispBlanksAs val="zero"/>
  </c:chart>
  <c:printSettings>
    <c:headerFooter/>
    <c:pageMargins b="0.75000000000000766" l="0.70000000000000062" r="0.70000000000000062" t="0.750000000000007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a:pPr>
            <a:r>
              <a:rPr lang="en-GB" sz="1050"/>
              <a:t>State</a:t>
            </a:r>
            <a:r>
              <a:rPr lang="en-GB" sz="1050" baseline="0"/>
              <a:t> budget for social security and </a:t>
            </a:r>
          </a:p>
          <a:p>
            <a:pPr>
              <a:defRPr lang="en-GB"/>
            </a:pPr>
            <a:r>
              <a:rPr lang="en-GB" sz="1050" baseline="0"/>
              <a:t>c</a:t>
            </a:r>
            <a:r>
              <a:rPr lang="en-GB" sz="1050"/>
              <a:t>omposition</a:t>
            </a:r>
            <a:r>
              <a:rPr lang="en-GB" sz="1050" baseline="0"/>
              <a:t> over time </a:t>
            </a:r>
          </a:p>
          <a:p>
            <a:pPr>
              <a:defRPr lang="en-GB"/>
            </a:pPr>
            <a:r>
              <a:rPr lang="en-GB" sz="1050" baseline="0"/>
              <a:t>as a percentage of Government expenditure</a:t>
            </a:r>
            <a:endParaRPr lang="en-GB" sz="1050"/>
          </a:p>
        </c:rich>
      </c:tx>
      <c:layout>
        <c:manualLayout>
          <c:xMode val="edge"/>
          <c:yMode val="edge"/>
          <c:x val="0.63360073766713176"/>
          <c:y val="2.1724966197407145E-2"/>
        </c:manualLayout>
      </c:layout>
      <c:overlay val="1"/>
      <c:spPr>
        <a:noFill/>
        <a:ln w="25400">
          <a:noFill/>
        </a:ln>
      </c:spPr>
    </c:title>
    <c:plotArea>
      <c:layout>
        <c:manualLayout>
          <c:layoutTarget val="inner"/>
          <c:xMode val="edge"/>
          <c:yMode val="edge"/>
          <c:x val="0.10154158994114262"/>
          <c:y val="5.0057381795756903E-2"/>
          <c:w val="0.51421216537315129"/>
          <c:h val="0.79236423527288313"/>
        </c:manualLayout>
      </c:layout>
      <c:areaChart>
        <c:grouping val="stacked"/>
        <c:ser>
          <c:idx val="0"/>
          <c:order val="0"/>
          <c:tx>
            <c:strRef>
              <c:f>'GGO(SQ) (SQ and Post SPF)'!$B$307</c:f>
              <c:strCache>
                <c:ptCount val="1"/>
                <c:pt idx="0">
                  <c:v>Labour market policies</c:v>
                </c:pt>
              </c:strCache>
            </c:strRef>
          </c:tx>
          <c:cat>
            <c:numRef>
              <c:f>'GGO(SQ) (SQ and Post SPF)'!$C$306:$R$306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SPF)'!$C$307:$R$307</c:f>
              <c:numCache>
                <c:formatCode>0.00</c:formatCode>
                <c:ptCount val="16"/>
                <c:pt idx="0">
                  <c:v>0.52597133932935458</c:v>
                </c:pt>
                <c:pt idx="1">
                  <c:v>0.58976927941563106</c:v>
                </c:pt>
                <c:pt idx="2">
                  <c:v>0.58554705315543454</c:v>
                </c:pt>
                <c:pt idx="3">
                  <c:v>0.52801021646579693</c:v>
                </c:pt>
                <c:pt idx="4">
                  <c:v>0.42642908658321627</c:v>
                </c:pt>
                <c:pt idx="5">
                  <c:v>0.39084211440115002</c:v>
                </c:pt>
                <c:pt idx="6">
                  <c:v>0.52708603124880771</c:v>
                </c:pt>
                <c:pt idx="7">
                  <c:v>0.51631597277682584</c:v>
                </c:pt>
                <c:pt idx="8">
                  <c:v>0.49356391617243467</c:v>
                </c:pt>
                <c:pt idx="9">
                  <c:v>0.45885002746249065</c:v>
                </c:pt>
                <c:pt idx="10">
                  <c:v>0.43212084308182386</c:v>
                </c:pt>
                <c:pt idx="11">
                  <c:v>0.41583902636159725</c:v>
                </c:pt>
                <c:pt idx="12">
                  <c:v>0.40290012353066551</c:v>
                </c:pt>
                <c:pt idx="13">
                  <c:v>0.39169524621956986</c:v>
                </c:pt>
                <c:pt idx="14">
                  <c:v>0.38174051120378799</c:v>
                </c:pt>
                <c:pt idx="15">
                  <c:v>0.37525783763982906</c:v>
                </c:pt>
              </c:numCache>
            </c:numRef>
          </c:val>
        </c:ser>
        <c:ser>
          <c:idx val="1"/>
          <c:order val="1"/>
          <c:tx>
            <c:strRef>
              <c:f>'GGO(SQ) (SQ and Post SPF)'!$B$308</c:f>
              <c:strCache>
                <c:ptCount val="1"/>
                <c:pt idx="0">
                  <c:v>Health insurance</c:v>
                </c:pt>
              </c:strCache>
            </c:strRef>
          </c:tx>
          <c:spPr>
            <a:solidFill>
              <a:schemeClr val="accent2">
                <a:lumMod val="60000"/>
                <a:lumOff val="40000"/>
              </a:schemeClr>
            </a:solidFill>
          </c:spPr>
          <c:cat>
            <c:numRef>
              <c:f>'GGO(SQ) (SQ and Post SPF)'!$C$306:$R$306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SPF)'!$C$308:$R$308</c:f>
              <c:numCache>
                <c:formatCode>0.00</c:formatCode>
                <c:ptCount val="16"/>
                <c:pt idx="0">
                  <c:v>0.89153649526662659</c:v>
                </c:pt>
                <c:pt idx="1">
                  <c:v>1.1542776287866792</c:v>
                </c:pt>
                <c:pt idx="2">
                  <c:v>1.2254307470016086</c:v>
                </c:pt>
                <c:pt idx="3">
                  <c:v>2.5009643041137233</c:v>
                </c:pt>
                <c:pt idx="4">
                  <c:v>2.0114047123390053</c:v>
                </c:pt>
                <c:pt idx="5">
                  <c:v>2.7543824584072265</c:v>
                </c:pt>
                <c:pt idx="6">
                  <c:v>3.11779292150166</c:v>
                </c:pt>
                <c:pt idx="7">
                  <c:v>3.1107593501078363</c:v>
                </c:pt>
                <c:pt idx="8">
                  <c:v>3.2909921037123988</c:v>
                </c:pt>
                <c:pt idx="9">
                  <c:v>5.2418538223388325</c:v>
                </c:pt>
                <c:pt idx="10">
                  <c:v>5.3072873372737295</c:v>
                </c:pt>
                <c:pt idx="11">
                  <c:v>4.646832614143638</c:v>
                </c:pt>
                <c:pt idx="12">
                  <c:v>4.4681592560722603</c:v>
                </c:pt>
                <c:pt idx="13">
                  <c:v>3.9393903439324593</c:v>
                </c:pt>
                <c:pt idx="14">
                  <c:v>3.9424584146558002</c:v>
                </c:pt>
                <c:pt idx="15">
                  <c:v>3.6874722029148668</c:v>
                </c:pt>
              </c:numCache>
            </c:numRef>
          </c:val>
        </c:ser>
        <c:ser>
          <c:idx val="2"/>
          <c:order val="2"/>
          <c:tx>
            <c:strRef>
              <c:f>'GGO(SQ) (SQ and Post SPF)'!$B$309</c:f>
              <c:strCache>
                <c:ptCount val="1"/>
                <c:pt idx="0">
                  <c:v>Social insurance</c:v>
                </c:pt>
              </c:strCache>
            </c:strRef>
          </c:tx>
          <c:spPr>
            <a:solidFill>
              <a:schemeClr val="accent2">
                <a:lumMod val="20000"/>
                <a:lumOff val="80000"/>
              </a:schemeClr>
            </a:solidFill>
          </c:spPr>
          <c:cat>
            <c:numRef>
              <c:f>'GGO(SQ) (SQ and Post SPF)'!$C$306:$R$306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SPF)'!$C$309:$R$309</c:f>
              <c:numCache>
                <c:formatCode>0.00</c:formatCode>
                <c:ptCount val="16"/>
                <c:pt idx="0">
                  <c:v>3.3993997431389658</c:v>
                </c:pt>
                <c:pt idx="1">
                  <c:v>3.4250005845095326</c:v>
                </c:pt>
                <c:pt idx="2">
                  <c:v>2.9644667368108681</c:v>
                </c:pt>
                <c:pt idx="3">
                  <c:v>2.5702297060071451</c:v>
                </c:pt>
                <c:pt idx="4">
                  <c:v>1.9950165195740972</c:v>
                </c:pt>
                <c:pt idx="5">
                  <c:v>2.6211145152426698</c:v>
                </c:pt>
                <c:pt idx="6">
                  <c:v>2.636722771696876</c:v>
                </c:pt>
                <c:pt idx="7">
                  <c:v>2.3841266367704361</c:v>
                </c:pt>
                <c:pt idx="8">
                  <c:v>2.3455553196097045</c:v>
                </c:pt>
                <c:pt idx="9">
                  <c:v>1.8958743766829009</c:v>
                </c:pt>
                <c:pt idx="10">
                  <c:v>1.904168149544553</c:v>
                </c:pt>
                <c:pt idx="11">
                  <c:v>1.6528735378310344</c:v>
                </c:pt>
                <c:pt idx="12">
                  <c:v>1.5680057332373394</c:v>
                </c:pt>
                <c:pt idx="13">
                  <c:v>1.3445326559709534</c:v>
                </c:pt>
                <c:pt idx="14">
                  <c:v>1.3716773618839939</c:v>
                </c:pt>
                <c:pt idx="15">
                  <c:v>1.3163955453601976</c:v>
                </c:pt>
              </c:numCache>
            </c:numRef>
          </c:val>
        </c:ser>
        <c:ser>
          <c:idx val="3"/>
          <c:order val="3"/>
          <c:tx>
            <c:strRef>
              <c:f>'GGO(SQ) (SQ and Post SPF)'!$B$311</c:f>
              <c:strCache>
                <c:ptCount val="1"/>
                <c:pt idx="0">
                  <c:v>Regular social assistance in accordance with Decree No. 67</c:v>
                </c:pt>
              </c:strCache>
            </c:strRef>
          </c:tx>
          <c:spPr>
            <a:solidFill>
              <a:schemeClr val="accent1">
                <a:lumMod val="75000"/>
              </a:schemeClr>
            </a:solidFill>
            <a:ln w="25400">
              <a:noFill/>
            </a:ln>
          </c:spPr>
          <c:cat>
            <c:numRef>
              <c:f>'GGO(SQ) (SQ and Post SPF)'!$C$306:$R$306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SPF)'!$C$311:$R$311</c:f>
              <c:numCache>
                <c:formatCode>0.00</c:formatCode>
                <c:ptCount val="16"/>
                <c:pt idx="0">
                  <c:v>9.7691556339033161E-2</c:v>
                </c:pt>
                <c:pt idx="1">
                  <c:v>0.14211307937726048</c:v>
                </c:pt>
                <c:pt idx="2">
                  <c:v>0.15409132977774592</c:v>
                </c:pt>
                <c:pt idx="3">
                  <c:v>0.45408432473078841</c:v>
                </c:pt>
                <c:pt idx="4">
                  <c:v>0.23706894702901082</c:v>
                </c:pt>
                <c:pt idx="5">
                  <c:v>0.42624548217481556</c:v>
                </c:pt>
                <c:pt idx="6">
                  <c:v>0.42490415340718174</c:v>
                </c:pt>
                <c:pt idx="7">
                  <c:v>0.41113353194825664</c:v>
                </c:pt>
                <c:pt idx="8">
                  <c:v>0.39996872102722919</c:v>
                </c:pt>
                <c:pt idx="9">
                  <c:v>0.3892913446981861</c:v>
                </c:pt>
                <c:pt idx="10">
                  <c:v>0.38073687590541822</c:v>
                </c:pt>
                <c:pt idx="11">
                  <c:v>0.37010324672195039</c:v>
                </c:pt>
                <c:pt idx="12">
                  <c:v>0.35959202365536785</c:v>
                </c:pt>
                <c:pt idx="13">
                  <c:v>0.35022452018160721</c:v>
                </c:pt>
                <c:pt idx="14">
                  <c:v>0.34091854820323864</c:v>
                </c:pt>
                <c:pt idx="15">
                  <c:v>0.33172914299397949</c:v>
                </c:pt>
              </c:numCache>
            </c:numRef>
          </c:val>
        </c:ser>
        <c:ser>
          <c:idx val="4"/>
          <c:order val="4"/>
          <c:tx>
            <c:strRef>
              <c:f>'GGO(SQ) (SQ and Post SPF)'!$B$312</c:f>
              <c:strCache>
                <c:ptCount val="1"/>
                <c:pt idx="0">
                  <c:v>Emergency social relief in accordance with Decree No. 67</c:v>
                </c:pt>
              </c:strCache>
            </c:strRef>
          </c:tx>
          <c:spPr>
            <a:solidFill>
              <a:schemeClr val="tx2">
                <a:lumMod val="60000"/>
                <a:lumOff val="40000"/>
              </a:schemeClr>
            </a:solidFill>
            <a:ln w="25400">
              <a:noFill/>
            </a:ln>
          </c:spPr>
          <c:cat>
            <c:numRef>
              <c:f>'GGO(SQ) (SQ and Post SPF)'!$C$306:$R$306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SPF)'!$C$312:$R$312</c:f>
              <c:numCache>
                <c:formatCode>0.00</c:formatCode>
                <c:ptCount val="16"/>
                <c:pt idx="0">
                  <c:v>1.747115793567269</c:v>
                </c:pt>
                <c:pt idx="1">
                  <c:v>1.1141665423177223</c:v>
                </c:pt>
                <c:pt idx="2">
                  <c:v>0.730673069200657</c:v>
                </c:pt>
                <c:pt idx="3">
                  <c:v>0.74354507669069991</c:v>
                </c:pt>
                <c:pt idx="4">
                  <c:v>0.38819100065648571</c:v>
                </c:pt>
                <c:pt idx="5">
                  <c:v>0.51091757877619182</c:v>
                </c:pt>
                <c:pt idx="6">
                  <c:v>0.49211580331109245</c:v>
                </c:pt>
                <c:pt idx="7">
                  <c:v>0.46009182166238782</c:v>
                </c:pt>
                <c:pt idx="8">
                  <c:v>0.43248686549751608</c:v>
                </c:pt>
                <c:pt idx="9">
                  <c:v>0.4067306681979862</c:v>
                </c:pt>
                <c:pt idx="10">
                  <c:v>0.38436372463125523</c:v>
                </c:pt>
                <c:pt idx="11">
                  <c:v>0.36383893199511419</c:v>
                </c:pt>
                <c:pt idx="12">
                  <c:v>0.3442430215828356</c:v>
                </c:pt>
                <c:pt idx="13">
                  <c:v>0.32649043785181281</c:v>
                </c:pt>
                <c:pt idx="14">
                  <c:v>0.30948768308239355</c:v>
                </c:pt>
                <c:pt idx="15">
                  <c:v>0.29325483971883021</c:v>
                </c:pt>
              </c:numCache>
            </c:numRef>
          </c:val>
        </c:ser>
        <c:ser>
          <c:idx val="5"/>
          <c:order val="5"/>
          <c:tx>
            <c:strRef>
              <c:f>'GGO(SQ) (SQ and Post SPF)'!$B$313</c:f>
              <c:strCache>
                <c:ptCount val="1"/>
                <c:pt idx="0">
                  <c:v>Other types of social assistance</c:v>
                </c:pt>
              </c:strCache>
            </c:strRef>
          </c:tx>
          <c:spPr>
            <a:solidFill>
              <a:schemeClr val="accent1">
                <a:lumMod val="40000"/>
                <a:lumOff val="60000"/>
              </a:schemeClr>
            </a:solidFill>
            <a:ln w="25400">
              <a:noFill/>
            </a:ln>
          </c:spPr>
          <c:cat>
            <c:numRef>
              <c:f>'GGO(SQ) (SQ and Post SPF)'!$C$306:$R$306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SPF)'!$C$313:$R$313</c:f>
              <c:numCache>
                <c:formatCode>0.00</c:formatCode>
                <c:ptCount val="16"/>
                <c:pt idx="0">
                  <c:v>2.272966370108819</c:v>
                </c:pt>
                <c:pt idx="1">
                  <c:v>3.3056584081602862</c:v>
                </c:pt>
                <c:pt idx="2">
                  <c:v>2.9392876216033725</c:v>
                </c:pt>
                <c:pt idx="3">
                  <c:v>2.8652787075291934</c:v>
                </c:pt>
                <c:pt idx="4">
                  <c:v>1.4959085111367958</c:v>
                </c:pt>
                <c:pt idx="5">
                  <c:v>2.4595648572213151</c:v>
                </c:pt>
                <c:pt idx="6">
                  <c:v>2.3218486213904037</c:v>
                </c:pt>
                <c:pt idx="7">
                  <c:v>2.1275033822468217</c:v>
                </c:pt>
                <c:pt idx="8">
                  <c:v>1.9600079106520469</c:v>
                </c:pt>
                <c:pt idx="9">
                  <c:v>1.8065541250743451</c:v>
                </c:pt>
                <c:pt idx="10">
                  <c:v>1.6731913345292806</c:v>
                </c:pt>
                <c:pt idx="11">
                  <c:v>1.5637337166443734</c:v>
                </c:pt>
                <c:pt idx="12">
                  <c:v>1.4607274679756879</c:v>
                </c:pt>
                <c:pt idx="13">
                  <c:v>1.3678073586356734</c:v>
                </c:pt>
                <c:pt idx="14">
                  <c:v>1.2801128524850029</c:v>
                </c:pt>
                <c:pt idx="15">
                  <c:v>1.1975688612307258</c:v>
                </c:pt>
              </c:numCache>
            </c:numRef>
          </c:val>
        </c:ser>
        <c:ser>
          <c:idx val="6"/>
          <c:order val="6"/>
          <c:tx>
            <c:strRef>
              <c:f>'GGO(SQ) (SQ and Post SPF)'!$B$314</c:f>
              <c:strCache>
                <c:ptCount val="1"/>
                <c:pt idx="0">
                  <c:v>Monitoring and evaluation</c:v>
                </c:pt>
              </c:strCache>
            </c:strRef>
          </c:tx>
          <c:spPr>
            <a:solidFill>
              <a:schemeClr val="accent3">
                <a:lumMod val="60000"/>
                <a:lumOff val="40000"/>
              </a:schemeClr>
            </a:solidFill>
            <a:ln w="25400">
              <a:noFill/>
            </a:ln>
          </c:spPr>
          <c:cat>
            <c:numRef>
              <c:f>'GGO(SQ) (SQ and Post SPF)'!$C$306:$R$306</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SPF)'!$C$314:$R$314</c:f>
              <c:numCache>
                <c:formatCode>0.00</c:formatCode>
                <c:ptCount val="16"/>
                <c:pt idx="0">
                  <c:v>3.5699262192744365E-2</c:v>
                </c:pt>
                <c:pt idx="1">
                  <c:v>3.2547853054835478E-2</c:v>
                </c:pt>
                <c:pt idx="2">
                  <c:v>2.9687746138809999E-2</c:v>
                </c:pt>
                <c:pt idx="3">
                  <c:v>3.7168421761848092E-2</c:v>
                </c:pt>
                <c:pt idx="4">
                  <c:v>3.0613190354471374E-2</c:v>
                </c:pt>
                <c:pt idx="5">
                  <c:v>2.8540857316913987E-2</c:v>
                </c:pt>
                <c:pt idx="6">
                  <c:v>3.1903731387683501E-2</c:v>
                </c:pt>
                <c:pt idx="7">
                  <c:v>3.3263635646206172E-2</c:v>
                </c:pt>
                <c:pt idx="8">
                  <c:v>3.1517556550078832E-2</c:v>
                </c:pt>
                <c:pt idx="9">
                  <c:v>3.0755596351381847E-2</c:v>
                </c:pt>
                <c:pt idx="10">
                  <c:v>2.9840117928564395E-2</c:v>
                </c:pt>
                <c:pt idx="11">
                  <c:v>3.0560380480845337E-2</c:v>
                </c:pt>
                <c:pt idx="12">
                  <c:v>3.0705404081079753E-2</c:v>
                </c:pt>
                <c:pt idx="13">
                  <c:v>2.8854983073887761E-2</c:v>
                </c:pt>
                <c:pt idx="14">
                  <c:v>2.7736795411443235E-2</c:v>
                </c:pt>
                <c:pt idx="15">
                  <c:v>2.6489122818186984E-2</c:v>
                </c:pt>
              </c:numCache>
            </c:numRef>
          </c:val>
        </c:ser>
        <c:axId val="136577408"/>
        <c:axId val="136578944"/>
      </c:areaChart>
      <c:catAx>
        <c:axId val="136577408"/>
        <c:scaling>
          <c:orientation val="minMax"/>
        </c:scaling>
        <c:axPos val="b"/>
        <c:numFmt formatCode="General" sourceLinked="1"/>
        <c:tickLblPos val="nextTo"/>
        <c:txPr>
          <a:bodyPr/>
          <a:lstStyle/>
          <a:p>
            <a:pPr>
              <a:defRPr lang="en-GB"/>
            </a:pPr>
            <a:endParaRPr lang="en-US"/>
          </a:p>
        </c:txPr>
        <c:crossAx val="136578944"/>
        <c:crosses val="autoZero"/>
        <c:auto val="1"/>
        <c:lblAlgn val="ctr"/>
        <c:lblOffset val="100"/>
      </c:catAx>
      <c:valAx>
        <c:axId val="136578944"/>
        <c:scaling>
          <c:orientation val="minMax"/>
        </c:scaling>
        <c:axPos val="l"/>
        <c:majorGridlines/>
        <c:title>
          <c:tx>
            <c:rich>
              <a:bodyPr rot="-5400000" vert="horz"/>
              <a:lstStyle/>
              <a:p>
                <a:pPr>
                  <a:defRPr lang="en-GB"/>
                </a:pPr>
                <a:r>
                  <a:rPr lang="en-US"/>
                  <a:t>Percentage of general government expenditure</a:t>
                </a:r>
              </a:p>
            </c:rich>
          </c:tx>
          <c:spPr>
            <a:noFill/>
            <a:ln w="25400">
              <a:noFill/>
            </a:ln>
          </c:spPr>
        </c:title>
        <c:numFmt formatCode="0.00" sourceLinked="1"/>
        <c:tickLblPos val="nextTo"/>
        <c:spPr>
          <a:ln>
            <a:noFill/>
          </a:ln>
        </c:spPr>
        <c:txPr>
          <a:bodyPr/>
          <a:lstStyle/>
          <a:p>
            <a:pPr>
              <a:defRPr lang="en-GB"/>
            </a:pPr>
            <a:endParaRPr lang="en-US"/>
          </a:p>
        </c:txPr>
        <c:crossAx val="136577408"/>
        <c:crosses val="autoZero"/>
        <c:crossBetween val="midCat"/>
      </c:valAx>
      <c:spPr>
        <a:ln>
          <a:noFill/>
        </a:ln>
      </c:spPr>
    </c:plotArea>
    <c:legend>
      <c:legendPos val="r"/>
      <c:layout>
        <c:manualLayout>
          <c:xMode val="edge"/>
          <c:yMode val="edge"/>
          <c:x val="0.65037816331050191"/>
          <c:y val="0.18189612662053606"/>
          <c:w val="0.31702304846748908"/>
          <c:h val="0.80672711365624761"/>
        </c:manualLayout>
      </c:layout>
      <c:txPr>
        <a:bodyPr/>
        <a:lstStyle/>
        <a:p>
          <a:pPr>
            <a:defRPr lang="en-GB"/>
          </a:pPr>
          <a:endParaRPr lang="en-US"/>
        </a:p>
      </c:txPr>
    </c:legend>
    <c:plotVisOnly val="1"/>
    <c:dispBlanksAs val="zero"/>
  </c:chart>
  <c:printSettings>
    <c:headerFooter/>
    <c:pageMargins b="0.75000000000000766" l="0.70000000000000062" r="0.70000000000000062" t="0.7500000000000076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800" b="1" i="0" u="none" strike="noStrike" baseline="0">
                <a:solidFill>
                  <a:srgbClr val="000000"/>
                </a:solidFill>
                <a:latin typeface="Calibri"/>
              </a:rPr>
              <a:t>Child benefit (and its components) as a percentage of GDP </a:t>
            </a:r>
          </a:p>
          <a:p>
            <a:pPr>
              <a:defRPr lang="en-GB" sz="1000" b="0" i="0" u="none" strike="noStrike" baseline="0">
                <a:solidFill>
                  <a:srgbClr val="000000"/>
                </a:solidFill>
                <a:latin typeface="Calibri"/>
                <a:ea typeface="Calibri"/>
                <a:cs typeface="Calibri"/>
              </a:defRPr>
            </a:pPr>
            <a:r>
              <a:rPr lang="fr-FR" sz="800" b="1" i="0" u="none" strike="noStrike" baseline="0">
                <a:solidFill>
                  <a:srgbClr val="000000"/>
                </a:solidFill>
                <a:latin typeface="Calibri"/>
              </a:rPr>
              <a:t>Scenario 2a - targeted for poor children aged 0 to 15 </a:t>
            </a:r>
            <a:r>
              <a:rPr lang="fr-FR" sz="800" b="0" i="0" u="none" strike="noStrike" baseline="0">
                <a:solidFill>
                  <a:srgbClr val="000000"/>
                </a:solidFill>
                <a:latin typeface="Calibri"/>
              </a:rPr>
              <a:t>(children poverty rate)</a:t>
            </a:r>
          </a:p>
        </c:rich>
      </c:tx>
      <c:layout>
        <c:manualLayout>
          <c:xMode val="edge"/>
          <c:yMode val="edge"/>
          <c:x val="0.13067093885991518"/>
          <c:y val="1.9680196801968104E-2"/>
        </c:manualLayout>
      </c:layout>
      <c:overlay val="1"/>
      <c:spPr>
        <a:noFill/>
        <a:ln w="25400">
          <a:noFill/>
        </a:ln>
      </c:spPr>
    </c:title>
    <c:plotArea>
      <c:layout>
        <c:manualLayout>
          <c:layoutTarget val="inner"/>
          <c:xMode val="edge"/>
          <c:yMode val="edge"/>
          <c:x val="0.14285735116443954"/>
          <c:y val="0.15548803634723729"/>
          <c:w val="0.58730283714535658"/>
          <c:h val="0.66158635073234151"/>
        </c:manualLayout>
      </c:layout>
      <c:barChart>
        <c:barDir val="col"/>
        <c:grouping val="stacked"/>
        <c:ser>
          <c:idx val="0"/>
          <c:order val="0"/>
          <c:tx>
            <c:strRef>
              <c:f>'CHILD (Holistic benefit)'!$A$211</c:f>
              <c:strCache>
                <c:ptCount val="1"/>
                <c:pt idx="0">
                  <c:v>Child allowance</c:v>
                </c:pt>
              </c:strCache>
            </c:strRef>
          </c:tx>
          <c:spPr>
            <a:solidFill>
              <a:schemeClr val="accent1"/>
            </a:solidFill>
          </c:spPr>
          <c:cat>
            <c:numRef>
              <c:f>'CHILD (Holistic benefit)'!$B$210:$L$210</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benefit)'!$B$211:$L$211</c:f>
              <c:numCache>
                <c:formatCode>0.00</c:formatCode>
                <c:ptCount val="11"/>
                <c:pt idx="0">
                  <c:v>0</c:v>
                </c:pt>
                <c:pt idx="1">
                  <c:v>0.14640078622922617</c:v>
                </c:pt>
                <c:pt idx="2">
                  <c:v>0.31095778724289325</c:v>
                </c:pt>
                <c:pt idx="3">
                  <c:v>0.36025807334544341</c:v>
                </c:pt>
                <c:pt idx="4">
                  <c:v>0.40370237877713677</c:v>
                </c:pt>
                <c:pt idx="5">
                  <c:v>0.50681765821467706</c:v>
                </c:pt>
                <c:pt idx="6">
                  <c:v>0.60151402772944096</c:v>
                </c:pt>
                <c:pt idx="7">
                  <c:v>0.57482823778102954</c:v>
                </c:pt>
                <c:pt idx="8">
                  <c:v>0.55194341186493157</c:v>
                </c:pt>
                <c:pt idx="9">
                  <c:v>0.53237904093896682</c:v>
                </c:pt>
                <c:pt idx="10">
                  <c:v>0.51587629712733796</c:v>
                </c:pt>
              </c:numCache>
            </c:numRef>
          </c:val>
        </c:ser>
        <c:ser>
          <c:idx val="1"/>
          <c:order val="1"/>
          <c:tx>
            <c:strRef>
              <c:f>'CHILD (Holistic benefit)'!$A$212</c:f>
              <c:strCache>
                <c:ptCount val="1"/>
                <c:pt idx="0">
                  <c:v>Staff cost</c:v>
                </c:pt>
              </c:strCache>
            </c:strRef>
          </c:tx>
          <c:cat>
            <c:numRef>
              <c:f>'CHILD (Holistic benefit)'!$B$210:$L$210</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benefit)'!$B$212:$L$212</c:f>
              <c:numCache>
                <c:formatCode>0.00</c:formatCode>
                <c:ptCount val="11"/>
                <c:pt idx="0">
                  <c:v>0</c:v>
                </c:pt>
                <c:pt idx="1">
                  <c:v>1.6427512077379004E-2</c:v>
                </c:pt>
                <c:pt idx="2">
                  <c:v>3.0029116249931067E-2</c:v>
                </c:pt>
                <c:pt idx="3">
                  <c:v>3.4400756308037905E-2</c:v>
                </c:pt>
                <c:pt idx="4">
                  <c:v>3.8132065576938871E-2</c:v>
                </c:pt>
                <c:pt idx="5">
                  <c:v>4.7371953827564796E-2</c:v>
                </c:pt>
                <c:pt idx="6">
                  <c:v>5.5659573143769181E-2</c:v>
                </c:pt>
                <c:pt idx="7">
                  <c:v>5.2679055025684679E-2</c:v>
                </c:pt>
                <c:pt idx="8">
                  <c:v>5.01110172164057E-2</c:v>
                </c:pt>
                <c:pt idx="9">
                  <c:v>4.7892032576563361E-2</c:v>
                </c:pt>
                <c:pt idx="10">
                  <c:v>4.5984106598756028E-2</c:v>
                </c:pt>
              </c:numCache>
            </c:numRef>
          </c:val>
        </c:ser>
        <c:ser>
          <c:idx val="2"/>
          <c:order val="2"/>
          <c:tx>
            <c:strRef>
              <c:f>'CHILD (Holistic benefit)'!$A$213</c:f>
              <c:strCache>
                <c:ptCount val="1"/>
                <c:pt idx="0">
                  <c:v>Non-staff cost</c:v>
                </c:pt>
              </c:strCache>
            </c:strRef>
          </c:tx>
          <c:cat>
            <c:numRef>
              <c:f>'CHILD (Holistic benefit)'!$B$210:$L$210</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benefit)'!$B$213:$L$213</c:f>
              <c:numCache>
                <c:formatCode>0.00</c:formatCode>
                <c:ptCount val="11"/>
                <c:pt idx="0">
                  <c:v>0</c:v>
                </c:pt>
                <c:pt idx="1">
                  <c:v>8.2137560386895021E-3</c:v>
                </c:pt>
                <c:pt idx="2">
                  <c:v>1.5014558124965533E-2</c:v>
                </c:pt>
                <c:pt idx="3">
                  <c:v>1.7200378154018953E-2</c:v>
                </c:pt>
                <c:pt idx="4">
                  <c:v>1.9066032788469436E-2</c:v>
                </c:pt>
                <c:pt idx="5">
                  <c:v>2.3685976913782398E-2</c:v>
                </c:pt>
                <c:pt idx="6">
                  <c:v>2.782978657188459E-2</c:v>
                </c:pt>
                <c:pt idx="7">
                  <c:v>2.633952751284234E-2</c:v>
                </c:pt>
                <c:pt idx="8">
                  <c:v>2.505550860820285E-2</c:v>
                </c:pt>
                <c:pt idx="9">
                  <c:v>2.394601628828168E-2</c:v>
                </c:pt>
                <c:pt idx="10">
                  <c:v>2.2992053299378014E-2</c:v>
                </c:pt>
              </c:numCache>
            </c:numRef>
          </c:val>
        </c:ser>
        <c:ser>
          <c:idx val="3"/>
          <c:order val="3"/>
          <c:tx>
            <c:strRef>
              <c:f>'CHILD (Holistic benefit)'!$A$214</c:f>
              <c:strCache>
                <c:ptCount val="1"/>
                <c:pt idx="0">
                  <c:v>Meals</c:v>
                </c:pt>
              </c:strCache>
            </c:strRef>
          </c:tx>
          <c:cat>
            <c:numRef>
              <c:f>'CHILD (Holistic benefit)'!$B$210:$L$210</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benefit)'!$B$214:$L$214</c:f>
              <c:numCache>
                <c:formatCode>0.00</c:formatCode>
                <c:ptCount val="11"/>
                <c:pt idx="0">
                  <c:v>0</c:v>
                </c:pt>
                <c:pt idx="1">
                  <c:v>6.551892795490788E-2</c:v>
                </c:pt>
                <c:pt idx="2">
                  <c:v>0.11717684846548861</c:v>
                </c:pt>
                <c:pt idx="3">
                  <c:v>0.1300920220155439</c:v>
                </c:pt>
                <c:pt idx="4">
                  <c:v>0.13867988793474989</c:v>
                </c:pt>
                <c:pt idx="5">
                  <c:v>0.16481537917587677</c:v>
                </c:pt>
                <c:pt idx="6">
                  <c:v>0.18413984702954783</c:v>
                </c:pt>
                <c:pt idx="7">
                  <c:v>0.16509458544003783</c:v>
                </c:pt>
                <c:pt idx="8">
                  <c:v>0.14818655817146581</c:v>
                </c:pt>
                <c:pt idx="9">
                  <c:v>0.13309102613696028</c:v>
                </c:pt>
                <c:pt idx="10">
                  <c:v>0.11958168764723126</c:v>
                </c:pt>
              </c:numCache>
            </c:numRef>
          </c:val>
        </c:ser>
        <c:gapWidth val="35"/>
        <c:overlap val="100"/>
        <c:axId val="136626176"/>
        <c:axId val="136627712"/>
      </c:barChart>
      <c:catAx>
        <c:axId val="136626176"/>
        <c:scaling>
          <c:orientation val="minMax"/>
        </c:scaling>
        <c:axPos val="b"/>
        <c:numFmt formatCode="0" sourceLinked="1"/>
        <c:tickLblPos val="nextTo"/>
        <c:spPr>
          <a:ln>
            <a:noFill/>
          </a:ln>
        </c:spPr>
        <c:txPr>
          <a:bodyPr rot="-5400000" vert="horz"/>
          <a:lstStyle/>
          <a:p>
            <a:pPr>
              <a:defRPr lang="en-GB"/>
            </a:pPr>
            <a:endParaRPr lang="en-US"/>
          </a:p>
        </c:txPr>
        <c:crossAx val="136627712"/>
        <c:crosses val="autoZero"/>
        <c:auto val="1"/>
        <c:lblAlgn val="ctr"/>
        <c:lblOffset val="100"/>
      </c:catAx>
      <c:valAx>
        <c:axId val="136627712"/>
        <c:scaling>
          <c:orientation val="minMax"/>
          <c:max val="0.9"/>
        </c:scaling>
        <c:axPos val="l"/>
        <c:majorGridlines/>
        <c:title>
          <c:tx>
            <c:rich>
              <a:bodyPr rot="-5400000" vert="horz"/>
              <a:lstStyle/>
              <a:p>
                <a:pPr>
                  <a:defRPr lang="en-GB" sz="800"/>
                </a:pPr>
                <a:r>
                  <a:rPr lang="en-US" sz="800"/>
                  <a:t>Total child benefit cost as percentage of GDP</a:t>
                </a:r>
              </a:p>
            </c:rich>
          </c:tx>
          <c:layout>
            <c:manualLayout>
              <c:xMode val="edge"/>
              <c:yMode val="edge"/>
              <c:x val="1.5912556384997341E-2"/>
              <c:y val="0.14534793851875541"/>
            </c:manualLayout>
          </c:layout>
          <c:spPr>
            <a:noFill/>
            <a:ln w="25400">
              <a:noFill/>
            </a:ln>
          </c:spPr>
        </c:title>
        <c:numFmt formatCode="0.0" sourceLinked="0"/>
        <c:tickLblPos val="nextTo"/>
        <c:spPr>
          <a:ln>
            <a:noFill/>
          </a:ln>
        </c:spPr>
        <c:txPr>
          <a:bodyPr/>
          <a:lstStyle/>
          <a:p>
            <a:pPr>
              <a:defRPr lang="en-GB"/>
            </a:pPr>
            <a:endParaRPr lang="en-US"/>
          </a:p>
        </c:txPr>
        <c:crossAx val="136626176"/>
        <c:crosses val="autoZero"/>
        <c:crossBetween val="between"/>
      </c:valAx>
    </c:plotArea>
    <c:legend>
      <c:legendPos val="r"/>
      <c:layout>
        <c:manualLayout>
          <c:xMode val="edge"/>
          <c:yMode val="edge"/>
          <c:x val="0.75432911795116564"/>
          <c:y val="0.16059892882393392"/>
          <c:w val="0.2238456556566793"/>
          <c:h val="0.65676652042110972"/>
        </c:manualLayout>
      </c:layout>
      <c:txPr>
        <a:bodyPr/>
        <a:lstStyle/>
        <a:p>
          <a:pPr>
            <a:defRPr lang="en-GB"/>
          </a:pPr>
          <a:endParaRPr lang="en-US"/>
        </a:p>
      </c:txPr>
    </c:legend>
    <c:plotVisOnly val="1"/>
    <c:dispBlanksAs val="gap"/>
  </c:chart>
  <c:spPr>
    <a:solidFill>
      <a:srgbClr val="FFFFFF"/>
    </a:solidFill>
    <a:ln w="12700">
      <a:noFill/>
      <a:prstDash val="solid"/>
    </a:ln>
  </c:spPr>
  <c:printSettings>
    <c:headerFooter/>
    <c:pageMargins b="0.98425196899999956" l="0.78740157499999996" r="0.78740157499999996" t="0.98425196899999956" header="0.49212598450000272" footer="0.49212598450000272"/>
    <c:pageSetup paperSize="9" orientation="landscape" horizontalDpi="200" verticalDpi="200"/>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800" b="1" i="0" u="none" strike="noStrike" baseline="0">
                <a:solidFill>
                  <a:srgbClr val="000000"/>
                </a:solidFill>
                <a:latin typeface="Calibri"/>
                <a:ea typeface="Calibri"/>
                <a:cs typeface="Calibri"/>
              </a:defRPr>
            </a:pPr>
            <a:r>
              <a:rPr lang="en-GB" sz="800"/>
              <a:t>Child benefit (and its components)  as a percentage of total general government expenditure | targeted for poor children aged 0 to 15 (chilldren national poverty rate)</a:t>
            </a:r>
          </a:p>
        </c:rich>
      </c:tx>
      <c:overlay val="1"/>
      <c:spPr>
        <a:noFill/>
        <a:ln w="25400">
          <a:noFill/>
        </a:ln>
      </c:spPr>
    </c:title>
    <c:plotArea>
      <c:layout>
        <c:manualLayout>
          <c:layoutTarget val="inner"/>
          <c:xMode val="edge"/>
          <c:yMode val="edge"/>
          <c:x val="0.18030483561628621"/>
          <c:y val="0.20370431768517824"/>
          <c:w val="0.55092042063806579"/>
          <c:h val="0.6111129530555347"/>
        </c:manualLayout>
      </c:layout>
      <c:barChart>
        <c:barDir val="col"/>
        <c:grouping val="stacked"/>
        <c:ser>
          <c:idx val="0"/>
          <c:order val="0"/>
          <c:tx>
            <c:strRef>
              <c:f>'CHILD (Holistic benefit)'!$A$219</c:f>
              <c:strCache>
                <c:ptCount val="1"/>
                <c:pt idx="0">
                  <c:v>Child allowance</c:v>
                </c:pt>
              </c:strCache>
            </c:strRef>
          </c:tx>
          <c:spPr>
            <a:solidFill>
              <a:srgbClr val="4F81BD"/>
            </a:solidFill>
          </c:spPr>
          <c:cat>
            <c:numRef>
              <c:f>'CHILD (Holistic benefit)'!$B$218:$L$218</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benefit)'!$B$219:$L$219</c:f>
              <c:numCache>
                <c:formatCode>0.00</c:formatCode>
                <c:ptCount val="11"/>
                <c:pt idx="0">
                  <c:v>0</c:v>
                </c:pt>
                <c:pt idx="1">
                  <c:v>0.46150413327400969</c:v>
                </c:pt>
                <c:pt idx="2">
                  <c:v>0.97618478219734972</c:v>
                </c:pt>
                <c:pt idx="3">
                  <c:v>1.1367392036992587</c:v>
                </c:pt>
                <c:pt idx="4">
                  <c:v>1.2774844957958034</c:v>
                </c:pt>
                <c:pt idx="5">
                  <c:v>1.6087976017482686</c:v>
                </c:pt>
                <c:pt idx="6">
                  <c:v>1.9184768457782782</c:v>
                </c:pt>
                <c:pt idx="7">
                  <c:v>1.8379452021612201</c:v>
                </c:pt>
                <c:pt idx="8">
                  <c:v>1.7734521432966561</c:v>
                </c:pt>
                <c:pt idx="9">
                  <c:v>1.7186323988774213</c:v>
                </c:pt>
                <c:pt idx="10">
                  <c:v>1.6730904507052169</c:v>
                </c:pt>
              </c:numCache>
            </c:numRef>
          </c:val>
        </c:ser>
        <c:ser>
          <c:idx val="1"/>
          <c:order val="1"/>
          <c:tx>
            <c:strRef>
              <c:f>'CHILD (Holistic benefit)'!$A$220</c:f>
              <c:strCache>
                <c:ptCount val="1"/>
                <c:pt idx="0">
                  <c:v>Staff cost</c:v>
                </c:pt>
              </c:strCache>
            </c:strRef>
          </c:tx>
          <c:cat>
            <c:numRef>
              <c:f>'CHILD (Holistic benefit)'!$B$218:$L$218</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benefit)'!$B$220:$L$220</c:f>
              <c:numCache>
                <c:formatCode>0.00</c:formatCode>
                <c:ptCount val="11"/>
                <c:pt idx="0">
                  <c:v>0</c:v>
                </c:pt>
                <c:pt idx="1">
                  <c:v>5.1785000056274594E-2</c:v>
                </c:pt>
                <c:pt idx="2">
                  <c:v>9.4269921862803613E-2</c:v>
                </c:pt>
                <c:pt idx="3">
                  <c:v>0.10854632061154297</c:v>
                </c:pt>
                <c:pt idx="4">
                  <c:v>0.12066592898155859</c:v>
                </c:pt>
                <c:pt idx="5">
                  <c:v>0.15037338275935569</c:v>
                </c:pt>
                <c:pt idx="6">
                  <c:v>0.17752138337537438</c:v>
                </c:pt>
                <c:pt idx="7">
                  <c:v>0.16843503863449097</c:v>
                </c:pt>
                <c:pt idx="8">
                  <c:v>0.16101196060105882</c:v>
                </c:pt>
                <c:pt idx="9">
                  <c:v>0.15460563340173034</c:v>
                </c:pt>
                <c:pt idx="10">
                  <c:v>0.14913569408597738</c:v>
                </c:pt>
              </c:numCache>
            </c:numRef>
          </c:val>
        </c:ser>
        <c:ser>
          <c:idx val="2"/>
          <c:order val="2"/>
          <c:tx>
            <c:strRef>
              <c:f>'CHILD (Holistic benefit)'!$A$221</c:f>
              <c:strCache>
                <c:ptCount val="1"/>
                <c:pt idx="0">
                  <c:v>Non-staff cost</c:v>
                </c:pt>
              </c:strCache>
            </c:strRef>
          </c:tx>
          <c:cat>
            <c:numRef>
              <c:f>'CHILD (Holistic benefit)'!$B$218:$L$218</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benefit)'!$B$221:$L$221</c:f>
              <c:numCache>
                <c:formatCode>0.00</c:formatCode>
                <c:ptCount val="11"/>
                <c:pt idx="0">
                  <c:v>0</c:v>
                </c:pt>
                <c:pt idx="1">
                  <c:v>2.5892500028137297E-2</c:v>
                </c:pt>
                <c:pt idx="2">
                  <c:v>4.7134960931401806E-2</c:v>
                </c:pt>
                <c:pt idx="3">
                  <c:v>5.4273160305771485E-2</c:v>
                </c:pt>
                <c:pt idx="4">
                  <c:v>6.0332964490779295E-2</c:v>
                </c:pt>
                <c:pt idx="5">
                  <c:v>7.5186691379677845E-2</c:v>
                </c:pt>
                <c:pt idx="6">
                  <c:v>8.8760691687687188E-2</c:v>
                </c:pt>
                <c:pt idx="7">
                  <c:v>8.4217519317245484E-2</c:v>
                </c:pt>
                <c:pt idx="8">
                  <c:v>8.0505980300529412E-2</c:v>
                </c:pt>
                <c:pt idx="9">
                  <c:v>7.7302816700865168E-2</c:v>
                </c:pt>
                <c:pt idx="10">
                  <c:v>7.4567847042988689E-2</c:v>
                </c:pt>
              </c:numCache>
            </c:numRef>
          </c:val>
        </c:ser>
        <c:ser>
          <c:idx val="3"/>
          <c:order val="3"/>
          <c:tx>
            <c:strRef>
              <c:f>'CHILD (Holistic benefit)'!$A$222</c:f>
              <c:strCache>
                <c:ptCount val="1"/>
                <c:pt idx="0">
                  <c:v>Meals</c:v>
                </c:pt>
              </c:strCache>
            </c:strRef>
          </c:tx>
          <c:cat>
            <c:numRef>
              <c:f>'CHILD (Holistic benefit)'!$B$218:$L$218</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benefit)'!$B$222:$L$222</c:f>
              <c:numCache>
                <c:formatCode>0.00</c:formatCode>
                <c:ptCount val="11"/>
                <c:pt idx="0">
                  <c:v>0</c:v>
                </c:pt>
                <c:pt idx="1">
                  <c:v>0.20653752508902676</c:v>
                </c:pt>
                <c:pt idx="2">
                  <c:v>0.36785139652574844</c:v>
                </c:pt>
                <c:pt idx="3">
                  <c:v>0.41048546154793963</c:v>
                </c:pt>
                <c:pt idx="4">
                  <c:v>0.43884162201864096</c:v>
                </c:pt>
                <c:pt idx="5">
                  <c:v>0.52317550987354966</c:v>
                </c:pt>
                <c:pt idx="6">
                  <c:v>0.58729807889075591</c:v>
                </c:pt>
                <c:pt idx="7">
                  <c:v>0.52787038156587773</c:v>
                </c:pt>
                <c:pt idx="8">
                  <c:v>0.47613897285044865</c:v>
                </c:pt>
                <c:pt idx="9">
                  <c:v>0.42964604526015571</c:v>
                </c:pt>
                <c:pt idx="10">
                  <c:v>0.38782743226601757</c:v>
                </c:pt>
              </c:numCache>
            </c:numRef>
          </c:val>
        </c:ser>
        <c:gapWidth val="34"/>
        <c:overlap val="100"/>
        <c:axId val="136675712"/>
        <c:axId val="136677248"/>
      </c:barChart>
      <c:catAx>
        <c:axId val="136675712"/>
        <c:scaling>
          <c:orientation val="minMax"/>
        </c:scaling>
        <c:axPos val="b"/>
        <c:numFmt formatCode="0" sourceLinked="1"/>
        <c:tickLblPos val="nextTo"/>
        <c:spPr>
          <a:ln>
            <a:noFill/>
          </a:ln>
        </c:spPr>
        <c:txPr>
          <a:bodyPr rot="-5400000" vert="horz"/>
          <a:lstStyle/>
          <a:p>
            <a:pPr>
              <a:defRPr lang="en-GB"/>
            </a:pPr>
            <a:endParaRPr lang="en-US"/>
          </a:p>
        </c:txPr>
        <c:crossAx val="136677248"/>
        <c:crosses val="autoZero"/>
        <c:auto val="1"/>
        <c:lblAlgn val="ctr"/>
        <c:lblOffset val="100"/>
      </c:catAx>
      <c:valAx>
        <c:axId val="136677248"/>
        <c:scaling>
          <c:orientation val="minMax"/>
        </c:scaling>
        <c:axPos val="l"/>
        <c:majorGridlines/>
        <c:title>
          <c:tx>
            <c:rich>
              <a:bodyPr/>
              <a:lstStyle/>
              <a:p>
                <a:pPr>
                  <a:defRPr lang="en-GB" sz="800" b="0" i="0" u="none" strike="noStrike" baseline="0">
                    <a:solidFill>
                      <a:srgbClr val="000000"/>
                    </a:solidFill>
                    <a:latin typeface="Calibri"/>
                    <a:ea typeface="Calibri"/>
                    <a:cs typeface="Calibri"/>
                  </a:defRPr>
                </a:pPr>
                <a:r>
                  <a:t>Total child benefit cost as percentage of total g general government expenditure</a:t>
                </a:r>
              </a:p>
            </c:rich>
          </c:tx>
          <c:layout>
            <c:manualLayout>
              <c:xMode val="edge"/>
              <c:yMode val="edge"/>
              <c:x val="2.119316166560261E-2"/>
              <c:y val="0.14661894535910291"/>
            </c:manualLayout>
          </c:layout>
          <c:spPr>
            <a:noFill/>
            <a:ln w="25400">
              <a:noFill/>
            </a:ln>
          </c:spPr>
        </c:title>
        <c:numFmt formatCode="0.0" sourceLinked="0"/>
        <c:tickLblPos val="nextTo"/>
        <c:spPr>
          <a:ln>
            <a:noFill/>
          </a:ln>
        </c:spPr>
        <c:txPr>
          <a:bodyPr/>
          <a:lstStyle/>
          <a:p>
            <a:pPr>
              <a:defRPr lang="en-GB"/>
            </a:pPr>
            <a:endParaRPr lang="en-US"/>
          </a:p>
        </c:txPr>
        <c:crossAx val="136675712"/>
        <c:crosses val="autoZero"/>
        <c:crossBetween val="between"/>
      </c:valAx>
    </c:plotArea>
    <c:legend>
      <c:legendPos val="r"/>
      <c:layout>
        <c:manualLayout>
          <c:xMode val="edge"/>
          <c:yMode val="edge"/>
          <c:x val="0.76679837317632882"/>
          <c:y val="0.20903497971844429"/>
          <c:w val="0.22347449812016756"/>
          <c:h val="0.68417504175614408"/>
        </c:manualLayout>
      </c:layout>
      <c:txPr>
        <a:bodyPr/>
        <a:lstStyle/>
        <a:p>
          <a:pPr>
            <a:defRPr lang="en-GB"/>
          </a:pPr>
          <a:endParaRPr lang="en-US"/>
        </a:p>
      </c:txPr>
    </c:legend>
    <c:plotVisOnly val="1"/>
    <c:dispBlanksAs val="gap"/>
  </c:chart>
  <c:spPr>
    <a:ln>
      <a:noFill/>
    </a:ln>
  </c:spPr>
  <c:printSettings>
    <c:headerFooter/>
    <c:pageMargins b="0.98425196899999956" l="0.78740157499999996" r="0.78740157499999996" t="0.98425196899999956" header="0.49212598450000283" footer="0.4921259845000028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800" b="1" i="0" u="none" strike="noStrike" baseline="0">
                <a:solidFill>
                  <a:srgbClr val="000000"/>
                </a:solidFill>
                <a:latin typeface="Calibri"/>
              </a:rPr>
              <a:t>Child benefit (and its components) as a percentage of GDP </a:t>
            </a:r>
          </a:p>
          <a:p>
            <a:pPr>
              <a:defRPr lang="en-GB" sz="1000" b="0" i="0" u="none" strike="noStrike" baseline="0">
                <a:solidFill>
                  <a:srgbClr val="000000"/>
                </a:solidFill>
                <a:latin typeface="Calibri"/>
                <a:ea typeface="Calibri"/>
                <a:cs typeface="Calibri"/>
              </a:defRPr>
            </a:pPr>
            <a:r>
              <a:rPr lang="fr-FR" sz="800" b="1" i="0" u="none" strike="noStrike" baseline="0">
                <a:solidFill>
                  <a:srgbClr val="000000"/>
                </a:solidFill>
                <a:latin typeface="Calibri"/>
              </a:rPr>
              <a:t>Scenario 1 - All children  aged 0 to 15 </a:t>
            </a:r>
          </a:p>
        </c:rich>
      </c:tx>
      <c:layout>
        <c:manualLayout>
          <c:xMode val="edge"/>
          <c:yMode val="edge"/>
          <c:x val="0.13067093885991518"/>
          <c:y val="1.9680196801968104E-2"/>
        </c:manualLayout>
      </c:layout>
      <c:overlay val="1"/>
      <c:spPr>
        <a:noFill/>
        <a:ln w="25400">
          <a:noFill/>
        </a:ln>
      </c:spPr>
    </c:title>
    <c:plotArea>
      <c:layout>
        <c:manualLayout>
          <c:layoutTarget val="inner"/>
          <c:xMode val="edge"/>
          <c:yMode val="edge"/>
          <c:x val="0.14285735116443962"/>
          <c:y val="0.15548803634723743"/>
          <c:w val="0.58730283714535658"/>
          <c:h val="0.66158635073234129"/>
        </c:manualLayout>
      </c:layout>
      <c:barChart>
        <c:barDir val="col"/>
        <c:grouping val="stacked"/>
        <c:ser>
          <c:idx val="0"/>
          <c:order val="0"/>
          <c:tx>
            <c:strRef>
              <c:f>'CHILD (Holistic benefit)'!$A$140</c:f>
              <c:strCache>
                <c:ptCount val="1"/>
                <c:pt idx="0">
                  <c:v>Child allowance</c:v>
                </c:pt>
              </c:strCache>
            </c:strRef>
          </c:tx>
          <c:spPr>
            <a:solidFill>
              <a:schemeClr val="accent1"/>
            </a:solidFill>
          </c:spPr>
          <c:cat>
            <c:numRef>
              <c:f>'CHILD (Holistic benefit)'!$B$139:$L$139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benefit)'!$B$140:$L$140</c:f>
              <c:numCache>
                <c:formatCode>0.00</c:formatCode>
                <c:ptCount val="11"/>
                <c:pt idx="0">
                  <c:v>0</c:v>
                </c:pt>
                <c:pt idx="1">
                  <c:v>0.75336820444280161</c:v>
                </c:pt>
                <c:pt idx="2">
                  <c:v>1.6468695090372834</c:v>
                </c:pt>
                <c:pt idx="3">
                  <c:v>1.9636557218895023</c:v>
                </c:pt>
                <c:pt idx="4">
                  <c:v>2.2646798054893953</c:v>
                </c:pt>
                <c:pt idx="5">
                  <c:v>2.9261131140029955</c:v>
                </c:pt>
                <c:pt idx="6">
                  <c:v>3.5742012811051063</c:v>
                </c:pt>
                <c:pt idx="7">
                  <c:v>3.5153228260108609</c:v>
                </c:pt>
                <c:pt idx="8">
                  <c:v>3.4738858805545334</c:v>
                </c:pt>
                <c:pt idx="9">
                  <c:v>3.4485443596632708</c:v>
                </c:pt>
                <c:pt idx="10">
                  <c:v>3.4391753141822532</c:v>
                </c:pt>
              </c:numCache>
            </c:numRef>
          </c:val>
        </c:ser>
        <c:ser>
          <c:idx val="1"/>
          <c:order val="1"/>
          <c:tx>
            <c:strRef>
              <c:f>'CHILD (Holistic benefit)'!$A$141</c:f>
              <c:strCache>
                <c:ptCount val="1"/>
                <c:pt idx="0">
                  <c:v>Staff cost</c:v>
                </c:pt>
              </c:strCache>
            </c:strRef>
          </c:tx>
          <c:cat>
            <c:numRef>
              <c:f>'CHILD (Holistic benefit)'!$B$139:$L$139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benefit)'!$B$141:$L$141</c:f>
              <c:numCache>
                <c:formatCode>0.00</c:formatCode>
                <c:ptCount val="11"/>
                <c:pt idx="0">
                  <c:v>0</c:v>
                </c:pt>
                <c:pt idx="1">
                  <c:v>1.6427512077379004E-2</c:v>
                </c:pt>
                <c:pt idx="2">
                  <c:v>3.0029116249931067E-2</c:v>
                </c:pt>
                <c:pt idx="3">
                  <c:v>3.4400756308037905E-2</c:v>
                </c:pt>
                <c:pt idx="4">
                  <c:v>3.8132065576938871E-2</c:v>
                </c:pt>
                <c:pt idx="5">
                  <c:v>4.7371953827564796E-2</c:v>
                </c:pt>
                <c:pt idx="6">
                  <c:v>5.5659573143769181E-2</c:v>
                </c:pt>
                <c:pt idx="7">
                  <c:v>5.2679055025684679E-2</c:v>
                </c:pt>
                <c:pt idx="8">
                  <c:v>5.01110172164057E-2</c:v>
                </c:pt>
                <c:pt idx="9">
                  <c:v>4.7892032576563361E-2</c:v>
                </c:pt>
                <c:pt idx="10">
                  <c:v>4.5984106598756028E-2</c:v>
                </c:pt>
              </c:numCache>
            </c:numRef>
          </c:val>
        </c:ser>
        <c:ser>
          <c:idx val="2"/>
          <c:order val="2"/>
          <c:tx>
            <c:strRef>
              <c:f>'CHILD (Holistic benefit)'!$A$142</c:f>
              <c:strCache>
                <c:ptCount val="1"/>
                <c:pt idx="0">
                  <c:v>Non-staff cost</c:v>
                </c:pt>
              </c:strCache>
            </c:strRef>
          </c:tx>
          <c:cat>
            <c:numRef>
              <c:f>'CHILD (Holistic benefit)'!$B$139:$L$139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benefit)'!$B$142:$L$142</c:f>
              <c:numCache>
                <c:formatCode>0.00</c:formatCode>
                <c:ptCount val="11"/>
                <c:pt idx="0">
                  <c:v>0</c:v>
                </c:pt>
                <c:pt idx="1">
                  <c:v>8.2137560386895021E-3</c:v>
                </c:pt>
                <c:pt idx="2">
                  <c:v>1.5014558124965533E-2</c:v>
                </c:pt>
                <c:pt idx="3">
                  <c:v>1.7200378154018953E-2</c:v>
                </c:pt>
                <c:pt idx="4">
                  <c:v>1.9066032788469436E-2</c:v>
                </c:pt>
                <c:pt idx="5">
                  <c:v>2.3685976913782398E-2</c:v>
                </c:pt>
                <c:pt idx="6">
                  <c:v>2.782978657188459E-2</c:v>
                </c:pt>
                <c:pt idx="7">
                  <c:v>2.633952751284234E-2</c:v>
                </c:pt>
                <c:pt idx="8">
                  <c:v>2.505550860820285E-2</c:v>
                </c:pt>
                <c:pt idx="9">
                  <c:v>2.394601628828168E-2</c:v>
                </c:pt>
                <c:pt idx="10">
                  <c:v>2.2992053299378014E-2</c:v>
                </c:pt>
              </c:numCache>
            </c:numRef>
          </c:val>
        </c:ser>
        <c:ser>
          <c:idx val="3"/>
          <c:order val="3"/>
          <c:tx>
            <c:strRef>
              <c:f>'CHILD (Holistic benefit)'!$A$143</c:f>
              <c:strCache>
                <c:ptCount val="1"/>
                <c:pt idx="0">
                  <c:v>Meals</c:v>
                </c:pt>
              </c:strCache>
            </c:strRef>
          </c:tx>
          <c:cat>
            <c:numRef>
              <c:f>'CHILD (Holistic benefit)'!$B$139:$L$139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benefit)'!$B$143:$L$143</c:f>
              <c:numCache>
                <c:formatCode>0.00</c:formatCode>
                <c:ptCount val="11"/>
                <c:pt idx="0">
                  <c:v>0</c:v>
                </c:pt>
                <c:pt idx="1">
                  <c:v>0.33715581986780663</c:v>
                </c:pt>
                <c:pt idx="2">
                  <c:v>0.62058255756804714</c:v>
                </c:pt>
                <c:pt idx="3">
                  <c:v>0.70909151606450449</c:v>
                </c:pt>
                <c:pt idx="4">
                  <c:v>0.77796306919147484</c:v>
                </c:pt>
                <c:pt idx="5">
                  <c:v>0.95156203533782668</c:v>
                </c:pt>
                <c:pt idx="6">
                  <c:v>1.0941604797478524</c:v>
                </c:pt>
                <c:pt idx="7">
                  <c:v>1.0096246609047816</c:v>
                </c:pt>
                <c:pt idx="8">
                  <c:v>0.93267385940970871</c:v>
                </c:pt>
                <c:pt idx="9">
                  <c:v>0.86211190188275744</c:v>
                </c:pt>
                <c:pt idx="10">
                  <c:v>0.79721125098154189</c:v>
                </c:pt>
              </c:numCache>
            </c:numRef>
          </c:val>
        </c:ser>
        <c:gapWidth val="26"/>
        <c:overlap val="100"/>
        <c:axId val="136782208"/>
        <c:axId val="136783744"/>
      </c:barChart>
      <c:catAx>
        <c:axId val="136782208"/>
        <c:scaling>
          <c:orientation val="minMax"/>
        </c:scaling>
        <c:axPos val="b"/>
        <c:numFmt formatCode="0" sourceLinked="1"/>
        <c:tickLblPos val="nextTo"/>
        <c:txPr>
          <a:bodyPr rot="-5400000" vert="horz"/>
          <a:lstStyle/>
          <a:p>
            <a:pPr>
              <a:defRPr lang="en-GB"/>
            </a:pPr>
            <a:endParaRPr lang="en-US"/>
          </a:p>
        </c:txPr>
        <c:crossAx val="136783744"/>
        <c:crosses val="autoZero"/>
        <c:auto val="1"/>
        <c:lblAlgn val="ctr"/>
        <c:lblOffset val="100"/>
      </c:catAx>
      <c:valAx>
        <c:axId val="136783744"/>
        <c:scaling>
          <c:orientation val="minMax"/>
        </c:scaling>
        <c:axPos val="l"/>
        <c:majorGridlines/>
        <c:title>
          <c:tx>
            <c:rich>
              <a:bodyPr rot="-5400000" vert="horz"/>
              <a:lstStyle/>
              <a:p>
                <a:pPr>
                  <a:defRPr lang="en-GB" sz="800"/>
                </a:pPr>
                <a:r>
                  <a:rPr lang="en-US" sz="800"/>
                  <a:t>Total child benefit cost as percentage of GDP</a:t>
                </a:r>
              </a:p>
            </c:rich>
          </c:tx>
          <c:layout>
            <c:manualLayout>
              <c:xMode val="edge"/>
              <c:yMode val="edge"/>
              <c:x val="1.5912556384997341E-2"/>
              <c:y val="0.14534793851875541"/>
            </c:manualLayout>
          </c:layout>
          <c:spPr>
            <a:noFill/>
            <a:ln w="25400">
              <a:noFill/>
            </a:ln>
          </c:spPr>
        </c:title>
        <c:numFmt formatCode="0.0" sourceLinked="0"/>
        <c:tickLblPos val="nextTo"/>
        <c:spPr>
          <a:ln>
            <a:noFill/>
          </a:ln>
        </c:spPr>
        <c:txPr>
          <a:bodyPr/>
          <a:lstStyle/>
          <a:p>
            <a:pPr>
              <a:defRPr lang="en-GB"/>
            </a:pPr>
            <a:endParaRPr lang="en-US"/>
          </a:p>
        </c:txPr>
        <c:crossAx val="136782208"/>
        <c:crosses val="autoZero"/>
        <c:crossBetween val="between"/>
      </c:valAx>
    </c:plotArea>
    <c:legend>
      <c:legendPos val="r"/>
      <c:layout>
        <c:manualLayout>
          <c:xMode val="edge"/>
          <c:yMode val="edge"/>
          <c:x val="0.76587312949517972"/>
          <c:y val="0.26391996203426804"/>
          <c:w val="0.21230164411266791"/>
          <c:h val="0.65676652042110972"/>
        </c:manualLayout>
      </c:layout>
      <c:txPr>
        <a:bodyPr/>
        <a:lstStyle/>
        <a:p>
          <a:pPr>
            <a:defRPr lang="en-GB"/>
          </a:pPr>
          <a:endParaRPr lang="en-US"/>
        </a:p>
      </c:txPr>
    </c:legend>
    <c:plotVisOnly val="1"/>
    <c:dispBlanksAs val="gap"/>
  </c:chart>
  <c:spPr>
    <a:solidFill>
      <a:srgbClr val="FFFFFF"/>
    </a:solidFill>
    <a:ln w="12700">
      <a:noFill/>
      <a:prstDash val="solid"/>
    </a:ln>
  </c:spPr>
  <c:printSettings>
    <c:headerFooter/>
    <c:pageMargins b="0.98425196899999956" l="0.78740157499999996" r="0.78740157499999996" t="0.98425196899999956" header="0.49212598450000283" footer="0.49212598450000283"/>
    <c:pageSetup paperSize="9" orientation="landscape" horizontalDpi="200" verticalDpi="200"/>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800" b="1" i="0" u="none" strike="noStrike" baseline="0">
                <a:solidFill>
                  <a:srgbClr val="000000"/>
                </a:solidFill>
                <a:latin typeface="Calibri"/>
                <a:ea typeface="Calibri"/>
                <a:cs typeface="Calibri"/>
              </a:defRPr>
            </a:pPr>
            <a:r>
              <a:rPr lang="en-GB" sz="800"/>
              <a:t>Child benefit (and its components)  as a percentage of total General government expenditure | Univeral all children aged 0 to 15 </a:t>
            </a:r>
          </a:p>
        </c:rich>
      </c:tx>
      <c:overlay val="1"/>
      <c:spPr>
        <a:noFill/>
        <a:ln w="25400">
          <a:noFill/>
        </a:ln>
      </c:spPr>
    </c:title>
    <c:plotArea>
      <c:layout>
        <c:manualLayout>
          <c:layoutTarget val="inner"/>
          <c:xMode val="edge"/>
          <c:yMode val="edge"/>
          <c:x val="0.18030483561628621"/>
          <c:y val="0.20370431768517824"/>
          <c:w val="0.55092042063806601"/>
          <c:h val="0.6111129530555347"/>
        </c:manualLayout>
      </c:layout>
      <c:barChart>
        <c:barDir val="col"/>
        <c:grouping val="stacked"/>
        <c:ser>
          <c:idx val="0"/>
          <c:order val="0"/>
          <c:tx>
            <c:strRef>
              <c:f>'CHILD (Holistic benefit)'!$A$148</c:f>
              <c:strCache>
                <c:ptCount val="1"/>
                <c:pt idx="0">
                  <c:v>Child allowance</c:v>
                </c:pt>
              </c:strCache>
            </c:strRef>
          </c:tx>
          <c:spPr>
            <a:solidFill>
              <a:srgbClr val="4F81BD"/>
            </a:solidFill>
          </c:spPr>
          <c:cat>
            <c:numRef>
              <c:f>'CHILD (Holistic benefit)'!$B$147:$L$147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benefit)'!$B$148:$L$148</c:f>
              <c:numCache>
                <c:formatCode>0.00</c:formatCode>
                <c:ptCount val="11"/>
                <c:pt idx="0">
                  <c:v>0</c:v>
                </c:pt>
                <c:pt idx="1">
                  <c:v>2.3748679852250945</c:v>
                </c:pt>
                <c:pt idx="2">
                  <c:v>5.1699909728623732</c:v>
                </c:pt>
                <c:pt idx="3">
                  <c:v>6.1960150425270095</c:v>
                </c:pt>
                <c:pt idx="4">
                  <c:v>7.1664015164292243</c:v>
                </c:pt>
                <c:pt idx="5">
                  <c:v>9.2883972844098714</c:v>
                </c:pt>
                <c:pt idx="6">
                  <c:v>11.39960513611741</c:v>
                </c:pt>
                <c:pt idx="7">
                  <c:v>11.239828347777991</c:v>
                </c:pt>
                <c:pt idx="8">
                  <c:v>11.161960135770329</c:v>
                </c:pt>
                <c:pt idx="9">
                  <c:v>11.132632222016319</c:v>
                </c:pt>
                <c:pt idx="10">
                  <c:v>11.153936338034779</c:v>
                </c:pt>
              </c:numCache>
            </c:numRef>
          </c:val>
        </c:ser>
        <c:ser>
          <c:idx val="1"/>
          <c:order val="1"/>
          <c:tx>
            <c:strRef>
              <c:f>'CHILD (Holistic benefit)'!$A$149</c:f>
              <c:strCache>
                <c:ptCount val="1"/>
                <c:pt idx="0">
                  <c:v>Staff cost</c:v>
                </c:pt>
              </c:strCache>
            </c:strRef>
          </c:tx>
          <c:cat>
            <c:numRef>
              <c:f>'CHILD (Holistic benefit)'!$B$147:$L$147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benefit)'!$B$149:$L$149</c:f>
              <c:numCache>
                <c:formatCode>0.00</c:formatCode>
                <c:ptCount val="11"/>
                <c:pt idx="0">
                  <c:v>0</c:v>
                </c:pt>
                <c:pt idx="1">
                  <c:v>5.1785000056274594E-2</c:v>
                </c:pt>
                <c:pt idx="2">
                  <c:v>9.4269921862803613E-2</c:v>
                </c:pt>
                <c:pt idx="3">
                  <c:v>0.10854632061154297</c:v>
                </c:pt>
                <c:pt idx="4">
                  <c:v>0.12066592898155859</c:v>
                </c:pt>
                <c:pt idx="5">
                  <c:v>0.15037338275935569</c:v>
                </c:pt>
                <c:pt idx="6">
                  <c:v>0.17752138337537438</c:v>
                </c:pt>
                <c:pt idx="7">
                  <c:v>0.16843503863449097</c:v>
                </c:pt>
                <c:pt idx="8">
                  <c:v>0.16101196060105882</c:v>
                </c:pt>
                <c:pt idx="9">
                  <c:v>0.15460563340173034</c:v>
                </c:pt>
                <c:pt idx="10">
                  <c:v>0.14913569408597738</c:v>
                </c:pt>
              </c:numCache>
            </c:numRef>
          </c:val>
        </c:ser>
        <c:ser>
          <c:idx val="2"/>
          <c:order val="2"/>
          <c:tx>
            <c:strRef>
              <c:f>'CHILD (Holistic benefit)'!$A$150</c:f>
              <c:strCache>
                <c:ptCount val="1"/>
                <c:pt idx="0">
                  <c:v>Non-staff cost</c:v>
                </c:pt>
              </c:strCache>
            </c:strRef>
          </c:tx>
          <c:cat>
            <c:numRef>
              <c:f>'CHILD (Holistic benefit)'!$B$147:$L$147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benefit)'!$B$150:$L$150</c:f>
              <c:numCache>
                <c:formatCode>0.00</c:formatCode>
                <c:ptCount val="11"/>
                <c:pt idx="0">
                  <c:v>0</c:v>
                </c:pt>
                <c:pt idx="1">
                  <c:v>2.5892500028137297E-2</c:v>
                </c:pt>
                <c:pt idx="2">
                  <c:v>4.7134960931401806E-2</c:v>
                </c:pt>
                <c:pt idx="3">
                  <c:v>5.4273160305771485E-2</c:v>
                </c:pt>
                <c:pt idx="4">
                  <c:v>6.0332964490779295E-2</c:v>
                </c:pt>
                <c:pt idx="5">
                  <c:v>7.5186691379677845E-2</c:v>
                </c:pt>
                <c:pt idx="6">
                  <c:v>8.8760691687687188E-2</c:v>
                </c:pt>
                <c:pt idx="7">
                  <c:v>8.4217519317245484E-2</c:v>
                </c:pt>
                <c:pt idx="8">
                  <c:v>8.0505980300529412E-2</c:v>
                </c:pt>
                <c:pt idx="9">
                  <c:v>7.7302816700865168E-2</c:v>
                </c:pt>
                <c:pt idx="10">
                  <c:v>7.4567847042988689E-2</c:v>
                </c:pt>
              </c:numCache>
            </c:numRef>
          </c:val>
        </c:ser>
        <c:ser>
          <c:idx val="3"/>
          <c:order val="3"/>
          <c:tx>
            <c:strRef>
              <c:f>'CHILD (Holistic benefit)'!$A$151</c:f>
              <c:strCache>
                <c:ptCount val="1"/>
                <c:pt idx="0">
                  <c:v>Meals</c:v>
                </c:pt>
              </c:strCache>
            </c:strRef>
          </c:tx>
          <c:cat>
            <c:numRef>
              <c:f>'CHILD (Holistic benefit)'!$B$147:$L$147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benefit)'!$B$151:$L$151</c:f>
              <c:numCache>
                <c:formatCode>0.00</c:formatCode>
                <c:ptCount val="11"/>
                <c:pt idx="0">
                  <c:v>0</c:v>
                </c:pt>
                <c:pt idx="1">
                  <c:v>1.0628276557391727</c:v>
                </c:pt>
                <c:pt idx="2">
                  <c:v>1.9481848458158646</c:v>
                </c:pt>
                <c:pt idx="3">
                  <c:v>2.2374297342898397</c:v>
                </c:pt>
                <c:pt idx="4">
                  <c:v>2.4618030792988521</c:v>
                </c:pt>
                <c:pt idx="5">
                  <c:v>3.0205552145891348</c:v>
                </c:pt>
                <c:pt idx="6">
                  <c:v>3.4897299966312425</c:v>
                </c:pt>
                <c:pt idx="7">
                  <c:v>3.2281552636606268</c:v>
                </c:pt>
                <c:pt idx="8">
                  <c:v>2.9967790527259384</c:v>
                </c:pt>
                <c:pt idx="9">
                  <c:v>2.7830799714059364</c:v>
                </c:pt>
                <c:pt idx="10">
                  <c:v>2.5855162151067841</c:v>
                </c:pt>
              </c:numCache>
            </c:numRef>
          </c:val>
        </c:ser>
        <c:gapWidth val="42"/>
        <c:overlap val="100"/>
        <c:axId val="136728960"/>
        <c:axId val="136730496"/>
      </c:barChart>
      <c:catAx>
        <c:axId val="136728960"/>
        <c:scaling>
          <c:orientation val="minMax"/>
        </c:scaling>
        <c:axPos val="b"/>
        <c:numFmt formatCode="0" sourceLinked="1"/>
        <c:tickLblPos val="nextTo"/>
        <c:txPr>
          <a:bodyPr rot="-5400000" vert="horz"/>
          <a:lstStyle/>
          <a:p>
            <a:pPr>
              <a:defRPr lang="en-GB"/>
            </a:pPr>
            <a:endParaRPr lang="en-US"/>
          </a:p>
        </c:txPr>
        <c:crossAx val="136730496"/>
        <c:crosses val="autoZero"/>
        <c:auto val="1"/>
        <c:lblAlgn val="ctr"/>
        <c:lblOffset val="100"/>
      </c:catAx>
      <c:valAx>
        <c:axId val="136730496"/>
        <c:scaling>
          <c:orientation val="minMax"/>
        </c:scaling>
        <c:axPos val="l"/>
        <c:majorGridlines/>
        <c:title>
          <c:tx>
            <c:rich>
              <a:bodyPr rot="-5400000" vert="horz"/>
              <a:lstStyle/>
              <a:p>
                <a:pPr>
                  <a:defRPr lang="en-GB" sz="900" b="0"/>
                </a:pPr>
                <a:r>
                  <a:rPr lang="en-US" sz="900" b="0"/>
                  <a:t>Total child benefit cost as percentage of total g</a:t>
                </a:r>
                <a:r>
                  <a:rPr lang="en-US" sz="900" b="0" baseline="0"/>
                  <a:t> general government expenditure</a:t>
                </a:r>
                <a:endParaRPr lang="en-US" sz="900" b="0"/>
              </a:p>
            </c:rich>
          </c:tx>
          <c:layout>
            <c:manualLayout>
              <c:xMode val="edge"/>
              <c:yMode val="edge"/>
              <c:x val="2.119316166560261E-2"/>
              <c:y val="0.14661894535910291"/>
            </c:manualLayout>
          </c:layout>
          <c:spPr>
            <a:noFill/>
            <a:ln w="25400">
              <a:noFill/>
            </a:ln>
          </c:spPr>
        </c:title>
        <c:numFmt formatCode="0.0" sourceLinked="0"/>
        <c:tickLblPos val="nextTo"/>
        <c:spPr>
          <a:ln>
            <a:noFill/>
          </a:ln>
        </c:spPr>
        <c:txPr>
          <a:bodyPr/>
          <a:lstStyle/>
          <a:p>
            <a:pPr>
              <a:defRPr lang="en-GB"/>
            </a:pPr>
            <a:endParaRPr lang="en-US"/>
          </a:p>
        </c:txPr>
        <c:crossAx val="136728960"/>
        <c:crosses val="autoZero"/>
        <c:crossBetween val="between"/>
      </c:valAx>
    </c:plotArea>
    <c:legend>
      <c:legendPos val="r"/>
      <c:layout>
        <c:manualLayout>
          <c:xMode val="edge"/>
          <c:yMode val="edge"/>
          <c:x val="0.76576742096427164"/>
          <c:y val="0.22181818181818191"/>
          <c:w val="0.20945993237331881"/>
          <c:h val="0.66909090909090962"/>
        </c:manualLayout>
      </c:layout>
      <c:txPr>
        <a:bodyPr/>
        <a:lstStyle/>
        <a:p>
          <a:pPr>
            <a:defRPr lang="en-GB"/>
          </a:pPr>
          <a:endParaRPr lang="en-US"/>
        </a:p>
      </c:txPr>
    </c:legend>
    <c:plotVisOnly val="1"/>
    <c:dispBlanksAs val="gap"/>
  </c:chart>
  <c:spPr>
    <a:ln>
      <a:noFill/>
    </a:ln>
  </c:spPr>
  <c:printSettings>
    <c:headerFooter/>
    <c:pageMargins b="0.98425196899999956" l="0.78740157499999996" r="0.78740157499999996" t="0.98425196899999956" header="0.49212598450000283" footer="0.4921259845000028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900" b="1" i="0" u="none" strike="noStrike" baseline="0">
                <a:solidFill>
                  <a:srgbClr val="000000"/>
                </a:solidFill>
                <a:latin typeface="Calibri"/>
                <a:ea typeface="Calibri"/>
                <a:cs typeface="Calibri"/>
              </a:defRPr>
            </a:pPr>
            <a:r>
              <a:rPr lang="en-GB" sz="900"/>
              <a:t>Universal old-age pension for</a:t>
            </a:r>
            <a:r>
              <a:rPr lang="en-GB" sz="900" baseline="0"/>
              <a:t> all</a:t>
            </a:r>
            <a:r>
              <a:rPr lang="en-GB" sz="900"/>
              <a:t> elderly  (with reduced benefit level from non-contibutory for pensioners of the contributory pension) | </a:t>
            </a:r>
            <a:r>
              <a:rPr lang="en-GB" sz="900" b="1" i="0" u="none" strike="noStrike" baseline="0"/>
              <a:t> progressive  reduction of eligible age to reach 65+ in 2020 </a:t>
            </a:r>
          </a:p>
          <a:p>
            <a:pPr>
              <a:defRPr lang="en-GB" sz="900" b="1" i="0" u="none" strike="noStrike" baseline="0">
                <a:solidFill>
                  <a:srgbClr val="000000"/>
                </a:solidFill>
                <a:latin typeface="Calibri"/>
                <a:ea typeface="Calibri"/>
                <a:cs typeface="Calibri"/>
              </a:defRPr>
            </a:pPr>
            <a:r>
              <a:rPr lang="en-GB" sz="900" b="0" i="1"/>
              <a:t> as a percentage of GDP</a:t>
            </a:r>
          </a:p>
        </c:rich>
      </c:tx>
      <c:overlay val="1"/>
      <c:spPr>
        <a:noFill/>
        <a:ln w="25400">
          <a:noFill/>
        </a:ln>
      </c:spPr>
    </c:title>
    <c:plotArea>
      <c:layout>
        <c:manualLayout>
          <c:layoutTarget val="inner"/>
          <c:xMode val="edge"/>
          <c:yMode val="edge"/>
          <c:x val="0.17149220489977862"/>
          <c:y val="0.21337579617834396"/>
          <c:w val="0.55011135857461024"/>
          <c:h val="0.60509554140127464"/>
        </c:manualLayout>
      </c:layout>
      <c:barChart>
        <c:barDir val="col"/>
        <c:grouping val="stacked"/>
        <c:ser>
          <c:idx val="0"/>
          <c:order val="0"/>
          <c:tx>
            <c:strRef>
              <c:f>'PENS (Universal)'!$A$245</c:f>
              <c:strCache>
                <c:ptCount val="1"/>
                <c:pt idx="0">
                  <c:v>New pensioners eligible age to 79</c:v>
                </c:pt>
              </c:strCache>
            </c:strRef>
          </c:tx>
          <c:cat>
            <c:numRef>
              <c:f>'PENS (Universal)'!$B$244:$L$244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(Universal)'!$B$245:$L$245</c:f>
              <c:numCache>
                <c:formatCode>0.0</c:formatCode>
                <c:ptCount val="11"/>
                <c:pt idx="0">
                  <c:v>0</c:v>
                </c:pt>
                <c:pt idx="1">
                  <c:v>0</c:v>
                </c:pt>
                <c:pt idx="2">
                  <c:v>2.394483995044339E-2</c:v>
                </c:pt>
                <c:pt idx="3">
                  <c:v>7.9082316942159156E-2</c:v>
                </c:pt>
                <c:pt idx="4">
                  <c:v>0.14215293653747843</c:v>
                </c:pt>
                <c:pt idx="5">
                  <c:v>0.19403576494253461</c:v>
                </c:pt>
                <c:pt idx="6">
                  <c:v>0.25944329219846585</c:v>
                </c:pt>
                <c:pt idx="7">
                  <c:v>0.32808640629781327</c:v>
                </c:pt>
                <c:pt idx="8">
                  <c:v>0.38360843227181496</c:v>
                </c:pt>
                <c:pt idx="9">
                  <c:v>0.4640828317539093</c:v>
                </c:pt>
                <c:pt idx="10">
                  <c:v>0.5119945187506616</c:v>
                </c:pt>
              </c:numCache>
            </c:numRef>
          </c:val>
        </c:ser>
        <c:ser>
          <c:idx val="1"/>
          <c:order val="1"/>
          <c:tx>
            <c:strRef>
              <c:f>'PENS (Universal)'!$A$246</c:f>
              <c:strCache>
                <c:ptCount val="1"/>
                <c:pt idx="0">
                  <c:v>New pensioners 80+</c:v>
                </c:pt>
              </c:strCache>
            </c:strRef>
          </c:tx>
          <c:cat>
            <c:numRef>
              <c:f>'PENS (Universal)'!$B$244:$L$244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(Universal)'!$B$246:$L$246</c:f>
              <c:numCache>
                <c:formatCode>0.0</c:formatCode>
                <c:ptCount val="11"/>
                <c:pt idx="0">
                  <c:v>0</c:v>
                </c:pt>
                <c:pt idx="1">
                  <c:v>5.0814549057634766E-2</c:v>
                </c:pt>
                <c:pt idx="2">
                  <c:v>9.8545985904046132E-2</c:v>
                </c:pt>
                <c:pt idx="3">
                  <c:v>9.4334970932751699E-2</c:v>
                </c:pt>
                <c:pt idx="4">
                  <c:v>8.9620177872775347E-2</c:v>
                </c:pt>
                <c:pt idx="5">
                  <c:v>8.471546331991342E-2</c:v>
                </c:pt>
                <c:pt idx="6">
                  <c:v>7.9618983136553259E-2</c:v>
                </c:pt>
                <c:pt idx="7">
                  <c:v>7.4505186187842048E-2</c:v>
                </c:pt>
                <c:pt idx="8">
                  <c:v>6.9440256636472381E-2</c:v>
                </c:pt>
                <c:pt idx="9">
                  <c:v>6.4614319855174962E-2</c:v>
                </c:pt>
                <c:pt idx="10">
                  <c:v>6.0133636718574031E-2</c:v>
                </c:pt>
              </c:numCache>
            </c:numRef>
          </c:val>
        </c:ser>
        <c:ser>
          <c:idx val="2"/>
          <c:order val="2"/>
          <c:tx>
            <c:strRef>
              <c:f>'PENS (Universal)'!$A$247</c:f>
              <c:strCache>
                <c:ptCount val="1"/>
                <c:pt idx="0">
                  <c:v>People with higher pension amount 80+</c:v>
                </c:pt>
              </c:strCache>
            </c:strRef>
          </c:tx>
          <c:cat>
            <c:numRef>
              <c:f>'PENS (Universal)'!$B$244:$L$244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(Universal)'!$B$247:$L$247</c:f>
              <c:numCache>
                <c:formatCode>0.0</c:formatCode>
                <c:ptCount val="11"/>
                <c:pt idx="0">
                  <c:v>0</c:v>
                </c:pt>
                <c:pt idx="1">
                  <c:v>2.5667207300772914E-2</c:v>
                </c:pt>
                <c:pt idx="2">
                  <c:v>4.9777087384743041E-2</c:v>
                </c:pt>
                <c:pt idx="3">
                  <c:v>4.7650039202296671E-2</c:v>
                </c:pt>
                <c:pt idx="4">
                  <c:v>4.5268524988456064E-2</c:v>
                </c:pt>
                <c:pt idx="5">
                  <c:v>4.2791078518614585E-2</c:v>
                </c:pt>
                <c:pt idx="6">
                  <c:v>4.0216768290608489E-2</c:v>
                </c:pt>
                <c:pt idx="7">
                  <c:v>3.7633711099099076E-2</c:v>
                </c:pt>
                <c:pt idx="8">
                  <c:v>3.5075337578724712E-2</c:v>
                </c:pt>
                <c:pt idx="9">
                  <c:v>3.2637682968319898E-2</c:v>
                </c:pt>
                <c:pt idx="10">
                  <c:v>3.03744212637681E-2</c:v>
                </c:pt>
              </c:numCache>
            </c:numRef>
          </c:val>
        </c:ser>
        <c:ser>
          <c:idx val="3"/>
          <c:order val="3"/>
          <c:tx>
            <c:strRef>
              <c:f>'PENS (Universal)'!$A$248</c:f>
              <c:strCache>
                <c:ptCount val="1"/>
                <c:pt idx="0">
                  <c:v>Pensioners contributory scheme (eligible age +)</c:v>
                </c:pt>
              </c:strCache>
            </c:strRef>
          </c:tx>
          <c:spPr>
            <a:solidFill>
              <a:srgbClr val="FF9900"/>
            </a:solidFill>
            <a:ln w="25400">
              <a:noFill/>
            </a:ln>
          </c:spPr>
          <c:cat>
            <c:numRef>
              <c:f>'PENS (Universal)'!$B$244:$L$244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(Universal)'!$B$248:$L$248</c:f>
              <c:numCache>
                <c:formatCode>0.00</c:formatCode>
                <c:ptCount val="11"/>
                <c:pt idx="0">
                  <c:v>0</c:v>
                </c:pt>
                <c:pt idx="1">
                  <c:v>2.2279329103965132E-2</c:v>
                </c:pt>
                <c:pt idx="2">
                  <c:v>5.8753819579591048E-2</c:v>
                </c:pt>
                <c:pt idx="3">
                  <c:v>6.8947768000095541E-2</c:v>
                </c:pt>
                <c:pt idx="4">
                  <c:v>6.7799229335106223E-2</c:v>
                </c:pt>
                <c:pt idx="5">
                  <c:v>7.7278716121773894E-2</c:v>
                </c:pt>
                <c:pt idx="6">
                  <c:v>8.9861740064469287E-2</c:v>
                </c:pt>
                <c:pt idx="7">
                  <c:v>7.0965488542345953E-2</c:v>
                </c:pt>
                <c:pt idx="8">
                  <c:v>7.5903538109661522E-2</c:v>
                </c:pt>
                <c:pt idx="9">
                  <c:v>7.9760467365807317E-2</c:v>
                </c:pt>
                <c:pt idx="10">
                  <c:v>0.15266570881698033</c:v>
                </c:pt>
              </c:numCache>
            </c:numRef>
          </c:val>
        </c:ser>
        <c:gapWidth val="18"/>
        <c:overlap val="100"/>
        <c:axId val="136761728"/>
        <c:axId val="136763264"/>
      </c:barChart>
      <c:catAx>
        <c:axId val="136761728"/>
        <c:scaling>
          <c:orientation val="minMax"/>
        </c:scaling>
        <c:axPos val="b"/>
        <c:numFmt formatCode="0" sourceLinked="1"/>
        <c:tickLblPos val="nextTo"/>
        <c:txPr>
          <a:bodyPr rot="-5400000" vert="horz"/>
          <a:lstStyle/>
          <a:p>
            <a:pPr>
              <a:defRPr lang="en-GB"/>
            </a:pPr>
            <a:endParaRPr lang="en-US"/>
          </a:p>
        </c:txPr>
        <c:crossAx val="136763264"/>
        <c:crosses val="autoZero"/>
        <c:auto val="1"/>
        <c:lblAlgn val="ctr"/>
        <c:lblOffset val="100"/>
      </c:catAx>
      <c:valAx>
        <c:axId val="136763264"/>
        <c:scaling>
          <c:orientation val="minMax"/>
        </c:scaling>
        <c:axPos val="l"/>
        <c:majorGridlines/>
        <c:title>
          <c:tx>
            <c:rich>
              <a:bodyPr rot="-5400000" vert="horz"/>
              <a:lstStyle/>
              <a:p>
                <a:pPr>
                  <a:defRPr lang="en-GB"/>
                </a:pPr>
                <a:r>
                  <a:rPr lang="en-US" sz="900" b="0"/>
                  <a:t>Total elderly</a:t>
                </a:r>
                <a:r>
                  <a:rPr lang="en-US" sz="900" b="0" baseline="0"/>
                  <a:t> </a:t>
                </a:r>
                <a:r>
                  <a:rPr lang="en-US" sz="900" b="0"/>
                  <a:t>benefit cost as percentage of GDP</a:t>
                </a:r>
              </a:p>
            </c:rich>
          </c:tx>
          <c:layout>
            <c:manualLayout>
              <c:xMode val="edge"/>
              <c:yMode val="edge"/>
              <c:x val="1.591264343627425E-2"/>
              <c:y val="8.8437735092030706E-2"/>
            </c:manualLayout>
          </c:layout>
          <c:spPr>
            <a:noFill/>
            <a:ln w="25400">
              <a:noFill/>
            </a:ln>
          </c:spPr>
        </c:title>
        <c:numFmt formatCode="0.0" sourceLinked="0"/>
        <c:tickLblPos val="nextTo"/>
        <c:spPr>
          <a:ln>
            <a:noFill/>
          </a:ln>
        </c:spPr>
        <c:txPr>
          <a:bodyPr/>
          <a:lstStyle/>
          <a:p>
            <a:pPr>
              <a:defRPr lang="en-GB"/>
            </a:pPr>
            <a:endParaRPr lang="en-US"/>
          </a:p>
        </c:txPr>
        <c:crossAx val="136761728"/>
        <c:crosses val="autoZero"/>
        <c:crossBetween val="between"/>
      </c:valAx>
      <c:spPr>
        <a:noFill/>
        <a:ln w="25400">
          <a:noFill/>
        </a:ln>
      </c:spPr>
    </c:plotArea>
    <c:legend>
      <c:legendPos val="r"/>
      <c:layout>
        <c:manualLayout>
          <c:xMode val="edge"/>
          <c:yMode val="edge"/>
          <c:x val="0.73719376391982183"/>
          <c:y val="0.20488322717622137"/>
          <c:w val="0.24721603563474404"/>
          <c:h val="0.76857749469214465"/>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95" footer="0.49212598450000195"/>
    <c:pageSetup paperSize="9" orientation="landscape" horizontalDpi="200" verticalDpi="200"/>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900" b="1" i="0" u="none" strike="noStrike" baseline="0">
                <a:solidFill>
                  <a:srgbClr val="000000"/>
                </a:solidFill>
                <a:latin typeface="Calibri"/>
                <a:ea typeface="Calibri"/>
                <a:cs typeface="Calibri"/>
              </a:defRPr>
            </a:pPr>
            <a:r>
              <a:rPr lang="en-GB" sz="900"/>
              <a:t>Universal old-age pension for all elderly  (with reduced benefit level from non-contibutory for pensioners of the contributory pension) | </a:t>
            </a:r>
            <a:r>
              <a:rPr lang="en-GB" sz="900" b="1" i="0" u="none" strike="noStrike" baseline="0"/>
              <a:t> progressive  reduction of eligible age to reach 65+ in 2020 </a:t>
            </a:r>
          </a:p>
          <a:p>
            <a:pPr>
              <a:defRPr lang="en-GB" sz="900" b="1" i="0" u="none" strike="noStrike" baseline="0">
                <a:solidFill>
                  <a:srgbClr val="000000"/>
                </a:solidFill>
                <a:latin typeface="Calibri"/>
                <a:ea typeface="Calibri"/>
                <a:cs typeface="Calibri"/>
              </a:defRPr>
            </a:pPr>
            <a:r>
              <a:rPr lang="en-GB" sz="900" b="0" i="1"/>
              <a:t> as a percentage of Government expenditure</a:t>
            </a:r>
          </a:p>
        </c:rich>
      </c:tx>
      <c:layout>
        <c:manualLayout>
          <c:xMode val="edge"/>
          <c:yMode val="edge"/>
          <c:x val="0.10888912219305918"/>
          <c:y val="1.6181229773462865E-2"/>
        </c:manualLayout>
      </c:layout>
      <c:overlay val="1"/>
      <c:spPr>
        <a:noFill/>
        <a:ln w="25400">
          <a:noFill/>
        </a:ln>
      </c:spPr>
    </c:title>
    <c:plotArea>
      <c:layout>
        <c:manualLayout>
          <c:layoutTarget val="inner"/>
          <c:xMode val="edge"/>
          <c:yMode val="edge"/>
          <c:x val="0.16962986293379981"/>
          <c:y val="0.22330167659561018"/>
          <c:w val="0.60889005540974106"/>
          <c:h val="0.61464515964630706"/>
        </c:manualLayout>
      </c:layout>
      <c:barChart>
        <c:barDir val="col"/>
        <c:grouping val="stacked"/>
        <c:ser>
          <c:idx val="0"/>
          <c:order val="0"/>
          <c:tx>
            <c:strRef>
              <c:f>'PENS (Universal)'!$A$252</c:f>
              <c:strCache>
                <c:ptCount val="1"/>
                <c:pt idx="0">
                  <c:v>New pensioners eligible age to 79</c:v>
                </c:pt>
              </c:strCache>
            </c:strRef>
          </c:tx>
          <c:cat>
            <c:numRef>
              <c:f>'PENS (Universal)'!$B$251:$L$251</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(Universal)'!$B$252:$L$252</c:f>
              <c:numCache>
                <c:formatCode>0.0</c:formatCode>
                <c:ptCount val="11"/>
                <c:pt idx="0">
                  <c:v>0</c:v>
                </c:pt>
                <c:pt idx="1">
                  <c:v>0</c:v>
                </c:pt>
                <c:pt idx="2">
                  <c:v>7.5169651093239143E-2</c:v>
                </c:pt>
                <c:pt idx="3">
                  <c:v>0.24953214553313607</c:v>
                </c:pt>
                <c:pt idx="4">
                  <c:v>0.4498318117633</c:v>
                </c:pt>
                <c:pt idx="5">
                  <c:v>0.61593014417172187</c:v>
                </c:pt>
                <c:pt idx="6">
                  <c:v>0.82747188914956593</c:v>
                </c:pt>
                <c:pt idx="7">
                  <c:v>1.049017422451481</c:v>
                </c:pt>
                <c:pt idx="8">
                  <c:v>1.2325741765817151</c:v>
                </c:pt>
                <c:pt idx="9">
                  <c:v>1.4981577580671233</c:v>
                </c:pt>
                <c:pt idx="10">
                  <c:v>1.660501063734084</c:v>
                </c:pt>
              </c:numCache>
            </c:numRef>
          </c:val>
        </c:ser>
        <c:ser>
          <c:idx val="1"/>
          <c:order val="1"/>
          <c:tx>
            <c:strRef>
              <c:f>'PENS (Universal)'!$A$253</c:f>
              <c:strCache>
                <c:ptCount val="1"/>
                <c:pt idx="0">
                  <c:v>New pensioners 80+</c:v>
                </c:pt>
              </c:strCache>
            </c:strRef>
          </c:tx>
          <c:cat>
            <c:numRef>
              <c:f>'PENS (Universal)'!$B$251:$L$251</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(Universal)'!$B$253:$L$253</c:f>
              <c:numCache>
                <c:formatCode>0.0</c:formatCode>
                <c:ptCount val="11"/>
                <c:pt idx="0">
                  <c:v>0</c:v>
                </c:pt>
                <c:pt idx="1">
                  <c:v>0.16018441583937204</c:v>
                </c:pt>
                <c:pt idx="2">
                  <c:v>0.30936382921654249</c:v>
                </c:pt>
                <c:pt idx="3">
                  <c:v>0.297659560390377</c:v>
                </c:pt>
                <c:pt idx="4">
                  <c:v>0.28359601964628434</c:v>
                </c:pt>
                <c:pt idx="5">
                  <c:v>0.26891334982322301</c:v>
                </c:pt>
                <c:pt idx="6">
                  <c:v>0.25393784448962808</c:v>
                </c:pt>
                <c:pt idx="7">
                  <c:v>0.23822150773016854</c:v>
                </c:pt>
                <c:pt idx="8">
                  <c:v>0.22311883667008622</c:v>
                </c:pt>
                <c:pt idx="9">
                  <c:v>0.20858872155950101</c:v>
                </c:pt>
                <c:pt idx="10">
                  <c:v>0.19502546234487811</c:v>
                </c:pt>
              </c:numCache>
            </c:numRef>
          </c:val>
        </c:ser>
        <c:ser>
          <c:idx val="2"/>
          <c:order val="2"/>
          <c:tx>
            <c:strRef>
              <c:f>'PENS (Universal)'!$A$254</c:f>
              <c:strCache>
                <c:ptCount val="1"/>
                <c:pt idx="0">
                  <c:v>People with higher pension amount 80+</c:v>
                </c:pt>
              </c:strCache>
            </c:strRef>
          </c:tx>
          <c:cat>
            <c:numRef>
              <c:f>'PENS (Universal)'!$B$251:$L$251</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(Universal)'!$B$254:$L$254</c:f>
              <c:numCache>
                <c:formatCode>0.0</c:formatCode>
                <c:ptCount val="11"/>
                <c:pt idx="0">
                  <c:v>0</c:v>
                </c:pt>
                <c:pt idx="1">
                  <c:v>8.091160275847481E-2</c:v>
                </c:pt>
                <c:pt idx="2">
                  <c:v>0.15626441015654083</c:v>
                </c:pt>
                <c:pt idx="3">
                  <c:v>0.15035240464165514</c:v>
                </c:pt>
                <c:pt idx="4">
                  <c:v>0.14324869473266688</c:v>
                </c:pt>
                <c:pt idx="5">
                  <c:v>0.13583225323970249</c:v>
                </c:pt>
                <c:pt idx="6">
                  <c:v>0.12826789604359232</c:v>
                </c:pt>
                <c:pt idx="7">
                  <c:v>0.12032933354338654</c:v>
                </c:pt>
                <c:pt idx="8">
                  <c:v>0.11270074299041621</c:v>
                </c:pt>
                <c:pt idx="9">
                  <c:v>0.10536135922014052</c:v>
                </c:pt>
                <c:pt idx="10">
                  <c:v>9.8510349176914772E-2</c:v>
                </c:pt>
              </c:numCache>
            </c:numRef>
          </c:val>
        </c:ser>
        <c:ser>
          <c:idx val="3"/>
          <c:order val="3"/>
          <c:tx>
            <c:strRef>
              <c:f>'PENS (Universal)'!$A$255</c:f>
              <c:strCache>
                <c:ptCount val="1"/>
                <c:pt idx="0">
                  <c:v>Pensioners contributory scheme (eligible age +)</c:v>
                </c:pt>
              </c:strCache>
            </c:strRef>
          </c:tx>
          <c:spPr>
            <a:solidFill>
              <a:srgbClr val="FF9900"/>
            </a:solidFill>
            <a:ln w="25400">
              <a:noFill/>
            </a:ln>
          </c:spPr>
          <c:cat>
            <c:numRef>
              <c:f>'PENS (Universal)'!$B$251:$L$251</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(Universal)'!$B$255:$L$255</c:f>
              <c:numCache>
                <c:formatCode>0.0</c:formatCode>
                <c:ptCount val="11"/>
                <c:pt idx="0">
                  <c:v>0</c:v>
                </c:pt>
                <c:pt idx="1">
                  <c:v>7.023188012086809E-2</c:v>
                </c:pt>
                <c:pt idx="2">
                  <c:v>0.18444492121615544</c:v>
                </c:pt>
                <c:pt idx="3">
                  <c:v>0.21755412769922078</c:v>
                </c:pt>
                <c:pt idx="4">
                  <c:v>0.21454534046804924</c:v>
                </c:pt>
                <c:pt idx="5">
                  <c:v>0.24530679061350574</c:v>
                </c:pt>
                <c:pt idx="6">
                  <c:v>0.28660622975957339</c:v>
                </c:pt>
                <c:pt idx="7">
                  <c:v>0.22690374378427283</c:v>
                </c:pt>
                <c:pt idx="8">
                  <c:v>0.24388603876898882</c:v>
                </c:pt>
                <c:pt idx="9">
                  <c:v>0.25748369643311475</c:v>
                </c:pt>
                <c:pt idx="10">
                  <c:v>0.49512555818935938</c:v>
                </c:pt>
              </c:numCache>
            </c:numRef>
          </c:val>
        </c:ser>
        <c:gapWidth val="29"/>
        <c:overlap val="100"/>
        <c:axId val="136868224"/>
        <c:axId val="136869760"/>
      </c:barChart>
      <c:catAx>
        <c:axId val="136868224"/>
        <c:scaling>
          <c:orientation val="minMax"/>
        </c:scaling>
        <c:axPos val="b"/>
        <c:numFmt formatCode="0" sourceLinked="1"/>
        <c:tickLblPos val="nextTo"/>
        <c:txPr>
          <a:bodyPr rot="-5400000" vert="horz"/>
          <a:lstStyle/>
          <a:p>
            <a:pPr>
              <a:defRPr lang="en-GB"/>
            </a:pPr>
            <a:endParaRPr lang="en-US"/>
          </a:p>
        </c:txPr>
        <c:crossAx val="136869760"/>
        <c:crosses val="autoZero"/>
        <c:auto val="1"/>
        <c:lblAlgn val="ctr"/>
        <c:lblOffset val="100"/>
      </c:catAx>
      <c:valAx>
        <c:axId val="136869760"/>
        <c:scaling>
          <c:orientation val="minMax"/>
        </c:scaling>
        <c:axPos val="l"/>
        <c:majorGridlines/>
        <c:title>
          <c:tx>
            <c:rich>
              <a:bodyPr/>
              <a:lstStyle/>
              <a:p>
                <a:pPr>
                  <a:defRPr lang="en-GB" sz="900" b="0" i="0" u="none" strike="noStrike" baseline="0">
                    <a:solidFill>
                      <a:srgbClr val="000000"/>
                    </a:solidFill>
                    <a:latin typeface="Calibri"/>
                    <a:ea typeface="Calibri"/>
                    <a:cs typeface="Calibri"/>
                  </a:defRPr>
                </a:pPr>
                <a:r>
                  <a:rPr lang="en-GB"/>
                  <a:t>Total elderly</a:t>
                </a:r>
                <a:r>
                  <a:rPr lang="en-GB" baseline="0"/>
                  <a:t> </a:t>
                </a:r>
                <a:r>
                  <a:rPr lang="en-GB"/>
                  <a:t>benefit cost as percentage of general government expenditure</a:t>
                </a:r>
              </a:p>
            </c:rich>
          </c:tx>
          <c:layout>
            <c:manualLayout>
              <c:xMode val="edge"/>
              <c:yMode val="edge"/>
              <c:x val="1.5912510936132985E-2"/>
              <c:y val="8.8437683153683708E-2"/>
            </c:manualLayout>
          </c:layout>
          <c:spPr>
            <a:noFill/>
            <a:ln w="25400">
              <a:noFill/>
            </a:ln>
          </c:spPr>
        </c:title>
        <c:numFmt formatCode="0.0" sourceLinked="0"/>
        <c:tickLblPos val="nextTo"/>
        <c:spPr>
          <a:ln>
            <a:noFill/>
          </a:ln>
        </c:spPr>
        <c:txPr>
          <a:bodyPr/>
          <a:lstStyle/>
          <a:p>
            <a:pPr>
              <a:defRPr lang="en-GB"/>
            </a:pPr>
            <a:endParaRPr lang="en-US"/>
          </a:p>
        </c:txPr>
        <c:crossAx val="136868224"/>
        <c:crosses val="autoZero"/>
        <c:crossBetween val="between"/>
      </c:valAx>
      <c:spPr>
        <a:noFill/>
        <a:ln w="25400">
          <a:noFill/>
        </a:ln>
      </c:spPr>
    </c:plotArea>
    <c:legend>
      <c:legendPos val="r"/>
      <c:layout>
        <c:manualLayout>
          <c:xMode val="edge"/>
          <c:yMode val="edge"/>
          <c:x val="0.77111274424030329"/>
          <c:y val="0.22977414230988116"/>
          <c:w val="0.22000046660834038"/>
          <c:h val="0.68932242692964341"/>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95" footer="0.4921259845000019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Child benefit (and its components) as a percentage of GDP </a:t>
            </a:r>
          </a:p>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Scenario 2b Targeted for poor children aged 0 to 15 limited to 2 children per HH </a:t>
            </a:r>
            <a:r>
              <a:rPr lang="fr-FR" sz="900" b="0" i="0" u="none" strike="noStrike" baseline="0">
                <a:solidFill>
                  <a:srgbClr val="000000"/>
                </a:solidFill>
                <a:latin typeface="Calibri"/>
              </a:rPr>
              <a:t>(based on children poverty rate)</a:t>
            </a:r>
          </a:p>
        </c:rich>
      </c:tx>
      <c:layout>
        <c:manualLayout>
          <c:xMode val="edge"/>
          <c:yMode val="edge"/>
          <c:x val="0.13302776373136843"/>
          <c:y val="1.8181818181818254E-2"/>
        </c:manualLayout>
      </c:layout>
      <c:overlay val="1"/>
      <c:spPr>
        <a:noFill/>
        <a:ln w="25400">
          <a:noFill/>
        </a:ln>
      </c:spPr>
    </c:title>
    <c:plotArea>
      <c:layout>
        <c:manualLayout>
          <c:layoutTarget val="inner"/>
          <c:xMode val="edge"/>
          <c:yMode val="edge"/>
          <c:x val="0.19724792732216734"/>
          <c:y val="0.25090909090909091"/>
          <c:w val="0.55275291261212112"/>
          <c:h val="0.56363636363636349"/>
        </c:manualLayout>
      </c:layout>
      <c:barChart>
        <c:barDir val="col"/>
        <c:grouping val="stacked"/>
        <c:ser>
          <c:idx val="0"/>
          <c:order val="0"/>
          <c:tx>
            <c:strRef>
              <c:f>'CHILD (Holistic benefit)'!$A$247</c:f>
              <c:strCache>
                <c:ptCount val="1"/>
                <c:pt idx="0">
                  <c:v>Child allowance</c:v>
                </c:pt>
              </c:strCache>
            </c:strRef>
          </c:tx>
          <c:spPr>
            <a:solidFill>
              <a:schemeClr val="accent1"/>
            </a:solidFill>
          </c:spPr>
          <c:cat>
            <c:numRef>
              <c:f>'CHILD (Holistic benefit)'!$B$246:$L$246</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benefit)'!$B$247:$L$247</c:f>
              <c:numCache>
                <c:formatCode>0.00</c:formatCode>
                <c:ptCount val="11"/>
                <c:pt idx="0">
                  <c:v>0</c:v>
                </c:pt>
                <c:pt idx="1">
                  <c:v>7.1643766053422861E-2</c:v>
                </c:pt>
                <c:pt idx="2">
                  <c:v>0.15253645820907732</c:v>
                </c:pt>
                <c:pt idx="3">
                  <c:v>0.17714266168305193</c:v>
                </c:pt>
                <c:pt idx="4">
                  <c:v>0.19897933506569906</c:v>
                </c:pt>
                <c:pt idx="5">
                  <c:v>0.2504007512994938</c:v>
                </c:pt>
                <c:pt idx="6">
                  <c:v>0.2978975095438402</c:v>
                </c:pt>
                <c:pt idx="7">
                  <c:v>0.28536219029491616</c:v>
                </c:pt>
                <c:pt idx="8">
                  <c:v>0.27465664601810375</c:v>
                </c:pt>
                <c:pt idx="9">
                  <c:v>0.26555454018419189</c:v>
                </c:pt>
                <c:pt idx="10">
                  <c:v>0.25793814856366898</c:v>
                </c:pt>
              </c:numCache>
            </c:numRef>
          </c:val>
        </c:ser>
        <c:ser>
          <c:idx val="1"/>
          <c:order val="1"/>
          <c:tx>
            <c:strRef>
              <c:f>'CHILD (Holistic benefit)'!$A$248</c:f>
              <c:strCache>
                <c:ptCount val="1"/>
                <c:pt idx="0">
                  <c:v>Staff cost</c:v>
                </c:pt>
              </c:strCache>
            </c:strRef>
          </c:tx>
          <c:cat>
            <c:numRef>
              <c:f>'CHILD (Holistic benefit)'!$B$246:$L$246</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benefit)'!$B$248:$L$248</c:f>
              <c:numCache>
                <c:formatCode>0.00</c:formatCode>
                <c:ptCount val="11"/>
                <c:pt idx="0">
                  <c:v>0</c:v>
                </c:pt>
                <c:pt idx="1">
                  <c:v>1.6427512077379004E-2</c:v>
                </c:pt>
                <c:pt idx="2">
                  <c:v>3.0029116249931067E-2</c:v>
                </c:pt>
                <c:pt idx="3">
                  <c:v>3.4400756308037905E-2</c:v>
                </c:pt>
                <c:pt idx="4">
                  <c:v>3.8132065576938871E-2</c:v>
                </c:pt>
                <c:pt idx="5">
                  <c:v>4.7371953827564796E-2</c:v>
                </c:pt>
                <c:pt idx="6">
                  <c:v>5.5659573143769181E-2</c:v>
                </c:pt>
                <c:pt idx="7">
                  <c:v>5.2679055025684679E-2</c:v>
                </c:pt>
                <c:pt idx="8">
                  <c:v>5.01110172164057E-2</c:v>
                </c:pt>
                <c:pt idx="9">
                  <c:v>4.7892032576563361E-2</c:v>
                </c:pt>
                <c:pt idx="10">
                  <c:v>4.5984106598756028E-2</c:v>
                </c:pt>
              </c:numCache>
            </c:numRef>
          </c:val>
        </c:ser>
        <c:ser>
          <c:idx val="2"/>
          <c:order val="2"/>
          <c:tx>
            <c:strRef>
              <c:f>'CHILD (Holistic benefit)'!$A$249</c:f>
              <c:strCache>
                <c:ptCount val="1"/>
                <c:pt idx="0">
                  <c:v>Non-staff cost</c:v>
                </c:pt>
              </c:strCache>
            </c:strRef>
          </c:tx>
          <c:cat>
            <c:numRef>
              <c:f>'CHILD (Holistic benefit)'!$B$246:$L$246</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benefit)'!$B$249:$L$249</c:f>
              <c:numCache>
                <c:formatCode>0.00</c:formatCode>
                <c:ptCount val="11"/>
                <c:pt idx="0">
                  <c:v>0</c:v>
                </c:pt>
                <c:pt idx="1">
                  <c:v>8.2137560386895021E-3</c:v>
                </c:pt>
                <c:pt idx="2">
                  <c:v>1.5014558124965533E-2</c:v>
                </c:pt>
                <c:pt idx="3">
                  <c:v>1.7200378154018953E-2</c:v>
                </c:pt>
                <c:pt idx="4">
                  <c:v>1.9066032788469436E-2</c:v>
                </c:pt>
                <c:pt idx="5">
                  <c:v>2.3685976913782398E-2</c:v>
                </c:pt>
                <c:pt idx="6">
                  <c:v>2.782978657188459E-2</c:v>
                </c:pt>
                <c:pt idx="7">
                  <c:v>2.633952751284234E-2</c:v>
                </c:pt>
                <c:pt idx="8">
                  <c:v>2.505550860820285E-2</c:v>
                </c:pt>
                <c:pt idx="9">
                  <c:v>2.394601628828168E-2</c:v>
                </c:pt>
                <c:pt idx="10">
                  <c:v>2.2992053299378014E-2</c:v>
                </c:pt>
              </c:numCache>
            </c:numRef>
          </c:val>
        </c:ser>
        <c:ser>
          <c:idx val="3"/>
          <c:order val="3"/>
          <c:tx>
            <c:strRef>
              <c:f>'CHILD (Holistic benefit)'!$A$250</c:f>
              <c:strCache>
                <c:ptCount val="1"/>
                <c:pt idx="0">
                  <c:v>Meals</c:v>
                </c:pt>
              </c:strCache>
            </c:strRef>
          </c:tx>
          <c:cat>
            <c:numRef>
              <c:f>'CHILD (Holistic benefit)'!$B$246:$L$246</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benefit)'!$B$250:$L$250</c:f>
              <c:numCache>
                <c:formatCode>0.00</c:formatCode>
                <c:ptCount val="11"/>
                <c:pt idx="0">
                  <c:v>0</c:v>
                </c:pt>
                <c:pt idx="1">
                  <c:v>3.2062824711356727E-2</c:v>
                </c:pt>
                <c:pt idx="2">
                  <c:v>5.7479639302507553E-2</c:v>
                </c:pt>
                <c:pt idx="3">
                  <c:v>6.396760752524884E-2</c:v>
                </c:pt>
                <c:pt idx="4">
                  <c:v>6.8353404237619458E-2</c:v>
                </c:pt>
                <c:pt idx="5">
                  <c:v>8.1429472912858597E-2</c:v>
                </c:pt>
                <c:pt idx="6">
                  <c:v>9.1194551264163579E-2</c:v>
                </c:pt>
                <c:pt idx="7">
                  <c:v>8.1957964850270182E-2</c:v>
                </c:pt>
                <c:pt idx="8">
                  <c:v>7.3740209915398716E-2</c:v>
                </c:pt>
                <c:pt idx="9">
                  <c:v>6.6386772450898482E-2</c:v>
                </c:pt>
                <c:pt idx="10">
                  <c:v>5.979084382361563E-2</c:v>
                </c:pt>
              </c:numCache>
            </c:numRef>
          </c:val>
        </c:ser>
        <c:gapWidth val="39"/>
        <c:overlap val="100"/>
        <c:axId val="136991104"/>
        <c:axId val="136992640"/>
      </c:barChart>
      <c:catAx>
        <c:axId val="136991104"/>
        <c:scaling>
          <c:orientation val="minMax"/>
        </c:scaling>
        <c:axPos val="b"/>
        <c:numFmt formatCode="0" sourceLinked="1"/>
        <c:tickLblPos val="nextTo"/>
        <c:spPr>
          <a:ln>
            <a:noFill/>
          </a:ln>
        </c:spPr>
        <c:txPr>
          <a:bodyPr rot="-5400000" vert="horz"/>
          <a:lstStyle/>
          <a:p>
            <a:pPr>
              <a:defRPr lang="en-GB"/>
            </a:pPr>
            <a:endParaRPr lang="en-US"/>
          </a:p>
        </c:txPr>
        <c:crossAx val="136992640"/>
        <c:crosses val="autoZero"/>
        <c:auto val="1"/>
        <c:lblAlgn val="ctr"/>
        <c:lblOffset val="100"/>
      </c:catAx>
      <c:valAx>
        <c:axId val="136992640"/>
        <c:scaling>
          <c:orientation val="minMax"/>
        </c:scaling>
        <c:axPos val="l"/>
        <c:majorGridlines/>
        <c:title>
          <c:tx>
            <c:rich>
              <a:bodyPr rot="-5400000" vert="horz"/>
              <a:lstStyle/>
              <a:p>
                <a:pPr>
                  <a:defRPr lang="en-GB" sz="800"/>
                </a:pPr>
                <a:r>
                  <a:rPr lang="en-US" sz="800"/>
                  <a:t>Total child benefit cost as percentage of GDP</a:t>
                </a:r>
              </a:p>
            </c:rich>
          </c:tx>
          <c:layout>
            <c:manualLayout>
              <c:xMode val="edge"/>
              <c:yMode val="edge"/>
              <c:x val="1.8348623853211021E-2"/>
              <c:y val="0.19272727272727291"/>
            </c:manualLayout>
          </c:layout>
          <c:spPr>
            <a:noFill/>
            <a:ln w="25400">
              <a:noFill/>
            </a:ln>
          </c:spPr>
        </c:title>
        <c:numFmt formatCode="0.00" sourceLinked="0"/>
        <c:tickLblPos val="nextTo"/>
        <c:spPr>
          <a:ln>
            <a:noFill/>
          </a:ln>
        </c:spPr>
        <c:txPr>
          <a:bodyPr/>
          <a:lstStyle/>
          <a:p>
            <a:pPr>
              <a:defRPr lang="en-GB"/>
            </a:pPr>
            <a:endParaRPr lang="en-US"/>
          </a:p>
        </c:txPr>
        <c:crossAx val="136991104"/>
        <c:crosses val="autoZero"/>
        <c:crossBetween val="between"/>
      </c:valAx>
    </c:plotArea>
    <c:legend>
      <c:legendPos val="r"/>
      <c:layout>
        <c:manualLayout>
          <c:xMode val="edge"/>
          <c:yMode val="edge"/>
          <c:x val="0.77752389896217333"/>
          <c:y val="0.24363636363636443"/>
          <c:w val="0.21100941510751534"/>
          <c:h val="0.74545454545454515"/>
        </c:manualLayout>
      </c:layout>
      <c:txPr>
        <a:bodyPr/>
        <a:lstStyle/>
        <a:p>
          <a:pPr>
            <a:defRPr lang="en-GB"/>
          </a:pPr>
          <a:endParaRPr lang="en-US"/>
        </a:p>
      </c:txPr>
    </c:legend>
    <c:plotVisOnly val="1"/>
    <c:dispBlanksAs val="gap"/>
  </c:chart>
  <c:spPr>
    <a:solidFill>
      <a:srgbClr val="FFFFFF"/>
    </a:solidFill>
    <a:ln w="9525">
      <a:noFill/>
    </a:ln>
  </c:spPr>
  <c:printSettings>
    <c:headerFooter/>
    <c:pageMargins b="0.98425196899999956" l="0.78740157499999996" r="0.78740157499999996" t="0.98425196899999956" header="0.49212598450000172" footer="0.4921259845000017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800" b="1" i="0" u="none" strike="noStrike" baseline="0">
                <a:solidFill>
                  <a:srgbClr val="000000"/>
                </a:solidFill>
                <a:latin typeface="Calibri"/>
              </a:rPr>
              <a:t>Child benefit (and its components) as a percentage of general government expenditure</a:t>
            </a:r>
          </a:p>
          <a:p>
            <a:pPr>
              <a:defRPr lang="en-GB" sz="1000" b="0" i="0" u="none" strike="noStrike" baseline="0">
                <a:solidFill>
                  <a:srgbClr val="000000"/>
                </a:solidFill>
                <a:latin typeface="Calibri"/>
                <a:ea typeface="Calibri"/>
                <a:cs typeface="Calibri"/>
              </a:defRPr>
            </a:pPr>
            <a:r>
              <a:rPr lang="fr-FR" sz="800" b="1" i="0" u="none" strike="noStrike" baseline="0">
                <a:solidFill>
                  <a:srgbClr val="000000"/>
                </a:solidFill>
                <a:latin typeface="Calibri"/>
              </a:rPr>
              <a:t>Scenario 2b Targeted for poor children aged 0 to 15 limited to 2 children per HH </a:t>
            </a:r>
            <a:r>
              <a:rPr lang="fr-FR" sz="800" b="0" i="0" u="none" strike="noStrike" baseline="0">
                <a:solidFill>
                  <a:srgbClr val="000000"/>
                </a:solidFill>
                <a:latin typeface="Calibri"/>
              </a:rPr>
              <a:t>(based on children poverty rate)</a:t>
            </a:r>
          </a:p>
        </c:rich>
      </c:tx>
      <c:layout>
        <c:manualLayout>
          <c:xMode val="edge"/>
          <c:yMode val="edge"/>
          <c:x val="9.8434320395090258E-2"/>
          <c:y val="1.8116068824730241E-2"/>
        </c:manualLayout>
      </c:layout>
      <c:overlay val="1"/>
      <c:spPr>
        <a:noFill/>
        <a:ln w="25400">
          <a:noFill/>
        </a:ln>
      </c:spPr>
    </c:title>
    <c:plotArea>
      <c:layout>
        <c:manualLayout>
          <c:layoutTarget val="inner"/>
          <c:xMode val="edge"/>
          <c:yMode val="edge"/>
          <c:x val="0.17800194371169611"/>
          <c:y val="0.25926011172963931"/>
          <c:w val="0.58018551207547464"/>
          <c:h val="0.52525425233537615"/>
        </c:manualLayout>
      </c:layout>
      <c:barChart>
        <c:barDir val="col"/>
        <c:grouping val="stacked"/>
        <c:ser>
          <c:idx val="0"/>
          <c:order val="0"/>
          <c:tx>
            <c:strRef>
              <c:f>'CHILD (Holistic benefit)'!$A$255</c:f>
              <c:strCache>
                <c:ptCount val="1"/>
                <c:pt idx="0">
                  <c:v>Child allowance</c:v>
                </c:pt>
              </c:strCache>
            </c:strRef>
          </c:tx>
          <c:spPr>
            <a:solidFill>
              <a:schemeClr val="accent1"/>
            </a:solidFill>
          </c:spPr>
          <c:cat>
            <c:numRef>
              <c:f>'CHILD (Holistic benefit)'!$B$254:$L$254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benefit)'!$B$255:$L$255</c:f>
              <c:numCache>
                <c:formatCode>0.00</c:formatCode>
                <c:ptCount val="11"/>
                <c:pt idx="0">
                  <c:v>0</c:v>
                </c:pt>
                <c:pt idx="1">
                  <c:v>0.22584505868159227</c:v>
                </c:pt>
                <c:pt idx="2">
                  <c:v>0.47885525091440329</c:v>
                </c:pt>
                <c:pt idx="3">
                  <c:v>0.55894655271104843</c:v>
                </c:pt>
                <c:pt idx="4">
                  <c:v>0.62965449027119935</c:v>
                </c:pt>
                <c:pt idx="5">
                  <c:v>0.79485022204169931</c:v>
                </c:pt>
                <c:pt idx="6">
                  <c:v>0.95011828175008761</c:v>
                </c:pt>
                <c:pt idx="7">
                  <c:v>0.91241180244619369</c:v>
                </c:pt>
                <c:pt idx="8">
                  <c:v>0.8825006460457131</c:v>
                </c:pt>
                <c:pt idx="9">
                  <c:v>0.8572663484734554</c:v>
                </c:pt>
                <c:pt idx="10">
                  <c:v>0.83654522535260845</c:v>
                </c:pt>
              </c:numCache>
            </c:numRef>
          </c:val>
        </c:ser>
        <c:ser>
          <c:idx val="1"/>
          <c:order val="1"/>
          <c:tx>
            <c:strRef>
              <c:f>'CHILD (Holistic benefit)'!$A$256</c:f>
              <c:strCache>
                <c:ptCount val="1"/>
                <c:pt idx="0">
                  <c:v>Staff cost</c:v>
                </c:pt>
              </c:strCache>
            </c:strRef>
          </c:tx>
          <c:cat>
            <c:numRef>
              <c:f>'CHILD (Holistic benefit)'!$B$254:$L$254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benefit)'!$B$256:$L$256</c:f>
              <c:numCache>
                <c:formatCode>0.00</c:formatCode>
                <c:ptCount val="11"/>
                <c:pt idx="0">
                  <c:v>0</c:v>
                </c:pt>
                <c:pt idx="1">
                  <c:v>5.1785000056274594E-2</c:v>
                </c:pt>
                <c:pt idx="2">
                  <c:v>9.4269921862803613E-2</c:v>
                </c:pt>
                <c:pt idx="3">
                  <c:v>0.10854632061154297</c:v>
                </c:pt>
                <c:pt idx="4">
                  <c:v>0.12066592898155859</c:v>
                </c:pt>
                <c:pt idx="5">
                  <c:v>0.15037338275935569</c:v>
                </c:pt>
                <c:pt idx="6">
                  <c:v>0.17752138337537438</c:v>
                </c:pt>
                <c:pt idx="7">
                  <c:v>0.16843503863449097</c:v>
                </c:pt>
                <c:pt idx="8">
                  <c:v>0.16101196060105882</c:v>
                </c:pt>
                <c:pt idx="9">
                  <c:v>0.15460563340173034</c:v>
                </c:pt>
                <c:pt idx="10">
                  <c:v>0.14913569408597738</c:v>
                </c:pt>
              </c:numCache>
            </c:numRef>
          </c:val>
        </c:ser>
        <c:ser>
          <c:idx val="2"/>
          <c:order val="2"/>
          <c:tx>
            <c:strRef>
              <c:f>'CHILD (Holistic benefit)'!$A$257</c:f>
              <c:strCache>
                <c:ptCount val="1"/>
                <c:pt idx="0">
                  <c:v>Non-staff cost</c:v>
                </c:pt>
              </c:strCache>
            </c:strRef>
          </c:tx>
          <c:cat>
            <c:numRef>
              <c:f>'CHILD (Holistic benefit)'!$B$254:$L$254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benefit)'!$B$257:$L$257</c:f>
              <c:numCache>
                <c:formatCode>0.00</c:formatCode>
                <c:ptCount val="11"/>
                <c:pt idx="0">
                  <c:v>0</c:v>
                </c:pt>
                <c:pt idx="1">
                  <c:v>2.5892500028137297E-2</c:v>
                </c:pt>
                <c:pt idx="2">
                  <c:v>4.7134960931401806E-2</c:v>
                </c:pt>
                <c:pt idx="3">
                  <c:v>5.4273160305771485E-2</c:v>
                </c:pt>
                <c:pt idx="4">
                  <c:v>6.0332964490779295E-2</c:v>
                </c:pt>
                <c:pt idx="5">
                  <c:v>7.5186691379677845E-2</c:v>
                </c:pt>
                <c:pt idx="6">
                  <c:v>8.8760691687687188E-2</c:v>
                </c:pt>
                <c:pt idx="7">
                  <c:v>8.4217519317245484E-2</c:v>
                </c:pt>
                <c:pt idx="8">
                  <c:v>8.0505980300529412E-2</c:v>
                </c:pt>
                <c:pt idx="9">
                  <c:v>7.7302816700865168E-2</c:v>
                </c:pt>
                <c:pt idx="10">
                  <c:v>7.4567847042988689E-2</c:v>
                </c:pt>
              </c:numCache>
            </c:numRef>
          </c:val>
        </c:ser>
        <c:ser>
          <c:idx val="3"/>
          <c:order val="3"/>
          <c:tx>
            <c:strRef>
              <c:f>'CHILD (Holistic benefit)'!$A$258</c:f>
              <c:strCache>
                <c:ptCount val="1"/>
                <c:pt idx="0">
                  <c:v>Meals</c:v>
                </c:pt>
              </c:strCache>
            </c:strRef>
          </c:tx>
          <c:cat>
            <c:numRef>
              <c:f>'CHILD (Holistic benefit)'!$B$254:$L$254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benefit)'!$B$258:$L$258</c:f>
              <c:numCache>
                <c:formatCode>0.00</c:formatCode>
                <c:ptCount val="11"/>
                <c:pt idx="0">
                  <c:v>0</c:v>
                </c:pt>
                <c:pt idx="1">
                  <c:v>0.10107272310384094</c:v>
                </c:pt>
                <c:pt idx="2">
                  <c:v>0.18044490755740974</c:v>
                </c:pt>
                <c:pt idx="3">
                  <c:v>0.20183999366219277</c:v>
                </c:pt>
                <c:pt idx="4">
                  <c:v>0.21629898345639206</c:v>
                </c:pt>
                <c:pt idx="5">
                  <c:v>0.2584825895674342</c:v>
                </c:pt>
                <c:pt idx="6">
                  <c:v>0.29085711553867877</c:v>
                </c:pt>
                <c:pt idx="7">
                  <c:v>0.26205088472503579</c:v>
                </c:pt>
                <c:pt idx="8">
                  <c:v>0.2369350381042534</c:v>
                </c:pt>
                <c:pt idx="9">
                  <c:v>0.21431057426638478</c:v>
                </c:pt>
                <c:pt idx="10">
                  <c:v>0.19391371613300878</c:v>
                </c:pt>
              </c:numCache>
            </c:numRef>
          </c:val>
        </c:ser>
        <c:gapWidth val="29"/>
        <c:overlap val="100"/>
        <c:axId val="137040640"/>
        <c:axId val="137042176"/>
      </c:barChart>
      <c:catAx>
        <c:axId val="137040640"/>
        <c:scaling>
          <c:orientation val="minMax"/>
        </c:scaling>
        <c:axPos val="b"/>
        <c:numFmt formatCode="0" sourceLinked="1"/>
        <c:tickLblPos val="nextTo"/>
        <c:spPr>
          <a:ln>
            <a:noFill/>
          </a:ln>
        </c:spPr>
        <c:txPr>
          <a:bodyPr rot="-5400000" vert="horz"/>
          <a:lstStyle/>
          <a:p>
            <a:pPr>
              <a:defRPr lang="en-GB"/>
            </a:pPr>
            <a:endParaRPr lang="en-US"/>
          </a:p>
        </c:txPr>
        <c:crossAx val="137042176"/>
        <c:crosses val="autoZero"/>
        <c:auto val="1"/>
        <c:lblAlgn val="ctr"/>
        <c:lblOffset val="100"/>
      </c:catAx>
      <c:valAx>
        <c:axId val="137042176"/>
        <c:scaling>
          <c:orientation val="minMax"/>
        </c:scaling>
        <c:axPos val="l"/>
        <c:majorGridlines/>
        <c:title>
          <c:tx>
            <c:rich>
              <a:bodyPr/>
              <a:lstStyle/>
              <a:p>
                <a:pPr>
                  <a:defRPr lang="en-GB" sz="800" b="1" i="0" u="none" strike="noStrike" baseline="0">
                    <a:solidFill>
                      <a:srgbClr val="000000"/>
                    </a:solidFill>
                    <a:latin typeface="Calibri"/>
                    <a:ea typeface="Calibri"/>
                    <a:cs typeface="Calibri"/>
                  </a:defRPr>
                </a:pPr>
                <a:r>
                  <a:rPr lang="en-GB"/>
                  <a:t>Total child benefit cost as percentage of General government expenditure</a:t>
                </a:r>
              </a:p>
            </c:rich>
          </c:tx>
          <c:layout>
            <c:manualLayout>
              <c:xMode val="edge"/>
              <c:yMode val="edge"/>
              <c:x val="1.1185730247195255E-2"/>
              <c:y val="0.23550783424799254"/>
            </c:manualLayout>
          </c:layout>
          <c:spPr>
            <a:noFill/>
            <a:ln w="25400">
              <a:noFill/>
            </a:ln>
          </c:spPr>
        </c:title>
        <c:numFmt formatCode="0.0" sourceLinked="0"/>
        <c:tickLblPos val="nextTo"/>
        <c:spPr>
          <a:ln>
            <a:noFill/>
          </a:ln>
        </c:spPr>
        <c:txPr>
          <a:bodyPr/>
          <a:lstStyle/>
          <a:p>
            <a:pPr>
              <a:defRPr lang="en-GB"/>
            </a:pPr>
            <a:endParaRPr lang="en-US"/>
          </a:p>
        </c:txPr>
        <c:crossAx val="137040640"/>
        <c:crosses val="autoZero"/>
        <c:crossBetween val="between"/>
      </c:valAx>
    </c:plotArea>
    <c:legend>
      <c:legendPos val="r"/>
      <c:layout>
        <c:manualLayout>
          <c:xMode val="edge"/>
          <c:yMode val="edge"/>
          <c:x val="0.75818745578717062"/>
          <c:y val="0.2121219191035458"/>
          <c:w val="0.23173829971505441"/>
          <c:h val="0.69023781118269323"/>
        </c:manualLayout>
      </c:layout>
      <c:txPr>
        <a:bodyPr/>
        <a:lstStyle/>
        <a:p>
          <a:pPr>
            <a:defRPr lang="en-GB"/>
          </a:pPr>
          <a:endParaRPr lang="en-US"/>
        </a:p>
      </c:txPr>
    </c:legend>
    <c:plotVisOnly val="1"/>
    <c:dispBlanksAs val="gap"/>
  </c:chart>
  <c:spPr>
    <a:solidFill>
      <a:srgbClr val="FFFFFF"/>
    </a:solidFill>
    <a:ln w="9525">
      <a:noFill/>
    </a:ln>
  </c:spPr>
  <c:printSettings>
    <c:headerFooter/>
    <c:pageMargins b="0.98425196899999956" l="0.78740157499999996" r="0.78740157499999996" t="0.98425196899999956" header="0.49212598450000172" footer="0.4921259845000017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1" i="0" u="none" strike="noStrike" baseline="0">
                <a:solidFill>
                  <a:srgbClr val="000000"/>
                </a:solidFill>
                <a:latin typeface="Calibri"/>
                <a:ea typeface="Calibri"/>
                <a:cs typeface="Calibri"/>
              </a:defRPr>
            </a:pPr>
            <a:r>
              <a:t>Total additional costs to fill the gaps toward the  SPF components 
as a percentage of GDP</a:t>
            </a:r>
          </a:p>
        </c:rich>
      </c:tx>
      <c:layout>
        <c:manualLayout>
          <c:xMode val="edge"/>
          <c:yMode val="edge"/>
          <c:x val="0.12025338604826299"/>
          <c:y val="1.4492753623188409E-2"/>
        </c:manualLayout>
      </c:layout>
      <c:overlay val="1"/>
      <c:spPr>
        <a:noFill/>
        <a:ln w="25400">
          <a:noFill/>
        </a:ln>
      </c:spPr>
    </c:title>
    <c:plotArea>
      <c:layout>
        <c:manualLayout>
          <c:layoutTarget val="inner"/>
          <c:xMode val="edge"/>
          <c:yMode val="edge"/>
          <c:x val="0.1116113219660493"/>
          <c:y val="0.13043515182051579"/>
          <c:w val="0.60990925055231493"/>
          <c:h val="0.70050107372942061"/>
        </c:manualLayout>
      </c:layout>
      <c:barChart>
        <c:barDir val="col"/>
        <c:grouping val="stacked"/>
        <c:ser>
          <c:idx val="2"/>
          <c:order val="0"/>
          <c:tx>
            <c:strRef>
              <c:f>'GGO(SQ) (SQ and Post SPF)'!$B$417</c:f>
              <c:strCache>
                <c:ptCount val="1"/>
                <c:pt idx="0">
                  <c:v>Scenario 2. Old-age universal pension (65+ as an objective in 2020)</c:v>
                </c:pt>
              </c:strCache>
            </c:strRef>
          </c:tx>
          <c:spPr>
            <a:solidFill>
              <a:schemeClr val="accent1">
                <a:lumMod val="75000"/>
              </a:schemeClr>
            </a:solidFill>
          </c:spPr>
          <c:dLbls>
            <c:dLbl>
              <c:idx val="0"/>
              <c:delete val="1"/>
            </c:dLbl>
            <c:spPr>
              <a:noFill/>
              <a:ln w="25400">
                <a:noFill/>
              </a:ln>
            </c:spPr>
            <c:txPr>
              <a:bodyPr rot="0" vert="horz"/>
              <a:lstStyle/>
              <a:p>
                <a:pPr algn="ctr">
                  <a:defRPr lang="en-GB" sz="1000" b="1" i="0" u="none" strike="noStrike" baseline="0">
                    <a:solidFill>
                      <a:schemeClr val="bg1"/>
                    </a:solidFill>
                    <a:latin typeface="Calibri"/>
                    <a:ea typeface="Calibri"/>
                    <a:cs typeface="Calibri"/>
                  </a:defRPr>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SPF)'!$H$417:$R$417</c:f>
              <c:numCache>
                <c:formatCode>0.00</c:formatCode>
                <c:ptCount val="11"/>
                <c:pt idx="0">
                  <c:v>0</c:v>
                </c:pt>
                <c:pt idx="1">
                  <c:v>9.8761085462372805E-2</c:v>
                </c:pt>
                <c:pt idx="2">
                  <c:v>0.23102173281882363</c:v>
                </c:pt>
                <c:pt idx="3">
                  <c:v>0.29001509507730305</c:v>
                </c:pt>
                <c:pt idx="4">
                  <c:v>0.34484086873381609</c:v>
                </c:pt>
                <c:pt idx="5">
                  <c:v>0.3988210229028365</c:v>
                </c:pt>
                <c:pt idx="6">
                  <c:v>0.46914078369009687</c:v>
                </c:pt>
                <c:pt idx="7">
                  <c:v>0.51119079212710039</c:v>
                </c:pt>
                <c:pt idx="8">
                  <c:v>0.56402756459667358</c:v>
                </c:pt>
                <c:pt idx="9">
                  <c:v>0.64109530194321152</c:v>
                </c:pt>
                <c:pt idx="10">
                  <c:v>0.75516828554998416</c:v>
                </c:pt>
              </c:numCache>
            </c:numRef>
          </c:val>
        </c:ser>
        <c:ser>
          <c:idx val="3"/>
          <c:order val="1"/>
          <c:tx>
            <c:strRef>
              <c:f>'GGO(SQ) (SQ and Post SPF)'!$B$419</c:f>
              <c:strCache>
                <c:ptCount val="1"/>
                <c:pt idx="0">
                  <c:v>Scenario 2a. Child benefit (targeted for all poor children cash and kind )</c:v>
                </c:pt>
              </c:strCache>
            </c:strRef>
          </c:tx>
          <c:spPr>
            <a:solidFill>
              <a:schemeClr val="tx2">
                <a:lumMod val="40000"/>
                <a:lumOff val="60000"/>
              </a:schemeClr>
            </a:solidFill>
          </c:spPr>
          <c:dLbls>
            <c:dLbl>
              <c:idx val="0"/>
              <c:delete val="1"/>
            </c:dLbl>
            <c:dLbl>
              <c:idx val="1"/>
              <c:numFmt formatCode="#,##0.00" sourceLinked="0"/>
              <c:spPr>
                <a:noFill/>
                <a:ln w="25400">
                  <a:noFill/>
                </a:ln>
              </c:spPr>
              <c:txPr>
                <a:bodyPr rot="0" vert="horz"/>
                <a:lstStyle/>
                <a:p>
                  <a:pPr algn="ctr">
                    <a:defRPr lang="en-GB" sz="800" b="1" i="0" u="none" strike="noStrike" baseline="0">
                      <a:solidFill>
                        <a:srgbClr val="000000"/>
                      </a:solidFill>
                      <a:latin typeface="Calibri"/>
                      <a:ea typeface="Calibri"/>
                      <a:cs typeface="Calibri"/>
                    </a:defRPr>
                  </a:pPr>
                  <a:endParaRPr lang="en-US"/>
                </a:p>
              </c:txPr>
            </c:dLbl>
            <c:numFmt formatCode="#,##0.00" sourceLinked="0"/>
            <c:spPr>
              <a:noFill/>
              <a:ln w="25400">
                <a:noFill/>
              </a:ln>
            </c:spPr>
            <c:txPr>
              <a:bodyPr rot="0" vert="horz"/>
              <a:lstStyle/>
              <a:p>
                <a:pPr algn="ctr">
                  <a:defRPr lang="en-GB" sz="1000" b="1" i="0" u="none" strike="noStrike" baseline="0">
                    <a:solidFill>
                      <a:srgbClr val="000000"/>
                    </a:solidFill>
                    <a:latin typeface="Calibri"/>
                    <a:ea typeface="Calibri"/>
                    <a:cs typeface="Calibri"/>
                  </a:defRPr>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SPF)'!$H$419:$R$419</c:f>
              <c:numCache>
                <c:formatCode>0.00</c:formatCode>
                <c:ptCount val="11"/>
                <c:pt idx="0">
                  <c:v>0</c:v>
                </c:pt>
                <c:pt idx="1">
                  <c:v>0.23656098230020256</c:v>
                </c:pt>
                <c:pt idx="2">
                  <c:v>0.47317831008327843</c:v>
                </c:pt>
                <c:pt idx="3">
                  <c:v>0.54195122982304422</c:v>
                </c:pt>
                <c:pt idx="4">
                  <c:v>0.59958036507729495</c:v>
                </c:pt>
                <c:pt idx="5">
                  <c:v>0.74269096813190094</c:v>
                </c:pt>
                <c:pt idx="6">
                  <c:v>0.86914323447464259</c:v>
                </c:pt>
                <c:pt idx="7">
                  <c:v>0.8189414057595944</c:v>
                </c:pt>
                <c:pt idx="8">
                  <c:v>0.7752964958610058</c:v>
                </c:pt>
                <c:pt idx="9">
                  <c:v>0.73730811594077217</c:v>
                </c:pt>
                <c:pt idx="10">
                  <c:v>0.70443414467270338</c:v>
                </c:pt>
              </c:numCache>
            </c:numRef>
          </c:val>
        </c:ser>
        <c:ser>
          <c:idx val="1"/>
          <c:order val="2"/>
          <c:tx>
            <c:strRef>
              <c:f>'GGO(SQ) (SQ and Post SPF)'!$B$421</c:f>
              <c:strCache>
                <c:ptCount val="1"/>
                <c:pt idx="0">
                  <c:v>3. Working-age income security (scenario 1 - high cost )</c:v>
                </c:pt>
              </c:strCache>
            </c:strRef>
          </c:tx>
          <c:spPr>
            <a:solidFill>
              <a:schemeClr val="bg1">
                <a:lumMod val="75000"/>
              </a:schemeClr>
            </a:solidFill>
            <a:ln w="25400">
              <a:noFill/>
            </a:ln>
          </c:spPr>
          <c:dLbls>
            <c:dLbl>
              <c:idx val="0"/>
              <c:delete val="1"/>
            </c:dLbl>
            <c:dLbl>
              <c:idx val="1"/>
              <c:spPr>
                <a:noFill/>
                <a:ln w="25400">
                  <a:noFill/>
                </a:ln>
              </c:spPr>
              <c:txPr>
                <a:bodyPr rot="0" vert="horz"/>
                <a:lstStyle/>
                <a:p>
                  <a:pPr algn="ctr">
                    <a:defRPr lang="en-GB" sz="900" b="1" i="0" u="none" strike="noStrike" baseline="0">
                      <a:solidFill>
                        <a:sysClr val="windowText" lastClr="000000"/>
                      </a:solidFill>
                      <a:latin typeface="Calibri"/>
                      <a:ea typeface="Calibri"/>
                      <a:cs typeface="Calibri"/>
                    </a:defRPr>
                  </a:pPr>
                  <a:endParaRPr lang="en-US"/>
                </a:p>
              </c:txPr>
            </c:dLbl>
            <c:spPr>
              <a:noFill/>
              <a:ln w="25400">
                <a:noFill/>
              </a:ln>
            </c:spPr>
            <c:txPr>
              <a:bodyPr rot="0" vert="horz"/>
              <a:lstStyle/>
              <a:p>
                <a:pPr algn="ctr">
                  <a:defRPr lang="en-GB" sz="1000" b="1" i="0" u="none" strike="noStrike" baseline="0">
                    <a:solidFill>
                      <a:sysClr val="windowText" lastClr="000000"/>
                    </a:solidFill>
                    <a:latin typeface="Calibri"/>
                    <a:ea typeface="Calibri"/>
                    <a:cs typeface="Calibri"/>
                  </a:defRPr>
                </a:pPr>
                <a:endParaRPr lang="en-US"/>
              </a:p>
            </c:txPr>
            <c:dLblPos val="ct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SPF)'!$H$421:$R$421</c:f>
              <c:numCache>
                <c:formatCode>0.00</c:formatCode>
                <c:ptCount val="11"/>
                <c:pt idx="0">
                  <c:v>0</c:v>
                </c:pt>
                <c:pt idx="1">
                  <c:v>0.42390700550183824</c:v>
                </c:pt>
                <c:pt idx="2">
                  <c:v>0.86247284695467963</c:v>
                </c:pt>
                <c:pt idx="3">
                  <c:v>1.0048534111917509</c:v>
                </c:pt>
                <c:pt idx="4">
                  <c:v>1.1379858403547509</c:v>
                </c:pt>
                <c:pt idx="5">
                  <c:v>1.1024998034793749</c:v>
                </c:pt>
                <c:pt idx="6">
                  <c:v>1.0766767531565709</c:v>
                </c:pt>
                <c:pt idx="7">
                  <c:v>1.0539955292479177</c:v>
                </c:pt>
                <c:pt idx="8">
                  <c:v>1.0325452416827277</c:v>
                </c:pt>
                <c:pt idx="9">
                  <c:v>1.0125828141550952</c:v>
                </c:pt>
                <c:pt idx="10">
                  <c:v>0.99461641629182718</c:v>
                </c:pt>
              </c:numCache>
            </c:numRef>
          </c:val>
        </c:ser>
        <c:gapWidth val="45"/>
        <c:overlap val="100"/>
        <c:axId val="137103232"/>
        <c:axId val="137104768"/>
      </c:barChart>
      <c:catAx>
        <c:axId val="137103232"/>
        <c:scaling>
          <c:orientation val="minMax"/>
        </c:scaling>
        <c:axPos val="b"/>
        <c:numFmt formatCode="General" sourceLinked="1"/>
        <c:tickLblPos val="nextTo"/>
        <c:txPr>
          <a:bodyPr rot="-5400000" vert="horz"/>
          <a:lstStyle/>
          <a:p>
            <a:pPr>
              <a:defRPr lang="en-GB"/>
            </a:pPr>
            <a:endParaRPr lang="en-US"/>
          </a:p>
        </c:txPr>
        <c:crossAx val="137104768"/>
        <c:crosses val="autoZero"/>
        <c:auto val="1"/>
        <c:lblAlgn val="ctr"/>
        <c:lblOffset val="100"/>
      </c:catAx>
      <c:valAx>
        <c:axId val="137104768"/>
        <c:scaling>
          <c:orientation val="minMax"/>
        </c:scaling>
        <c:axPos val="l"/>
        <c:majorGridlines/>
        <c:title>
          <c:tx>
            <c:rich>
              <a:bodyPr rot="-5400000" vert="horz"/>
              <a:lstStyle/>
              <a:p>
                <a:pPr>
                  <a:defRPr lang="en-GB"/>
                </a:pPr>
                <a:r>
                  <a:rPr lang="en-US"/>
                  <a:t>Total  benefit cost as percentage of GDP</a:t>
                </a:r>
              </a:p>
            </c:rich>
          </c:tx>
          <c:layout>
            <c:manualLayout>
              <c:xMode val="edge"/>
              <c:yMode val="edge"/>
              <c:x val="1.5977496483825598E-2"/>
              <c:y val="0.11600410818212969"/>
            </c:manualLayout>
          </c:layout>
          <c:spPr>
            <a:noFill/>
            <a:ln w="25400">
              <a:noFill/>
            </a:ln>
          </c:spPr>
        </c:title>
        <c:numFmt formatCode="0.0" sourceLinked="0"/>
        <c:tickLblPos val="nextTo"/>
        <c:spPr>
          <a:ln>
            <a:noFill/>
          </a:ln>
        </c:spPr>
        <c:txPr>
          <a:bodyPr/>
          <a:lstStyle/>
          <a:p>
            <a:pPr>
              <a:defRPr lang="en-GB"/>
            </a:pPr>
            <a:endParaRPr lang="en-US"/>
          </a:p>
        </c:txPr>
        <c:crossAx val="137103232"/>
        <c:crosses val="autoZero"/>
        <c:crossBetween val="between"/>
      </c:valAx>
    </c:plotArea>
    <c:legend>
      <c:legendPos val="r"/>
      <c:layout>
        <c:manualLayout>
          <c:xMode val="edge"/>
          <c:yMode val="edge"/>
          <c:x val="0.74050787955303277"/>
          <c:y val="0.11304378257065724"/>
          <c:w val="0.2510552953032763"/>
          <c:h val="0.71897066585685054"/>
        </c:manualLayout>
      </c:layout>
      <c:txPr>
        <a:bodyPr/>
        <a:lstStyle/>
        <a:p>
          <a:pPr>
            <a:defRPr lang="en-GB" sz="1100"/>
          </a:pPr>
          <a:endParaRPr lang="en-US"/>
        </a:p>
      </c:txPr>
    </c:legend>
    <c:plotVisOnly val="1"/>
    <c:dispBlanksAs val="gap"/>
  </c:chart>
  <c:spPr>
    <a:solidFill>
      <a:srgbClr val="FFFFFF"/>
    </a:solidFill>
    <a:ln w="9525">
      <a:noFill/>
    </a:ln>
  </c:spPr>
  <c:printSettings>
    <c:headerFooter/>
    <c:pageMargins b="0.98425196899999956" l="0.78740157499999996" r="0.78740157499999996" t="0.98425196899999956" header="0.49212598450000122" footer="0.4921259845000012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800" b="1" i="0" u="none" strike="noStrike" baseline="0">
                <a:solidFill>
                  <a:srgbClr val="000000"/>
                </a:solidFill>
                <a:latin typeface="Calibri"/>
                <a:ea typeface="Calibri"/>
                <a:cs typeface="Calibri"/>
              </a:defRPr>
            </a:pPr>
            <a:r>
              <a:t>Total additional costs to fill the gaps toward the  SPF components 
as a percentage of  general government expenditure</a:t>
            </a:r>
          </a:p>
        </c:rich>
      </c:tx>
      <c:overlay val="1"/>
      <c:spPr>
        <a:noFill/>
        <a:ln w="25400">
          <a:noFill/>
        </a:ln>
      </c:spPr>
    </c:title>
    <c:plotArea>
      <c:layout>
        <c:manualLayout>
          <c:layoutTarget val="inner"/>
          <c:xMode val="edge"/>
          <c:yMode val="edge"/>
          <c:x val="0.15853690004307244"/>
          <c:y val="0.13496932515337495"/>
          <c:w val="0.54471652835311934"/>
          <c:h val="0.65644171779141414"/>
        </c:manualLayout>
      </c:layout>
      <c:barChart>
        <c:barDir val="col"/>
        <c:grouping val="stacked"/>
        <c:ser>
          <c:idx val="2"/>
          <c:order val="0"/>
          <c:tx>
            <c:strRef>
              <c:f>'GGO(SQ) (SQ and Post SPF)'!$B$440</c:f>
              <c:strCache>
                <c:ptCount val="1"/>
                <c:pt idx="0">
                  <c:v>1b. Old-age universal pension (65+ as an objective in 2020)</c:v>
                </c:pt>
              </c:strCache>
            </c:strRef>
          </c:tx>
          <c:dLbls>
            <c:dLbl>
              <c:idx val="0"/>
              <c:delete val="1"/>
            </c:dLbl>
            <c:spPr>
              <a:noFill/>
              <a:ln w="25400">
                <a:noFill/>
              </a:ln>
            </c:spPr>
            <c:txPr>
              <a:bodyPr rot="-5400000" vert="horz"/>
              <a:lstStyle/>
              <a:p>
                <a:pPr>
                  <a:defRPr lang="en-GB"/>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SPF)'!$H$440:$R$440</c:f>
              <c:numCache>
                <c:formatCode>0.00</c:formatCode>
                <c:ptCount val="11"/>
                <c:pt idx="0">
                  <c:v>0</c:v>
                </c:pt>
                <c:pt idx="1">
                  <c:v>0.31132789871871491</c:v>
                </c:pt>
                <c:pt idx="2">
                  <c:v>0.72524281168247784</c:v>
                </c:pt>
                <c:pt idx="3">
                  <c:v>0.91509823826438896</c:v>
                </c:pt>
                <c:pt idx="4">
                  <c:v>1.0912218666103004</c:v>
                </c:pt>
                <c:pt idx="5">
                  <c:v>1.2659825378481531</c:v>
                </c:pt>
                <c:pt idx="6">
                  <c:v>1.49628385944236</c:v>
                </c:pt>
                <c:pt idx="7">
                  <c:v>1.6344720075093091</c:v>
                </c:pt>
                <c:pt idx="8">
                  <c:v>1.8122797950112064</c:v>
                </c:pt>
                <c:pt idx="9">
                  <c:v>2.0695915352798795</c:v>
                </c:pt>
                <c:pt idx="10">
                  <c:v>2.4491624334452364</c:v>
                </c:pt>
              </c:numCache>
            </c:numRef>
          </c:val>
        </c:ser>
        <c:ser>
          <c:idx val="3"/>
          <c:order val="1"/>
          <c:tx>
            <c:strRef>
              <c:f>'GGO(SQ) (SQ and Post SPF)'!$B$442</c:f>
              <c:strCache>
                <c:ptCount val="1"/>
                <c:pt idx="0">
                  <c:v>2.b Child benefit (scenario 2b- targeted for all poor children cash and kind )</c:v>
                </c:pt>
              </c:strCache>
            </c:strRef>
          </c:tx>
          <c:dLbls>
            <c:dLbl>
              <c:idx val="0"/>
              <c:delete val="1"/>
            </c:dLbl>
            <c:spPr>
              <a:noFill/>
              <a:ln w="25400">
                <a:noFill/>
              </a:ln>
            </c:spPr>
            <c:txPr>
              <a:bodyPr rot="-5400000" vert="horz"/>
              <a:lstStyle/>
              <a:p>
                <a:pPr>
                  <a:defRPr lang="en-GB"/>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SPF)'!$H$442:$R$442</c:f>
              <c:numCache>
                <c:formatCode>0.00</c:formatCode>
                <c:ptCount val="11"/>
                <c:pt idx="0">
                  <c:v>0</c:v>
                </c:pt>
                <c:pt idx="1">
                  <c:v>0.74571915844744829</c:v>
                </c:pt>
                <c:pt idx="2">
                  <c:v>1.4854410615173035</c:v>
                </c:pt>
                <c:pt idx="3">
                  <c:v>1.7100441461645128</c:v>
                </c:pt>
                <c:pt idx="4">
                  <c:v>1.8973250112867821</c:v>
                </c:pt>
                <c:pt idx="5">
                  <c:v>2.3575331857608517</c:v>
                </c:pt>
                <c:pt idx="6">
                  <c:v>2.7720569997320954</c:v>
                </c:pt>
                <c:pt idx="7">
                  <c:v>2.618468141678834</c:v>
                </c:pt>
                <c:pt idx="8">
                  <c:v>2.4911090570486931</c:v>
                </c:pt>
                <c:pt idx="9">
                  <c:v>2.3801868942401723</c:v>
                </c:pt>
                <c:pt idx="10">
                  <c:v>2.2846214241002007</c:v>
                </c:pt>
              </c:numCache>
            </c:numRef>
          </c:val>
        </c:ser>
        <c:ser>
          <c:idx val="1"/>
          <c:order val="2"/>
          <c:tx>
            <c:strRef>
              <c:f>'GGO(SQ) (SQ and Post SPF)'!$B$444</c:f>
              <c:strCache>
                <c:ptCount val="1"/>
                <c:pt idx="0">
                  <c:v>3. Working-age income security (scenario 1 - high cost )</c:v>
                </c:pt>
              </c:strCache>
            </c:strRef>
          </c:tx>
          <c:spPr>
            <a:solidFill>
              <a:srgbClr val="993300"/>
            </a:solidFill>
            <a:ln w="25400">
              <a:noFill/>
            </a:ln>
          </c:spPr>
          <c:dLbls>
            <c:dLbl>
              <c:idx val="0"/>
              <c:delete val="1"/>
            </c:dLbl>
            <c:spPr>
              <a:noFill/>
              <a:ln w="25400">
                <a:noFill/>
              </a:ln>
            </c:spPr>
            <c:txPr>
              <a:bodyPr rot="-5400000" vert="horz"/>
              <a:lstStyle/>
              <a:p>
                <a:pPr algn="ctr">
                  <a:defRPr lang="en-GB" sz="800" b="1" i="0" u="none" strike="noStrike" baseline="0">
                    <a:solidFill>
                      <a:srgbClr val="FFFFFF"/>
                    </a:solidFill>
                    <a:latin typeface="Calibri"/>
                    <a:ea typeface="Calibri"/>
                    <a:cs typeface="Calibri"/>
                  </a:defRPr>
                </a:pPr>
                <a:endParaRPr lang="en-US"/>
              </a:p>
            </c:txPr>
            <c:dLblPos val="ct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SPF)'!$H$444:$R$444</c:f>
              <c:numCache>
                <c:formatCode>0.00</c:formatCode>
                <c:ptCount val="11"/>
                <c:pt idx="0">
                  <c:v>0</c:v>
                </c:pt>
                <c:pt idx="1">
                  <c:v>1.3362963424021006</c:v>
                </c:pt>
                <c:pt idx="2">
                  <c:v>2.7075471423969746</c:v>
                </c:pt>
                <c:pt idx="3">
                  <c:v>3.1706611204166157</c:v>
                </c:pt>
                <c:pt idx="4">
                  <c:v>3.6010668846984872</c:v>
                </c:pt>
                <c:pt idx="5">
                  <c:v>3.4996788509966534</c:v>
                </c:pt>
                <c:pt idx="6">
                  <c:v>3.4339671663446332</c:v>
                </c:pt>
                <c:pt idx="7">
                  <c:v>3.3700258594786061</c:v>
                </c:pt>
                <c:pt idx="8">
                  <c:v>3.3176762917157721</c:v>
                </c:pt>
                <c:pt idx="9">
                  <c:v>3.2688319733325653</c:v>
                </c:pt>
                <c:pt idx="10">
                  <c:v>3.2257408170892203</c:v>
                </c:pt>
              </c:numCache>
            </c:numRef>
          </c:val>
        </c:ser>
        <c:gapWidth val="45"/>
        <c:overlap val="100"/>
        <c:axId val="137144960"/>
        <c:axId val="137171328"/>
      </c:barChart>
      <c:catAx>
        <c:axId val="137144960"/>
        <c:scaling>
          <c:orientation val="minMax"/>
        </c:scaling>
        <c:axPos val="b"/>
        <c:numFmt formatCode="General" sourceLinked="1"/>
        <c:tickLblPos val="nextTo"/>
        <c:txPr>
          <a:bodyPr rot="-5400000" vert="horz"/>
          <a:lstStyle/>
          <a:p>
            <a:pPr>
              <a:defRPr lang="en-GB"/>
            </a:pPr>
            <a:endParaRPr lang="en-US"/>
          </a:p>
        </c:txPr>
        <c:crossAx val="137171328"/>
        <c:crosses val="autoZero"/>
        <c:auto val="1"/>
        <c:lblAlgn val="ctr"/>
        <c:lblOffset val="100"/>
      </c:catAx>
      <c:valAx>
        <c:axId val="137171328"/>
        <c:scaling>
          <c:orientation val="minMax"/>
        </c:scaling>
        <c:axPos val="l"/>
        <c:majorGridlines/>
        <c:title>
          <c:tx>
            <c:rich>
              <a:bodyPr rot="-5400000" vert="horz"/>
              <a:lstStyle/>
              <a:p>
                <a:pPr>
                  <a:defRPr lang="en-GB"/>
                </a:pPr>
                <a:r>
                  <a:rPr lang="en-US"/>
                  <a:t>Total child benefit cost as percentage of General government</a:t>
                </a:r>
                <a:r>
                  <a:rPr lang="en-US" baseline="0"/>
                  <a:t> expenditure</a:t>
                </a:r>
                <a:endParaRPr lang="en-US"/>
              </a:p>
            </c:rich>
          </c:tx>
          <c:layout>
            <c:manualLayout>
              <c:xMode val="edge"/>
              <c:yMode val="edge"/>
              <c:x val="1.5977423553763095E-2"/>
              <c:y val="0.11600405777498672"/>
            </c:manualLayout>
          </c:layout>
          <c:spPr>
            <a:noFill/>
            <a:ln w="25400">
              <a:noFill/>
            </a:ln>
          </c:spPr>
        </c:title>
        <c:numFmt formatCode="0.0" sourceLinked="0"/>
        <c:tickLblPos val="nextTo"/>
        <c:spPr>
          <a:ln>
            <a:noFill/>
          </a:ln>
        </c:spPr>
        <c:txPr>
          <a:bodyPr/>
          <a:lstStyle/>
          <a:p>
            <a:pPr>
              <a:defRPr lang="en-GB"/>
            </a:pPr>
            <a:endParaRPr lang="en-US"/>
          </a:p>
        </c:txPr>
        <c:crossAx val="137144960"/>
        <c:crosses val="autoZero"/>
        <c:crossBetween val="between"/>
      </c:valAx>
    </c:plotArea>
    <c:legend>
      <c:legendPos val="r"/>
      <c:legendEntry>
        <c:idx val="0"/>
        <c:txPr>
          <a:bodyPr/>
          <a:lstStyle/>
          <a:p>
            <a:pPr>
              <a:defRPr sz="825" b="0" i="0" u="none" strike="noStrike" baseline="0">
                <a:solidFill>
                  <a:srgbClr val="000000"/>
                </a:solidFill>
                <a:latin typeface="Calibri"/>
                <a:ea typeface="Calibri"/>
                <a:cs typeface="Calibri"/>
              </a:defRPr>
            </a:pPr>
            <a:endParaRPr lang="en-US"/>
          </a:p>
        </c:txPr>
      </c:legendEntry>
      <c:layout>
        <c:manualLayout>
          <c:xMode val="edge"/>
          <c:yMode val="edge"/>
          <c:x val="0.70122100591084668"/>
          <c:y val="8.8957055214724065E-2"/>
          <c:w val="0.26626058937754893"/>
          <c:h val="0.9018404907975458"/>
        </c:manualLayout>
      </c:layout>
      <c:txPr>
        <a:bodyPr/>
        <a:lstStyle/>
        <a:p>
          <a:pPr>
            <a:defRPr lang="en-GB" sz="825"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9525">
      <a:noFill/>
    </a:ln>
  </c:spPr>
  <c:printSettings>
    <c:headerFooter/>
    <c:pageMargins b="0.98425196899999956" l="0.78740157499999996" r="0.78740157499999996" t="0.98425196899999956" header="0.49212598450000122" footer="0.4921259845000012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100" b="1" i="0" u="none" strike="noStrike" baseline="0">
                <a:solidFill>
                  <a:srgbClr val="000000"/>
                </a:solidFill>
                <a:latin typeface="Calibri"/>
                <a:ea typeface="Calibri"/>
                <a:cs typeface="Calibri"/>
              </a:defRPr>
            </a:pPr>
            <a:r>
              <a:rPr sz="1100"/>
              <a:t>Total additional costs to fill the gaps toward the  SPF components 
as a percentage of GDP</a:t>
            </a:r>
          </a:p>
        </c:rich>
      </c:tx>
      <c:layout>
        <c:manualLayout>
          <c:xMode val="edge"/>
          <c:yMode val="edge"/>
          <c:x val="0.16500799787532242"/>
          <c:y val="4.0650419515530292E-3"/>
        </c:manualLayout>
      </c:layout>
      <c:overlay val="1"/>
      <c:spPr>
        <a:noFill/>
        <a:ln w="25400">
          <a:noFill/>
        </a:ln>
      </c:spPr>
    </c:title>
    <c:plotArea>
      <c:layout>
        <c:manualLayout>
          <c:layoutTarget val="inner"/>
          <c:xMode val="edge"/>
          <c:yMode val="edge"/>
          <c:x val="0.12013883880152525"/>
          <c:y val="0.1283582089552239"/>
          <c:w val="0.58638362568999758"/>
          <c:h val="0.70848207812626462"/>
        </c:manualLayout>
      </c:layout>
      <c:barChart>
        <c:barDir val="col"/>
        <c:grouping val="stacked"/>
        <c:ser>
          <c:idx val="2"/>
          <c:order val="0"/>
          <c:tx>
            <c:strRef>
              <c:f>'GGO(SQ) (SQ and Post SPF)'!$B$417</c:f>
              <c:strCache>
                <c:ptCount val="1"/>
                <c:pt idx="0">
                  <c:v>Scenario 2. Old-age universal pension (65+ as an objective in 2020)</c:v>
                </c:pt>
              </c:strCache>
            </c:strRef>
          </c:tx>
          <c:spPr>
            <a:solidFill>
              <a:schemeClr val="accent1">
                <a:lumMod val="75000"/>
              </a:schemeClr>
            </a:solidFill>
          </c:spPr>
          <c:dLbls>
            <c:dLbl>
              <c:idx val="0"/>
              <c:delete val="1"/>
            </c:dLbl>
            <c:spPr>
              <a:noFill/>
              <a:ln w="25400">
                <a:noFill/>
              </a:ln>
            </c:spPr>
            <c:txPr>
              <a:bodyPr rot="0" vert="horz"/>
              <a:lstStyle/>
              <a:p>
                <a:pPr>
                  <a:defRPr lang="en-GB" b="1">
                    <a:solidFill>
                      <a:schemeClr val="bg1"/>
                    </a:solidFill>
                  </a:defRPr>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SPF)'!$H$417:$R$417</c:f>
              <c:numCache>
                <c:formatCode>0.00</c:formatCode>
                <c:ptCount val="11"/>
                <c:pt idx="0">
                  <c:v>0</c:v>
                </c:pt>
                <c:pt idx="1">
                  <c:v>9.8761085462372805E-2</c:v>
                </c:pt>
                <c:pt idx="2">
                  <c:v>0.23102173281882363</c:v>
                </c:pt>
                <c:pt idx="3">
                  <c:v>0.29001509507730305</c:v>
                </c:pt>
                <c:pt idx="4">
                  <c:v>0.34484086873381609</c:v>
                </c:pt>
                <c:pt idx="5">
                  <c:v>0.3988210229028365</c:v>
                </c:pt>
                <c:pt idx="6">
                  <c:v>0.46914078369009687</c:v>
                </c:pt>
                <c:pt idx="7">
                  <c:v>0.51119079212710039</c:v>
                </c:pt>
                <c:pt idx="8">
                  <c:v>0.56402756459667358</c:v>
                </c:pt>
                <c:pt idx="9">
                  <c:v>0.64109530194321152</c:v>
                </c:pt>
                <c:pt idx="10">
                  <c:v>0.75516828554998416</c:v>
                </c:pt>
              </c:numCache>
            </c:numRef>
          </c:val>
        </c:ser>
        <c:ser>
          <c:idx val="3"/>
          <c:order val="1"/>
          <c:tx>
            <c:strRef>
              <c:f>'GGO(SQ) (SQ and Post SPF)'!$B$420</c:f>
              <c:strCache>
                <c:ptCount val="1"/>
                <c:pt idx="0">
                  <c:v>Scenario 2b. Child benefit (targeted cash and kind) but limited to 2 children)</c:v>
                </c:pt>
              </c:strCache>
            </c:strRef>
          </c:tx>
          <c:spPr>
            <a:solidFill>
              <a:schemeClr val="tx2">
                <a:lumMod val="40000"/>
                <a:lumOff val="60000"/>
              </a:schemeClr>
            </a:solidFill>
          </c:spPr>
          <c:dLbls>
            <c:dLbl>
              <c:idx val="0"/>
              <c:delete val="1"/>
            </c:dLbl>
            <c:numFmt formatCode="#,##0.00" sourceLinked="0"/>
            <c:spPr>
              <a:noFill/>
              <a:ln w="25400">
                <a:noFill/>
              </a:ln>
            </c:spPr>
            <c:txPr>
              <a:bodyPr rot="0" vert="horz"/>
              <a:lstStyle/>
              <a:p>
                <a:pPr>
                  <a:defRPr lang="en-GB" b="1"/>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SPF)'!$H$420:$R$420</c:f>
              <c:numCache>
                <c:formatCode>0.00</c:formatCode>
                <c:ptCount val="11"/>
                <c:pt idx="0">
                  <c:v>0</c:v>
                </c:pt>
                <c:pt idx="1">
                  <c:v>0.1283478588808481</c:v>
                </c:pt>
                <c:pt idx="2">
                  <c:v>0.25505977188648149</c:v>
                </c:pt>
                <c:pt idx="3">
                  <c:v>0.29271140367035764</c:v>
                </c:pt>
                <c:pt idx="4">
                  <c:v>0.32453083766872681</c:v>
                </c:pt>
                <c:pt idx="5">
                  <c:v>0.40288815495369956</c:v>
                </c:pt>
                <c:pt idx="6">
                  <c:v>0.47258142052365754</c:v>
                </c:pt>
                <c:pt idx="7">
                  <c:v>0.4463387376837134</c:v>
                </c:pt>
                <c:pt idx="8">
                  <c:v>0.42356338175811098</c:v>
                </c:pt>
                <c:pt idx="9">
                  <c:v>0.40377936149993543</c:v>
                </c:pt>
                <c:pt idx="10">
                  <c:v>0.38670515228541869</c:v>
                </c:pt>
              </c:numCache>
            </c:numRef>
          </c:val>
        </c:ser>
        <c:ser>
          <c:idx val="1"/>
          <c:order val="2"/>
          <c:tx>
            <c:strRef>
              <c:f>'GGO(SQ) (SQ and Post SPF)'!$B$421</c:f>
              <c:strCache>
                <c:ptCount val="1"/>
                <c:pt idx="0">
                  <c:v>3. Working-age income security (scenario 1 - high cost )</c:v>
                </c:pt>
              </c:strCache>
            </c:strRef>
          </c:tx>
          <c:spPr>
            <a:solidFill>
              <a:schemeClr val="bg1">
                <a:lumMod val="75000"/>
              </a:schemeClr>
            </a:solidFill>
            <a:ln w="25400">
              <a:noFill/>
            </a:ln>
          </c:spPr>
          <c:dLbls>
            <c:dLbl>
              <c:idx val="0"/>
              <c:delete val="1"/>
            </c:dLbl>
            <c:spPr>
              <a:noFill/>
              <a:ln w="25400">
                <a:noFill/>
              </a:ln>
            </c:spPr>
            <c:txPr>
              <a:bodyPr rot="0" vert="horz"/>
              <a:lstStyle/>
              <a:p>
                <a:pPr algn="ctr">
                  <a:defRPr lang="en-GB" sz="1000" b="1" i="0" u="none" strike="noStrike" baseline="0">
                    <a:solidFill>
                      <a:sysClr val="windowText" lastClr="000000"/>
                    </a:solidFill>
                    <a:latin typeface="Calibri"/>
                    <a:ea typeface="Calibri"/>
                    <a:cs typeface="Calibri"/>
                  </a:defRPr>
                </a:pPr>
                <a:endParaRPr lang="en-US"/>
              </a:p>
            </c:txPr>
            <c:dLblPos val="ct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SPF)'!$H$421:$R$421</c:f>
              <c:numCache>
                <c:formatCode>0.00</c:formatCode>
                <c:ptCount val="11"/>
                <c:pt idx="0">
                  <c:v>0</c:v>
                </c:pt>
                <c:pt idx="1">
                  <c:v>0.42390700550183824</c:v>
                </c:pt>
                <c:pt idx="2">
                  <c:v>0.86247284695467963</c:v>
                </c:pt>
                <c:pt idx="3">
                  <c:v>1.0048534111917509</c:v>
                </c:pt>
                <c:pt idx="4">
                  <c:v>1.1379858403547509</c:v>
                </c:pt>
                <c:pt idx="5">
                  <c:v>1.1024998034793749</c:v>
                </c:pt>
                <c:pt idx="6">
                  <c:v>1.0766767531565709</c:v>
                </c:pt>
                <c:pt idx="7">
                  <c:v>1.0539955292479177</c:v>
                </c:pt>
                <c:pt idx="8">
                  <c:v>1.0325452416827277</c:v>
                </c:pt>
                <c:pt idx="9">
                  <c:v>1.0125828141550952</c:v>
                </c:pt>
                <c:pt idx="10">
                  <c:v>0.99461641629182718</c:v>
                </c:pt>
              </c:numCache>
            </c:numRef>
          </c:val>
        </c:ser>
        <c:gapWidth val="45"/>
        <c:overlap val="100"/>
        <c:axId val="137227264"/>
        <c:axId val="137233152"/>
      </c:barChart>
      <c:catAx>
        <c:axId val="137227264"/>
        <c:scaling>
          <c:orientation val="minMax"/>
        </c:scaling>
        <c:axPos val="b"/>
        <c:numFmt formatCode="General" sourceLinked="1"/>
        <c:tickLblPos val="nextTo"/>
        <c:spPr>
          <a:ln>
            <a:noFill/>
          </a:ln>
        </c:spPr>
        <c:txPr>
          <a:bodyPr rot="-5400000" vert="horz"/>
          <a:lstStyle/>
          <a:p>
            <a:pPr>
              <a:defRPr lang="en-GB"/>
            </a:pPr>
            <a:endParaRPr lang="en-US"/>
          </a:p>
        </c:txPr>
        <c:crossAx val="137233152"/>
        <c:crosses val="autoZero"/>
        <c:auto val="1"/>
        <c:lblAlgn val="ctr"/>
        <c:lblOffset val="100"/>
      </c:catAx>
      <c:valAx>
        <c:axId val="137233152"/>
        <c:scaling>
          <c:orientation val="minMax"/>
        </c:scaling>
        <c:axPos val="l"/>
        <c:majorGridlines/>
        <c:title>
          <c:tx>
            <c:rich>
              <a:bodyPr rot="-5400000" vert="horz"/>
              <a:lstStyle/>
              <a:p>
                <a:pPr>
                  <a:defRPr lang="en-GB"/>
                </a:pPr>
                <a:r>
                  <a:rPr lang="en-US"/>
                  <a:t>Total benefit cost as percentage of GDP</a:t>
                </a:r>
              </a:p>
            </c:rich>
          </c:tx>
          <c:layout>
            <c:manualLayout>
              <c:xMode val="edge"/>
              <c:yMode val="edge"/>
              <c:x val="1.5977404998288265E-2"/>
              <c:y val="0.11600391742077017"/>
            </c:manualLayout>
          </c:layout>
          <c:spPr>
            <a:noFill/>
            <a:ln w="25400">
              <a:noFill/>
            </a:ln>
          </c:spPr>
        </c:title>
        <c:numFmt formatCode="0.0" sourceLinked="0"/>
        <c:tickLblPos val="nextTo"/>
        <c:spPr>
          <a:ln>
            <a:noFill/>
          </a:ln>
        </c:spPr>
        <c:txPr>
          <a:bodyPr/>
          <a:lstStyle/>
          <a:p>
            <a:pPr>
              <a:defRPr lang="en-GB"/>
            </a:pPr>
            <a:endParaRPr lang="en-US"/>
          </a:p>
        </c:txPr>
        <c:crossAx val="137227264"/>
        <c:crosses val="autoZero"/>
        <c:crossBetween val="between"/>
      </c:valAx>
    </c:plotArea>
    <c:legend>
      <c:legendPos val="r"/>
      <c:layout>
        <c:manualLayout>
          <c:xMode val="edge"/>
          <c:yMode val="edge"/>
          <c:x val="0.71956590208832594"/>
          <c:y val="9.5522388059701507E-2"/>
          <c:w val="0.27173935866712118"/>
          <c:h val="0.89552238805969941"/>
        </c:manualLayout>
      </c:layout>
      <c:txPr>
        <a:bodyPr/>
        <a:lstStyle/>
        <a:p>
          <a:pPr>
            <a:defRPr lang="en-GB" sz="1100"/>
          </a:pPr>
          <a:endParaRPr lang="en-US"/>
        </a:p>
      </c:txPr>
    </c:legend>
    <c:plotVisOnly val="1"/>
    <c:dispBlanksAs val="gap"/>
  </c:chart>
  <c:spPr>
    <a:solidFill>
      <a:srgbClr val="FFFFFF"/>
    </a:solidFill>
    <a:ln w="9525">
      <a:noFill/>
    </a:ln>
  </c:spPr>
  <c:printSettings>
    <c:headerFooter/>
    <c:pageMargins b="0.98425196899999956" l="0.78740157499999996" r="0.78740157499999996" t="0.98425196899999956" header="0.49212598450000122" footer="0.4921259845000012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800" b="1" i="0" u="none" strike="noStrike" baseline="0">
                <a:solidFill>
                  <a:srgbClr val="000000"/>
                </a:solidFill>
                <a:latin typeface="Calibri"/>
                <a:ea typeface="Calibri"/>
                <a:cs typeface="Calibri"/>
              </a:defRPr>
            </a:pPr>
            <a:r>
              <a:t>Total additional costs to fill the gaps toward the  SPF components 
as a percentage of  general government expenditure</a:t>
            </a:r>
          </a:p>
        </c:rich>
      </c:tx>
      <c:overlay val="1"/>
      <c:spPr>
        <a:noFill/>
        <a:ln w="25400">
          <a:noFill/>
        </a:ln>
      </c:spPr>
    </c:title>
    <c:plotArea>
      <c:layout>
        <c:manualLayout>
          <c:layoutTarget val="inner"/>
          <c:xMode val="edge"/>
          <c:yMode val="edge"/>
          <c:x val="0.16702355460385357"/>
          <c:y val="0.13134328358209085"/>
          <c:w val="0.51391862955032119"/>
          <c:h val="0.66268656716418284"/>
        </c:manualLayout>
      </c:layout>
      <c:barChart>
        <c:barDir val="col"/>
        <c:grouping val="stacked"/>
        <c:ser>
          <c:idx val="2"/>
          <c:order val="0"/>
          <c:tx>
            <c:strRef>
              <c:f>'GGO(SQ) (SQ and Post SPF)'!$B$440</c:f>
              <c:strCache>
                <c:ptCount val="1"/>
                <c:pt idx="0">
                  <c:v>1b. Old-age universal pension (65+ as an objective in 2020)</c:v>
                </c:pt>
              </c:strCache>
            </c:strRef>
          </c:tx>
          <c:dLbls>
            <c:dLbl>
              <c:idx val="0"/>
              <c:delete val="1"/>
            </c:dLbl>
            <c:spPr>
              <a:noFill/>
              <a:ln w="25400">
                <a:noFill/>
              </a:ln>
            </c:spPr>
            <c:txPr>
              <a:bodyPr rot="-5400000" vert="horz"/>
              <a:lstStyle/>
              <a:p>
                <a:pPr>
                  <a:defRPr lang="en-GB"/>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SPF)'!$H$440:$R$440</c:f>
              <c:numCache>
                <c:formatCode>0.00</c:formatCode>
                <c:ptCount val="11"/>
                <c:pt idx="0">
                  <c:v>0</c:v>
                </c:pt>
                <c:pt idx="1">
                  <c:v>0.31132789871871491</c:v>
                </c:pt>
                <c:pt idx="2">
                  <c:v>0.72524281168247784</c:v>
                </c:pt>
                <c:pt idx="3">
                  <c:v>0.91509823826438896</c:v>
                </c:pt>
                <c:pt idx="4">
                  <c:v>1.0912218666103004</c:v>
                </c:pt>
                <c:pt idx="5">
                  <c:v>1.2659825378481531</c:v>
                </c:pt>
                <c:pt idx="6">
                  <c:v>1.49628385944236</c:v>
                </c:pt>
                <c:pt idx="7">
                  <c:v>1.6344720075093091</c:v>
                </c:pt>
                <c:pt idx="8">
                  <c:v>1.8122797950112064</c:v>
                </c:pt>
                <c:pt idx="9">
                  <c:v>2.0695915352798795</c:v>
                </c:pt>
                <c:pt idx="10">
                  <c:v>2.4491624334452364</c:v>
                </c:pt>
              </c:numCache>
            </c:numRef>
          </c:val>
        </c:ser>
        <c:ser>
          <c:idx val="3"/>
          <c:order val="1"/>
          <c:tx>
            <c:strRef>
              <c:f>'GGO(SQ) (SQ and Post SPF)'!$B$443</c:f>
              <c:strCache>
                <c:ptCount val="1"/>
                <c:pt idx="0">
                  <c:v>2c. Child benefit (scenario 2c - targeted cash and kind) - limited to 2 children strict</c:v>
                </c:pt>
              </c:strCache>
            </c:strRef>
          </c:tx>
          <c:dLbls>
            <c:dLbl>
              <c:idx val="0"/>
              <c:delete val="1"/>
            </c:dLbl>
            <c:spPr>
              <a:noFill/>
              <a:ln w="25400">
                <a:noFill/>
              </a:ln>
            </c:spPr>
            <c:txPr>
              <a:bodyPr rot="-5400000" vert="horz"/>
              <a:lstStyle/>
              <a:p>
                <a:pPr>
                  <a:defRPr lang="en-GB"/>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SPF)'!$H$443:$R$443</c:f>
              <c:numCache>
                <c:formatCode>0.00</c:formatCode>
                <c:ptCount val="11"/>
                <c:pt idx="0">
                  <c:v>0</c:v>
                </c:pt>
                <c:pt idx="1">
                  <c:v>0.40459528186984506</c:v>
                </c:pt>
                <c:pt idx="2">
                  <c:v>0.80070504126601838</c:v>
                </c:pt>
                <c:pt idx="3">
                  <c:v>0.92360602729055563</c:v>
                </c:pt>
                <c:pt idx="4">
                  <c:v>1.0269523671999292</c:v>
                </c:pt>
                <c:pt idx="5">
                  <c:v>1.2788928857481672</c:v>
                </c:pt>
                <c:pt idx="6">
                  <c:v>1.5072574723518282</c:v>
                </c:pt>
                <c:pt idx="7">
                  <c:v>1.4271152451229658</c:v>
                </c:pt>
                <c:pt idx="8">
                  <c:v>1.3609536250515548</c:v>
                </c:pt>
                <c:pt idx="9">
                  <c:v>1.3034853728424358</c:v>
                </c:pt>
                <c:pt idx="10">
                  <c:v>1.2541624826145834</c:v>
                </c:pt>
              </c:numCache>
            </c:numRef>
          </c:val>
        </c:ser>
        <c:ser>
          <c:idx val="1"/>
          <c:order val="2"/>
          <c:tx>
            <c:strRef>
              <c:f>'GGO(SQ) (SQ and Post SPF)'!$B$444</c:f>
              <c:strCache>
                <c:ptCount val="1"/>
                <c:pt idx="0">
                  <c:v>3. Working-age income security (scenario 1 - high cost )</c:v>
                </c:pt>
              </c:strCache>
            </c:strRef>
          </c:tx>
          <c:spPr>
            <a:solidFill>
              <a:srgbClr val="993300"/>
            </a:solidFill>
            <a:ln w="25400">
              <a:noFill/>
            </a:ln>
          </c:spPr>
          <c:dLbls>
            <c:dLbl>
              <c:idx val="0"/>
              <c:delete val="1"/>
            </c:dLbl>
            <c:spPr>
              <a:noFill/>
              <a:ln w="25400">
                <a:noFill/>
              </a:ln>
            </c:spPr>
            <c:txPr>
              <a:bodyPr rot="-5400000" vert="horz"/>
              <a:lstStyle/>
              <a:p>
                <a:pPr algn="ctr">
                  <a:defRPr lang="en-GB" sz="800" b="1" i="0" u="none" strike="noStrike" baseline="0">
                    <a:solidFill>
                      <a:srgbClr val="FFFFFF"/>
                    </a:solidFill>
                    <a:latin typeface="Calibri"/>
                    <a:ea typeface="Calibri"/>
                    <a:cs typeface="Calibri"/>
                  </a:defRPr>
                </a:pPr>
                <a:endParaRPr lang="en-US"/>
              </a:p>
            </c:txPr>
            <c:dLblPos val="ct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SPF)'!$H$444:$R$444</c:f>
              <c:numCache>
                <c:formatCode>0.00</c:formatCode>
                <c:ptCount val="11"/>
                <c:pt idx="0">
                  <c:v>0</c:v>
                </c:pt>
                <c:pt idx="1">
                  <c:v>1.3362963424021006</c:v>
                </c:pt>
                <c:pt idx="2">
                  <c:v>2.7075471423969746</c:v>
                </c:pt>
                <c:pt idx="3">
                  <c:v>3.1706611204166157</c:v>
                </c:pt>
                <c:pt idx="4">
                  <c:v>3.6010668846984872</c:v>
                </c:pt>
                <c:pt idx="5">
                  <c:v>3.4996788509966534</c:v>
                </c:pt>
                <c:pt idx="6">
                  <c:v>3.4339671663446332</c:v>
                </c:pt>
                <c:pt idx="7">
                  <c:v>3.3700258594786061</c:v>
                </c:pt>
                <c:pt idx="8">
                  <c:v>3.3176762917157721</c:v>
                </c:pt>
                <c:pt idx="9">
                  <c:v>3.2688319733325653</c:v>
                </c:pt>
                <c:pt idx="10">
                  <c:v>3.2257408170892203</c:v>
                </c:pt>
              </c:numCache>
            </c:numRef>
          </c:val>
        </c:ser>
        <c:gapWidth val="45"/>
        <c:overlap val="100"/>
        <c:axId val="137272704"/>
        <c:axId val="137299072"/>
      </c:barChart>
      <c:catAx>
        <c:axId val="137272704"/>
        <c:scaling>
          <c:orientation val="minMax"/>
        </c:scaling>
        <c:axPos val="b"/>
        <c:numFmt formatCode="General" sourceLinked="1"/>
        <c:tickLblPos val="nextTo"/>
        <c:txPr>
          <a:bodyPr rot="-5400000" vert="horz"/>
          <a:lstStyle/>
          <a:p>
            <a:pPr>
              <a:defRPr lang="en-GB"/>
            </a:pPr>
            <a:endParaRPr lang="en-US"/>
          </a:p>
        </c:txPr>
        <c:crossAx val="137299072"/>
        <c:crosses val="autoZero"/>
        <c:auto val="1"/>
        <c:lblAlgn val="ctr"/>
        <c:lblOffset val="100"/>
      </c:catAx>
      <c:valAx>
        <c:axId val="137299072"/>
        <c:scaling>
          <c:orientation val="minMax"/>
        </c:scaling>
        <c:axPos val="l"/>
        <c:majorGridlines/>
        <c:title>
          <c:tx>
            <c:rich>
              <a:bodyPr rot="-5400000" vert="horz"/>
              <a:lstStyle/>
              <a:p>
                <a:pPr>
                  <a:defRPr lang="en-GB"/>
                </a:pPr>
                <a:r>
                  <a:rPr lang="en-US"/>
                  <a:t>Total child benefit cost as percentage of General government</a:t>
                </a:r>
                <a:r>
                  <a:rPr lang="en-US" baseline="0"/>
                  <a:t> expenditure</a:t>
                </a:r>
                <a:endParaRPr lang="en-US"/>
              </a:p>
            </c:rich>
          </c:tx>
          <c:layout>
            <c:manualLayout>
              <c:xMode val="edge"/>
              <c:yMode val="edge"/>
              <c:x val="1.5977563832358217E-2"/>
              <c:y val="0.11600423081443177"/>
            </c:manualLayout>
          </c:layout>
          <c:spPr>
            <a:noFill/>
            <a:ln w="25400">
              <a:noFill/>
            </a:ln>
          </c:spPr>
        </c:title>
        <c:numFmt formatCode="0.0" sourceLinked="0"/>
        <c:tickLblPos val="nextTo"/>
        <c:spPr>
          <a:ln>
            <a:noFill/>
          </a:ln>
        </c:spPr>
        <c:txPr>
          <a:bodyPr/>
          <a:lstStyle/>
          <a:p>
            <a:pPr>
              <a:defRPr lang="en-GB"/>
            </a:pPr>
            <a:endParaRPr lang="en-US"/>
          </a:p>
        </c:txPr>
        <c:crossAx val="137272704"/>
        <c:crosses val="autoZero"/>
        <c:crossBetween val="between"/>
      </c:valAx>
    </c:plotArea>
    <c:legend>
      <c:legendPos val="r"/>
      <c:layout>
        <c:manualLayout>
          <c:xMode val="edge"/>
          <c:yMode val="edge"/>
          <c:x val="0.68950749464668093"/>
          <c:y val="0.15522388059701603"/>
          <c:w val="0.30192719486081543"/>
          <c:h val="0.83582089552239092"/>
        </c:manualLayout>
      </c:layout>
      <c:txPr>
        <a:bodyPr/>
        <a:lstStyle/>
        <a:p>
          <a:pPr>
            <a:defRPr lang="en-GB" sz="825"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9525">
      <a:noFill/>
    </a:ln>
  </c:spPr>
  <c:printSettings>
    <c:headerFooter/>
    <c:pageMargins b="0.98425196899999956" l="0.78740157499999996" r="0.78740157499999996" t="0.98425196899999956" header="0.49212598450000122" footer="0.4921259845000012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1" i="0" u="none" strike="noStrike" baseline="0">
                <a:solidFill>
                  <a:srgbClr val="000000"/>
                </a:solidFill>
                <a:latin typeface="Calibri"/>
                <a:ea typeface="Calibri"/>
                <a:cs typeface="Calibri"/>
              </a:defRPr>
            </a:pPr>
            <a:r>
              <a:rPr sz="1000"/>
              <a:t>Total additional costs to fill the gaps toward the  SPF components 
as a percentage of  general government expenditure</a:t>
            </a:r>
          </a:p>
        </c:rich>
      </c:tx>
      <c:layout>
        <c:manualLayout>
          <c:xMode val="edge"/>
          <c:yMode val="edge"/>
          <c:x val="0.1656661455283242"/>
          <c:y val="1.5686274509803921E-2"/>
        </c:manualLayout>
      </c:layout>
      <c:overlay val="1"/>
      <c:spPr>
        <a:noFill/>
        <a:ln w="25400">
          <a:noFill/>
        </a:ln>
      </c:spPr>
    </c:title>
    <c:plotArea>
      <c:layout>
        <c:manualLayout>
          <c:layoutTarget val="inner"/>
          <c:xMode val="edge"/>
          <c:yMode val="edge"/>
          <c:x val="0.15469432174636744"/>
          <c:y val="0.15263973660097221"/>
          <c:w val="0.54680610599949953"/>
          <c:h val="0.70710059171597628"/>
        </c:manualLayout>
      </c:layout>
      <c:barChart>
        <c:barDir val="col"/>
        <c:grouping val="stacked"/>
        <c:ser>
          <c:idx val="0"/>
          <c:order val="0"/>
          <c:tx>
            <c:strRef>
              <c:f>'GGO(SQ) (SQ and Post SPF)'!$B$439</c:f>
              <c:strCache>
                <c:ptCount val="1"/>
                <c:pt idx="0">
                  <c:v>1a. Old-age  pension for uncovered (65+ as an objective in 2020)</c:v>
                </c:pt>
              </c:strCache>
            </c:strRef>
          </c:tx>
          <c:spPr>
            <a:solidFill>
              <a:schemeClr val="accent1">
                <a:lumMod val="75000"/>
              </a:schemeClr>
            </a:solidFill>
          </c:spPr>
          <c:dLbls>
            <c:spPr>
              <a:noFill/>
              <a:ln w="25400">
                <a:noFill/>
              </a:ln>
            </c:spPr>
            <c:txPr>
              <a:bodyPr rot="-5400000" vert="horz"/>
              <a:lstStyle/>
              <a:p>
                <a:pPr>
                  <a:defRPr lang="en-GB" b="1">
                    <a:solidFill>
                      <a:schemeClr val="accent6">
                        <a:lumMod val="20000"/>
                        <a:lumOff val="80000"/>
                      </a:schemeClr>
                    </a:solidFill>
                  </a:defRPr>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SPF)'!$H$439:$R$439</c:f>
              <c:numCache>
                <c:formatCode>0.00</c:formatCode>
                <c:ptCount val="11"/>
                <c:pt idx="0">
                  <c:v>0</c:v>
                </c:pt>
                <c:pt idx="1">
                  <c:v>0.24109601859784685</c:v>
                </c:pt>
                <c:pt idx="2">
                  <c:v>0.54079789046632243</c:v>
                </c:pt>
                <c:pt idx="3">
                  <c:v>0.69754411056516819</c:v>
                </c:pt>
                <c:pt idx="4">
                  <c:v>0.87667652614225122</c:v>
                </c:pt>
                <c:pt idx="5">
                  <c:v>1.0206757472346473</c:v>
                </c:pt>
                <c:pt idx="6">
                  <c:v>1.2096776296827865</c:v>
                </c:pt>
                <c:pt idx="7">
                  <c:v>1.4075682637250362</c:v>
                </c:pt>
                <c:pt idx="8">
                  <c:v>1.5683937562422177</c:v>
                </c:pt>
                <c:pt idx="9">
                  <c:v>1.8121078388467649</c:v>
                </c:pt>
                <c:pt idx="10">
                  <c:v>1.954036875255877</c:v>
                </c:pt>
              </c:numCache>
            </c:numRef>
          </c:val>
        </c:ser>
        <c:ser>
          <c:idx val="3"/>
          <c:order val="1"/>
          <c:tx>
            <c:strRef>
              <c:f>'GGO(SQ) (SQ and Post SPF)'!$B$442</c:f>
              <c:strCache>
                <c:ptCount val="1"/>
                <c:pt idx="0">
                  <c:v>2.b Child benefit (scenario 2b- targeted for all poor children cash and kind )</c:v>
                </c:pt>
              </c:strCache>
            </c:strRef>
          </c:tx>
          <c:spPr>
            <a:solidFill>
              <a:schemeClr val="tx2">
                <a:lumMod val="40000"/>
                <a:lumOff val="60000"/>
              </a:schemeClr>
            </a:solidFill>
          </c:spPr>
          <c:dLbls>
            <c:dLbl>
              <c:idx val="0"/>
              <c:delete val="1"/>
            </c:dLbl>
            <c:spPr>
              <a:noFill/>
              <a:ln w="25400">
                <a:noFill/>
              </a:ln>
            </c:spPr>
            <c:txPr>
              <a:bodyPr rot="-5400000" vert="horz"/>
              <a:lstStyle/>
              <a:p>
                <a:pPr>
                  <a:defRPr lang="en-GB" sz="1200"/>
                </a:pPr>
                <a:endParaRPr lang="en-US"/>
              </a:p>
            </c:txP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SPF)'!$H$442:$R$442</c:f>
              <c:numCache>
                <c:formatCode>0.00</c:formatCode>
                <c:ptCount val="11"/>
                <c:pt idx="0">
                  <c:v>0</c:v>
                </c:pt>
                <c:pt idx="1">
                  <c:v>0.74571915844744829</c:v>
                </c:pt>
                <c:pt idx="2">
                  <c:v>1.4854410615173035</c:v>
                </c:pt>
                <c:pt idx="3">
                  <c:v>1.7100441461645128</c:v>
                </c:pt>
                <c:pt idx="4">
                  <c:v>1.8973250112867821</c:v>
                </c:pt>
                <c:pt idx="5">
                  <c:v>2.3575331857608517</c:v>
                </c:pt>
                <c:pt idx="6">
                  <c:v>2.7720569997320954</c:v>
                </c:pt>
                <c:pt idx="7">
                  <c:v>2.618468141678834</c:v>
                </c:pt>
                <c:pt idx="8">
                  <c:v>2.4911090570486931</c:v>
                </c:pt>
                <c:pt idx="9">
                  <c:v>2.3801868942401723</c:v>
                </c:pt>
                <c:pt idx="10">
                  <c:v>2.2846214241002007</c:v>
                </c:pt>
              </c:numCache>
            </c:numRef>
          </c:val>
        </c:ser>
        <c:ser>
          <c:idx val="1"/>
          <c:order val="2"/>
          <c:tx>
            <c:strRef>
              <c:f>'GGO(SQ) (SQ and Post SPF)'!$B$444</c:f>
              <c:strCache>
                <c:ptCount val="1"/>
                <c:pt idx="0">
                  <c:v>3. Working-age income security (scenario 1 - high cost )</c:v>
                </c:pt>
              </c:strCache>
            </c:strRef>
          </c:tx>
          <c:spPr>
            <a:solidFill>
              <a:schemeClr val="bg1">
                <a:lumMod val="75000"/>
              </a:schemeClr>
            </a:solidFill>
            <a:ln w="25400">
              <a:noFill/>
            </a:ln>
          </c:spPr>
          <c:dLbls>
            <c:dLbl>
              <c:idx val="0"/>
              <c:delete val="1"/>
            </c:dLbl>
            <c:spPr>
              <a:noFill/>
              <a:ln w="25400">
                <a:noFill/>
              </a:ln>
            </c:spPr>
            <c:txPr>
              <a:bodyPr rot="-5400000" vert="horz"/>
              <a:lstStyle/>
              <a:p>
                <a:pPr algn="ctr">
                  <a:defRPr lang="en-GB" sz="1100" b="1" i="0" u="none" strike="noStrike" baseline="0">
                    <a:solidFill>
                      <a:sysClr val="windowText" lastClr="000000"/>
                    </a:solidFill>
                    <a:latin typeface="Calibri"/>
                    <a:ea typeface="Calibri"/>
                    <a:cs typeface="Calibri"/>
                  </a:defRPr>
                </a:pPr>
                <a:endParaRPr lang="en-US"/>
              </a:p>
            </c:txPr>
            <c:dLblPos val="ctr"/>
            <c:showVal val="1"/>
          </c:dLbls>
          <c:cat>
            <c:numRef>
              <c:f>'GGO(SQ) (SQ and Post SPF)'!$H$438:$R$438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SPF)'!$H$444:$R$444</c:f>
              <c:numCache>
                <c:formatCode>0.00</c:formatCode>
                <c:ptCount val="11"/>
                <c:pt idx="0">
                  <c:v>0</c:v>
                </c:pt>
                <c:pt idx="1">
                  <c:v>1.3362963424021006</c:v>
                </c:pt>
                <c:pt idx="2">
                  <c:v>2.7075471423969746</c:v>
                </c:pt>
                <c:pt idx="3">
                  <c:v>3.1706611204166157</c:v>
                </c:pt>
                <c:pt idx="4">
                  <c:v>3.6010668846984872</c:v>
                </c:pt>
                <c:pt idx="5">
                  <c:v>3.4996788509966534</c:v>
                </c:pt>
                <c:pt idx="6">
                  <c:v>3.4339671663446332</c:v>
                </c:pt>
                <c:pt idx="7">
                  <c:v>3.3700258594786061</c:v>
                </c:pt>
                <c:pt idx="8">
                  <c:v>3.3176762917157721</c:v>
                </c:pt>
                <c:pt idx="9">
                  <c:v>3.2688319733325653</c:v>
                </c:pt>
                <c:pt idx="10">
                  <c:v>3.2257408170892203</c:v>
                </c:pt>
              </c:numCache>
            </c:numRef>
          </c:val>
        </c:ser>
        <c:gapWidth val="45"/>
        <c:overlap val="100"/>
        <c:axId val="137355264"/>
        <c:axId val="137356800"/>
      </c:barChart>
      <c:catAx>
        <c:axId val="137355264"/>
        <c:scaling>
          <c:orientation val="minMax"/>
        </c:scaling>
        <c:axPos val="b"/>
        <c:numFmt formatCode="General" sourceLinked="1"/>
        <c:tickLblPos val="nextTo"/>
        <c:txPr>
          <a:bodyPr rot="-5400000" vert="horz"/>
          <a:lstStyle/>
          <a:p>
            <a:pPr>
              <a:defRPr lang="en-GB"/>
            </a:pPr>
            <a:endParaRPr lang="en-US"/>
          </a:p>
        </c:txPr>
        <c:crossAx val="137356800"/>
        <c:crosses val="autoZero"/>
        <c:auto val="1"/>
        <c:lblAlgn val="ctr"/>
        <c:lblOffset val="100"/>
      </c:catAx>
      <c:valAx>
        <c:axId val="137356800"/>
        <c:scaling>
          <c:orientation val="minMax"/>
        </c:scaling>
        <c:axPos val="l"/>
        <c:majorGridlines/>
        <c:title>
          <c:tx>
            <c:rich>
              <a:bodyPr rot="-5400000" vert="horz"/>
              <a:lstStyle/>
              <a:p>
                <a:pPr>
                  <a:defRPr lang="en-GB" b="0"/>
                </a:pPr>
                <a:r>
                  <a:rPr lang="en-US" b="0"/>
                  <a:t>Total child benefit cost as percentage of General government</a:t>
                </a:r>
                <a:r>
                  <a:rPr lang="en-US" b="0" baseline="0"/>
                  <a:t> expenditure</a:t>
                </a:r>
                <a:endParaRPr lang="en-US" b="0"/>
              </a:p>
            </c:rich>
          </c:tx>
          <c:layout>
            <c:manualLayout>
              <c:xMode val="edge"/>
              <c:yMode val="edge"/>
              <c:x val="1.0064540158644246E-2"/>
              <c:y val="0.11600428644644283"/>
            </c:manualLayout>
          </c:layout>
          <c:spPr>
            <a:noFill/>
            <a:ln w="25400">
              <a:noFill/>
            </a:ln>
          </c:spPr>
        </c:title>
        <c:numFmt formatCode="0.0" sourceLinked="0"/>
        <c:tickLblPos val="nextTo"/>
        <c:spPr>
          <a:ln>
            <a:noFill/>
          </a:ln>
        </c:spPr>
        <c:txPr>
          <a:bodyPr/>
          <a:lstStyle/>
          <a:p>
            <a:pPr>
              <a:defRPr lang="en-GB"/>
            </a:pPr>
            <a:endParaRPr lang="en-US"/>
          </a:p>
        </c:txPr>
        <c:crossAx val="137355264"/>
        <c:crosses val="autoZero"/>
        <c:crossBetween val="between"/>
      </c:valAx>
    </c:plotArea>
    <c:legend>
      <c:legendPos val="r"/>
      <c:layout>
        <c:manualLayout>
          <c:xMode val="edge"/>
          <c:yMode val="edge"/>
          <c:x val="0.73637096914992051"/>
          <c:y val="0.15383047707271891"/>
          <c:w val="0.24589067164830561"/>
          <c:h val="0.74417786012042664"/>
        </c:manualLayout>
      </c:layout>
      <c:txPr>
        <a:bodyPr/>
        <a:lstStyle/>
        <a:p>
          <a:pPr>
            <a:defRPr lang="en-GB" sz="1100" b="0" i="0" u="none" strike="noStrike" baseline="0">
              <a:solidFill>
                <a:srgbClr val="000000"/>
              </a:solidFill>
              <a:latin typeface="Calibri"/>
              <a:ea typeface="Calibri"/>
              <a:cs typeface="Calibri"/>
            </a:defRPr>
          </a:pPr>
          <a:endParaRPr lang="en-US"/>
        </a:p>
      </c:txPr>
    </c:legend>
    <c:plotVisOnly val="1"/>
    <c:dispBlanksAs val="gap"/>
  </c:chart>
  <c:spPr>
    <a:ln>
      <a:noFill/>
    </a:ln>
  </c:spPr>
  <c:printSettings>
    <c:headerFooter/>
    <c:pageMargins b="0.98425196899999956" l="0.78740157499999996" r="0.78740157499999996" t="0.98425196899999956" header="0.49212598450000117" footer="0.49212598450000117"/>
    <c:pageSetup paperSize="9" orientation="landscape" horizontalDpi="200" verticalDpi="200"/>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100" b="1" i="0" u="none" strike="noStrike" baseline="0">
                <a:solidFill>
                  <a:srgbClr val="000000"/>
                </a:solidFill>
                <a:latin typeface="Calibri"/>
                <a:ea typeface="Calibri"/>
                <a:cs typeface="Calibri"/>
              </a:defRPr>
            </a:pPr>
            <a:r>
              <a:rPr sz="1100"/>
              <a:t>Total additional costs to fill the gaps toward the  SPF components 
as a percentage of GDP</a:t>
            </a:r>
          </a:p>
        </c:rich>
      </c:tx>
      <c:overlay val="1"/>
      <c:spPr>
        <a:noFill/>
        <a:ln w="25400">
          <a:noFill/>
        </a:ln>
      </c:spPr>
    </c:title>
    <c:plotArea>
      <c:layout>
        <c:manualLayout>
          <c:layoutTarget val="inner"/>
          <c:xMode val="edge"/>
          <c:yMode val="edge"/>
          <c:x val="0.10222454931000036"/>
          <c:y val="0.15709992963429081"/>
          <c:w val="0.62222329013746425"/>
          <c:h val="0.64954778598792717"/>
        </c:manualLayout>
      </c:layout>
      <c:barChart>
        <c:barDir val="col"/>
        <c:grouping val="stacked"/>
        <c:ser>
          <c:idx val="0"/>
          <c:order val="0"/>
          <c:tx>
            <c:strRef>
              <c:f>'GGO(SQ) (SQ and Post SPF)'!$B$416</c:f>
              <c:strCache>
                <c:ptCount val="1"/>
                <c:pt idx="0">
                  <c:v>Scenario 1. Old-age  pension for uncovered (65+ as an objective in 2020)</c:v>
                </c:pt>
              </c:strCache>
            </c:strRef>
          </c:tx>
          <c:spPr>
            <a:solidFill>
              <a:schemeClr val="accent1">
                <a:lumMod val="75000"/>
              </a:schemeClr>
            </a:solidFill>
          </c:spPr>
          <c:dLbls>
            <c:spPr>
              <a:noFill/>
              <a:ln w="25400">
                <a:noFill/>
              </a:ln>
            </c:spPr>
            <c:txPr>
              <a:bodyPr rot="0" vert="horz"/>
              <a:lstStyle/>
              <a:p>
                <a:pPr>
                  <a:defRPr lang="en-GB" b="1">
                    <a:solidFill>
                      <a:schemeClr val="accent6">
                        <a:lumMod val="20000"/>
                        <a:lumOff val="80000"/>
                      </a:schemeClr>
                    </a:solidFill>
                  </a:defRPr>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SPF)'!$H$416:$R$416</c:f>
              <c:numCache>
                <c:formatCode>0.00</c:formatCode>
                <c:ptCount val="11"/>
                <c:pt idx="0">
                  <c:v>0</c:v>
                </c:pt>
                <c:pt idx="1">
                  <c:v>7.6481756358407676E-2</c:v>
                </c:pt>
                <c:pt idx="2">
                  <c:v>0.17226791323923257</c:v>
                </c:pt>
                <c:pt idx="3">
                  <c:v>0.2210673270772075</c:v>
                </c:pt>
                <c:pt idx="4">
                  <c:v>0.27704163939870985</c:v>
                </c:pt>
                <c:pt idx="5">
                  <c:v>0.3215423067810626</c:v>
                </c:pt>
                <c:pt idx="6">
                  <c:v>0.37927904362562759</c:v>
                </c:pt>
                <c:pt idx="7">
                  <c:v>0.44022530358475442</c:v>
                </c:pt>
                <c:pt idx="8">
                  <c:v>0.48812402648701203</c:v>
                </c:pt>
                <c:pt idx="9">
                  <c:v>0.56133483457740418</c:v>
                </c:pt>
                <c:pt idx="10">
                  <c:v>0.60250257673300378</c:v>
                </c:pt>
              </c:numCache>
            </c:numRef>
          </c:val>
        </c:ser>
        <c:ser>
          <c:idx val="3"/>
          <c:order val="1"/>
          <c:tx>
            <c:strRef>
              <c:f>'GGO(SQ) (SQ and Post SPF)'!$B$419</c:f>
              <c:strCache>
                <c:ptCount val="1"/>
                <c:pt idx="0">
                  <c:v>Scenario 2a. Child benefit (targeted for all poor children cash and kind )</c:v>
                </c:pt>
              </c:strCache>
            </c:strRef>
          </c:tx>
          <c:spPr>
            <a:solidFill>
              <a:schemeClr val="tx2">
                <a:lumMod val="40000"/>
                <a:lumOff val="60000"/>
              </a:schemeClr>
            </a:solidFill>
          </c:spPr>
          <c:dLbls>
            <c:dLbl>
              <c:idx val="0"/>
              <c:delete val="1"/>
            </c:dLbl>
            <c:numFmt formatCode="#,##0.0" sourceLinked="0"/>
            <c:spPr>
              <a:noFill/>
              <a:ln w="25400">
                <a:noFill/>
              </a:ln>
            </c:spPr>
            <c:txPr>
              <a:bodyPr rot="0" vert="horz"/>
              <a:lstStyle/>
              <a:p>
                <a:pPr>
                  <a:defRPr lang="en-GB" b="1"/>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SPF)'!$H$419:$R$419</c:f>
              <c:numCache>
                <c:formatCode>0.00</c:formatCode>
                <c:ptCount val="11"/>
                <c:pt idx="0">
                  <c:v>0</c:v>
                </c:pt>
                <c:pt idx="1">
                  <c:v>0.23656098230020256</c:v>
                </c:pt>
                <c:pt idx="2">
                  <c:v>0.47317831008327843</c:v>
                </c:pt>
                <c:pt idx="3">
                  <c:v>0.54195122982304422</c:v>
                </c:pt>
                <c:pt idx="4">
                  <c:v>0.59958036507729495</c:v>
                </c:pt>
                <c:pt idx="5">
                  <c:v>0.74269096813190094</c:v>
                </c:pt>
                <c:pt idx="6">
                  <c:v>0.86914323447464259</c:v>
                </c:pt>
                <c:pt idx="7">
                  <c:v>0.8189414057595944</c:v>
                </c:pt>
                <c:pt idx="8">
                  <c:v>0.7752964958610058</c:v>
                </c:pt>
                <c:pt idx="9">
                  <c:v>0.73730811594077217</c:v>
                </c:pt>
                <c:pt idx="10">
                  <c:v>0.70443414467270338</c:v>
                </c:pt>
              </c:numCache>
            </c:numRef>
          </c:val>
        </c:ser>
        <c:ser>
          <c:idx val="1"/>
          <c:order val="2"/>
          <c:tx>
            <c:strRef>
              <c:f>'GGO(SQ) (SQ and Post SPF)'!$B$421</c:f>
              <c:strCache>
                <c:ptCount val="1"/>
                <c:pt idx="0">
                  <c:v>3. Working-age income security (scenario 1 - high cost )</c:v>
                </c:pt>
              </c:strCache>
            </c:strRef>
          </c:tx>
          <c:spPr>
            <a:solidFill>
              <a:schemeClr val="bg1">
                <a:lumMod val="75000"/>
              </a:schemeClr>
            </a:solidFill>
            <a:ln w="25400">
              <a:noFill/>
            </a:ln>
          </c:spPr>
          <c:dLbls>
            <c:dLbl>
              <c:idx val="0"/>
              <c:delete val="1"/>
            </c:dLbl>
            <c:spPr>
              <a:noFill/>
              <a:ln w="25400">
                <a:noFill/>
              </a:ln>
            </c:spPr>
            <c:txPr>
              <a:bodyPr rot="0" vert="horz"/>
              <a:lstStyle/>
              <a:p>
                <a:pPr algn="ctr">
                  <a:defRPr lang="en-GB" sz="1000" b="1" i="0" u="none" strike="noStrike" baseline="0">
                    <a:solidFill>
                      <a:sysClr val="windowText" lastClr="000000"/>
                    </a:solidFill>
                    <a:latin typeface="Calibri"/>
                    <a:ea typeface="Calibri"/>
                    <a:cs typeface="Calibri"/>
                  </a:defRPr>
                </a:pPr>
                <a:endParaRPr lang="en-US"/>
              </a:p>
            </c:txPr>
            <c:dLblPos val="ct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SPF)'!$H$421:$R$421</c:f>
              <c:numCache>
                <c:formatCode>0.00</c:formatCode>
                <c:ptCount val="11"/>
                <c:pt idx="0">
                  <c:v>0</c:v>
                </c:pt>
                <c:pt idx="1">
                  <c:v>0.42390700550183824</c:v>
                </c:pt>
                <c:pt idx="2">
                  <c:v>0.86247284695467963</c:v>
                </c:pt>
                <c:pt idx="3">
                  <c:v>1.0048534111917509</c:v>
                </c:pt>
                <c:pt idx="4">
                  <c:v>1.1379858403547509</c:v>
                </c:pt>
                <c:pt idx="5">
                  <c:v>1.1024998034793749</c:v>
                </c:pt>
                <c:pt idx="6">
                  <c:v>1.0766767531565709</c:v>
                </c:pt>
                <c:pt idx="7">
                  <c:v>1.0539955292479177</c:v>
                </c:pt>
                <c:pt idx="8">
                  <c:v>1.0325452416827277</c:v>
                </c:pt>
                <c:pt idx="9">
                  <c:v>1.0125828141550952</c:v>
                </c:pt>
                <c:pt idx="10">
                  <c:v>0.99461641629182718</c:v>
                </c:pt>
              </c:numCache>
            </c:numRef>
          </c:val>
        </c:ser>
        <c:gapWidth val="29"/>
        <c:overlap val="100"/>
        <c:axId val="137424896"/>
        <c:axId val="137426432"/>
      </c:barChart>
      <c:catAx>
        <c:axId val="137424896"/>
        <c:scaling>
          <c:orientation val="minMax"/>
        </c:scaling>
        <c:axPos val="b"/>
        <c:numFmt formatCode="General" sourceLinked="1"/>
        <c:tickLblPos val="nextTo"/>
        <c:txPr>
          <a:bodyPr rot="-5400000" vert="horz"/>
          <a:lstStyle/>
          <a:p>
            <a:pPr>
              <a:defRPr lang="en-GB"/>
            </a:pPr>
            <a:endParaRPr lang="en-US"/>
          </a:p>
        </c:txPr>
        <c:crossAx val="137426432"/>
        <c:crosses val="autoZero"/>
        <c:auto val="1"/>
        <c:lblAlgn val="ctr"/>
        <c:lblOffset val="100"/>
      </c:catAx>
      <c:valAx>
        <c:axId val="137426432"/>
        <c:scaling>
          <c:orientation val="minMax"/>
        </c:scaling>
        <c:axPos val="l"/>
        <c:majorGridlines/>
        <c:title>
          <c:tx>
            <c:rich>
              <a:bodyPr rot="-5400000" vert="horz"/>
              <a:lstStyle/>
              <a:p>
                <a:pPr>
                  <a:defRPr lang="en-GB"/>
                </a:pPr>
                <a:r>
                  <a:rPr lang="en-US"/>
                  <a:t>Total additional cost as a percentage of GDP</a:t>
                </a:r>
              </a:p>
            </c:rich>
          </c:tx>
          <c:layout>
            <c:manualLayout>
              <c:xMode val="edge"/>
              <c:yMode val="edge"/>
              <c:x val="1.0752688172043012E-2"/>
              <c:y val="5.4380664652568314E-2"/>
            </c:manualLayout>
          </c:layout>
          <c:spPr>
            <a:noFill/>
            <a:ln w="25400">
              <a:noFill/>
            </a:ln>
          </c:spPr>
        </c:title>
        <c:numFmt formatCode="0.0" sourceLinked="0"/>
        <c:tickLblPos val="nextTo"/>
        <c:spPr>
          <a:ln>
            <a:noFill/>
          </a:ln>
        </c:spPr>
        <c:txPr>
          <a:bodyPr/>
          <a:lstStyle/>
          <a:p>
            <a:pPr>
              <a:defRPr lang="en-GB"/>
            </a:pPr>
            <a:endParaRPr lang="en-US"/>
          </a:p>
        </c:txPr>
        <c:crossAx val="137424896"/>
        <c:crosses val="autoZero"/>
        <c:crossBetween val="between"/>
      </c:valAx>
    </c:plotArea>
    <c:legend>
      <c:legendPos val="r"/>
      <c:layout>
        <c:manualLayout>
          <c:xMode val="edge"/>
          <c:yMode val="edge"/>
          <c:x val="0.73445993554108313"/>
          <c:y val="0.15160487292029673"/>
          <c:w val="0.25048826424405507"/>
          <c:h val="0.72640831660748373"/>
        </c:manualLayout>
      </c:layout>
      <c:txPr>
        <a:bodyPr/>
        <a:lstStyle/>
        <a:p>
          <a:pPr>
            <a:defRPr lang="en-GB" sz="1100" b="0" i="0" u="none" strike="noStrike" baseline="0">
              <a:solidFill>
                <a:srgbClr val="000000"/>
              </a:solidFill>
              <a:latin typeface="Calibri"/>
              <a:ea typeface="Calibri"/>
              <a:cs typeface="Calibri"/>
            </a:defRPr>
          </a:pPr>
          <a:endParaRPr lang="en-US"/>
        </a:p>
      </c:txPr>
    </c:legend>
    <c:plotVisOnly val="1"/>
    <c:dispBlanksAs val="gap"/>
  </c:chart>
  <c:spPr>
    <a:ln>
      <a:noFill/>
    </a:ln>
  </c:spPr>
  <c:printSettings>
    <c:headerFooter/>
    <c:pageMargins b="0.98425196899999956" l="0.78740157499999996" r="0.78740157499999996" t="0.98425196899999956" header="0.49212598450000117" footer="0.49212598450000117"/>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100" b="1" i="0" u="none" strike="noStrike" baseline="0">
                <a:solidFill>
                  <a:srgbClr val="000000"/>
                </a:solidFill>
                <a:latin typeface="Calibri"/>
                <a:ea typeface="Calibri"/>
                <a:cs typeface="Calibri"/>
              </a:defRPr>
            </a:pPr>
            <a:r>
              <a:rPr sz="1100"/>
              <a:t>Total additional costs to fill the gaps toward the  SPF components 
as a percentage of GDP</a:t>
            </a:r>
          </a:p>
        </c:rich>
      </c:tx>
      <c:layout>
        <c:manualLayout>
          <c:xMode val="edge"/>
          <c:yMode val="edge"/>
          <c:x val="0.16500799787532253"/>
          <c:y val="4.065041951553031E-3"/>
        </c:manualLayout>
      </c:layout>
      <c:overlay val="1"/>
      <c:spPr>
        <a:noFill/>
        <a:ln w="25400">
          <a:noFill/>
        </a:ln>
      </c:spPr>
    </c:title>
    <c:plotArea>
      <c:layout>
        <c:manualLayout>
          <c:layoutTarget val="inner"/>
          <c:xMode val="edge"/>
          <c:yMode val="edge"/>
          <c:x val="0.12013883880152525"/>
          <c:y val="0.1283582089552239"/>
          <c:w val="0.58638362568999758"/>
          <c:h val="0.70848207812626429"/>
        </c:manualLayout>
      </c:layout>
      <c:barChart>
        <c:barDir val="col"/>
        <c:grouping val="stacked"/>
        <c:ser>
          <c:idx val="2"/>
          <c:order val="0"/>
          <c:tx>
            <c:strRef>
              <c:f>'GGO(SQ) (SQ and Post SPF)'!$B$416</c:f>
              <c:strCache>
                <c:ptCount val="1"/>
                <c:pt idx="0">
                  <c:v>Scenario 1. Old-age  pension for uncovered (65+ as an objective in 2020)</c:v>
                </c:pt>
              </c:strCache>
            </c:strRef>
          </c:tx>
          <c:spPr>
            <a:solidFill>
              <a:schemeClr val="accent1">
                <a:lumMod val="75000"/>
              </a:schemeClr>
            </a:solidFill>
          </c:spPr>
          <c:dLbls>
            <c:dLbl>
              <c:idx val="0"/>
              <c:delete val="1"/>
            </c:dLbl>
            <c:spPr>
              <a:noFill/>
              <a:ln w="25400">
                <a:noFill/>
              </a:ln>
            </c:spPr>
            <c:txPr>
              <a:bodyPr rot="0" vert="horz"/>
              <a:lstStyle/>
              <a:p>
                <a:pPr>
                  <a:defRPr lang="en-GB" b="1">
                    <a:solidFill>
                      <a:schemeClr val="bg1"/>
                    </a:solidFill>
                  </a:defRPr>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SPF)'!$H$416:$R$416</c:f>
              <c:numCache>
                <c:formatCode>0.00</c:formatCode>
                <c:ptCount val="11"/>
                <c:pt idx="0">
                  <c:v>0</c:v>
                </c:pt>
                <c:pt idx="1">
                  <c:v>7.6481756358407676E-2</c:v>
                </c:pt>
                <c:pt idx="2">
                  <c:v>0.17226791323923257</c:v>
                </c:pt>
                <c:pt idx="3">
                  <c:v>0.2210673270772075</c:v>
                </c:pt>
                <c:pt idx="4">
                  <c:v>0.27704163939870985</c:v>
                </c:pt>
                <c:pt idx="5">
                  <c:v>0.3215423067810626</c:v>
                </c:pt>
                <c:pt idx="6">
                  <c:v>0.37927904362562759</c:v>
                </c:pt>
                <c:pt idx="7">
                  <c:v>0.44022530358475442</c:v>
                </c:pt>
                <c:pt idx="8">
                  <c:v>0.48812402648701203</c:v>
                </c:pt>
                <c:pt idx="9">
                  <c:v>0.56133483457740418</c:v>
                </c:pt>
                <c:pt idx="10">
                  <c:v>0.60250257673300378</c:v>
                </c:pt>
              </c:numCache>
            </c:numRef>
          </c:val>
        </c:ser>
        <c:ser>
          <c:idx val="3"/>
          <c:order val="1"/>
          <c:tx>
            <c:strRef>
              <c:f>'GGO(SQ) (SQ and Post SPF)'!$B$420</c:f>
              <c:strCache>
                <c:ptCount val="1"/>
                <c:pt idx="0">
                  <c:v>Scenario 2b. Child benefit (targeted cash and kind) but limited to 2 children)</c:v>
                </c:pt>
              </c:strCache>
            </c:strRef>
          </c:tx>
          <c:spPr>
            <a:solidFill>
              <a:schemeClr val="tx2">
                <a:lumMod val="40000"/>
                <a:lumOff val="60000"/>
              </a:schemeClr>
            </a:solidFill>
          </c:spPr>
          <c:dLbls>
            <c:dLbl>
              <c:idx val="0"/>
              <c:delete val="1"/>
            </c:dLbl>
            <c:numFmt formatCode="#,##0.00" sourceLinked="0"/>
            <c:spPr>
              <a:noFill/>
              <a:ln w="25400">
                <a:noFill/>
              </a:ln>
            </c:spPr>
            <c:txPr>
              <a:bodyPr rot="0" vert="horz"/>
              <a:lstStyle/>
              <a:p>
                <a:pPr>
                  <a:defRPr lang="en-GB" b="1"/>
                </a:pPr>
                <a:endParaRPr lang="en-US"/>
              </a:p>
            </c:txP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SPF)'!$H$420:$R$420</c:f>
              <c:numCache>
                <c:formatCode>0.00</c:formatCode>
                <c:ptCount val="11"/>
                <c:pt idx="0">
                  <c:v>0</c:v>
                </c:pt>
                <c:pt idx="1">
                  <c:v>0.1283478588808481</c:v>
                </c:pt>
                <c:pt idx="2">
                  <c:v>0.25505977188648149</c:v>
                </c:pt>
                <c:pt idx="3">
                  <c:v>0.29271140367035764</c:v>
                </c:pt>
                <c:pt idx="4">
                  <c:v>0.32453083766872681</c:v>
                </c:pt>
                <c:pt idx="5">
                  <c:v>0.40288815495369956</c:v>
                </c:pt>
                <c:pt idx="6">
                  <c:v>0.47258142052365754</c:v>
                </c:pt>
                <c:pt idx="7">
                  <c:v>0.4463387376837134</c:v>
                </c:pt>
                <c:pt idx="8">
                  <c:v>0.42356338175811098</c:v>
                </c:pt>
                <c:pt idx="9">
                  <c:v>0.40377936149993543</c:v>
                </c:pt>
                <c:pt idx="10">
                  <c:v>0.38670515228541869</c:v>
                </c:pt>
              </c:numCache>
            </c:numRef>
          </c:val>
        </c:ser>
        <c:ser>
          <c:idx val="1"/>
          <c:order val="2"/>
          <c:tx>
            <c:strRef>
              <c:f>'GGO(SQ) (SQ and Post SPF)'!$B$421</c:f>
              <c:strCache>
                <c:ptCount val="1"/>
                <c:pt idx="0">
                  <c:v>3. Working-age income security (scenario 1 - high cost )</c:v>
                </c:pt>
              </c:strCache>
            </c:strRef>
          </c:tx>
          <c:spPr>
            <a:solidFill>
              <a:schemeClr val="bg1">
                <a:lumMod val="75000"/>
              </a:schemeClr>
            </a:solidFill>
            <a:ln w="25400">
              <a:noFill/>
            </a:ln>
          </c:spPr>
          <c:dLbls>
            <c:dLbl>
              <c:idx val="0"/>
              <c:delete val="1"/>
            </c:dLbl>
            <c:spPr>
              <a:noFill/>
              <a:ln w="25400">
                <a:noFill/>
              </a:ln>
            </c:spPr>
            <c:txPr>
              <a:bodyPr rot="0" vert="horz"/>
              <a:lstStyle/>
              <a:p>
                <a:pPr algn="ctr">
                  <a:defRPr lang="en-GB" sz="1000" b="1" i="0" u="none" strike="noStrike" baseline="0">
                    <a:solidFill>
                      <a:sysClr val="windowText" lastClr="000000"/>
                    </a:solidFill>
                    <a:latin typeface="Calibri"/>
                    <a:ea typeface="Calibri"/>
                    <a:cs typeface="Calibri"/>
                  </a:defRPr>
                </a:pPr>
                <a:endParaRPr lang="en-US"/>
              </a:p>
            </c:txPr>
            <c:dLblPos val="ctr"/>
            <c:showVal val="1"/>
          </c:dLbls>
          <c:cat>
            <c:numRef>
              <c:f>'GGO(SQ) (SQ and Post SPF)'!$H$415:$R$415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'GGO(SQ) (SQ and Post SPF)'!$H$421:$R$421</c:f>
              <c:numCache>
                <c:formatCode>0.00</c:formatCode>
                <c:ptCount val="11"/>
                <c:pt idx="0">
                  <c:v>0</c:v>
                </c:pt>
                <c:pt idx="1">
                  <c:v>0.42390700550183824</c:v>
                </c:pt>
                <c:pt idx="2">
                  <c:v>0.86247284695467963</c:v>
                </c:pt>
                <c:pt idx="3">
                  <c:v>1.0048534111917509</c:v>
                </c:pt>
                <c:pt idx="4">
                  <c:v>1.1379858403547509</c:v>
                </c:pt>
                <c:pt idx="5">
                  <c:v>1.1024998034793749</c:v>
                </c:pt>
                <c:pt idx="6">
                  <c:v>1.0766767531565709</c:v>
                </c:pt>
                <c:pt idx="7">
                  <c:v>1.0539955292479177</c:v>
                </c:pt>
                <c:pt idx="8">
                  <c:v>1.0325452416827277</c:v>
                </c:pt>
                <c:pt idx="9">
                  <c:v>1.0125828141550952</c:v>
                </c:pt>
                <c:pt idx="10">
                  <c:v>0.99461641629182718</c:v>
                </c:pt>
              </c:numCache>
            </c:numRef>
          </c:val>
        </c:ser>
        <c:gapWidth val="45"/>
        <c:overlap val="100"/>
        <c:axId val="137482240"/>
        <c:axId val="137483776"/>
      </c:barChart>
      <c:catAx>
        <c:axId val="137482240"/>
        <c:scaling>
          <c:orientation val="minMax"/>
        </c:scaling>
        <c:axPos val="b"/>
        <c:numFmt formatCode="General" sourceLinked="1"/>
        <c:tickLblPos val="nextTo"/>
        <c:spPr>
          <a:ln>
            <a:noFill/>
          </a:ln>
        </c:spPr>
        <c:txPr>
          <a:bodyPr rot="-5400000" vert="horz"/>
          <a:lstStyle/>
          <a:p>
            <a:pPr>
              <a:defRPr lang="en-GB"/>
            </a:pPr>
            <a:endParaRPr lang="en-US"/>
          </a:p>
        </c:txPr>
        <c:crossAx val="137483776"/>
        <c:crosses val="autoZero"/>
        <c:auto val="1"/>
        <c:lblAlgn val="ctr"/>
        <c:lblOffset val="100"/>
      </c:catAx>
      <c:valAx>
        <c:axId val="137483776"/>
        <c:scaling>
          <c:orientation val="minMax"/>
        </c:scaling>
        <c:axPos val="l"/>
        <c:majorGridlines/>
        <c:title>
          <c:tx>
            <c:rich>
              <a:bodyPr rot="-5400000" vert="horz"/>
              <a:lstStyle/>
              <a:p>
                <a:pPr>
                  <a:defRPr lang="en-GB"/>
                </a:pPr>
                <a:r>
                  <a:rPr lang="en-US"/>
                  <a:t>Total benefit cost as percentage of GDP</a:t>
                </a:r>
              </a:p>
            </c:rich>
          </c:tx>
          <c:layout>
            <c:manualLayout>
              <c:xMode val="edge"/>
              <c:yMode val="edge"/>
              <c:x val="1.5977404998288265E-2"/>
              <c:y val="0.11600391742077017"/>
            </c:manualLayout>
          </c:layout>
          <c:spPr>
            <a:noFill/>
            <a:ln w="25400">
              <a:noFill/>
            </a:ln>
          </c:spPr>
        </c:title>
        <c:numFmt formatCode="0.0" sourceLinked="0"/>
        <c:tickLblPos val="nextTo"/>
        <c:spPr>
          <a:ln>
            <a:noFill/>
          </a:ln>
        </c:spPr>
        <c:txPr>
          <a:bodyPr/>
          <a:lstStyle/>
          <a:p>
            <a:pPr>
              <a:defRPr lang="en-GB"/>
            </a:pPr>
            <a:endParaRPr lang="en-US"/>
          </a:p>
        </c:txPr>
        <c:crossAx val="137482240"/>
        <c:crosses val="autoZero"/>
        <c:crossBetween val="between"/>
      </c:valAx>
    </c:plotArea>
    <c:legend>
      <c:legendPos val="r"/>
      <c:layout>
        <c:manualLayout>
          <c:xMode val="edge"/>
          <c:yMode val="edge"/>
          <c:x val="0.71956590208832594"/>
          <c:y val="9.5522388059701507E-2"/>
          <c:w val="0.27173935866712096"/>
          <c:h val="0.89552238805969919"/>
        </c:manualLayout>
      </c:layout>
      <c:txPr>
        <a:bodyPr/>
        <a:lstStyle/>
        <a:p>
          <a:pPr>
            <a:defRPr lang="en-GB"/>
          </a:pPr>
          <a:endParaRPr lang="en-US"/>
        </a:p>
      </c:txPr>
    </c:legend>
    <c:plotVisOnly val="1"/>
    <c:dispBlanksAs val="gap"/>
  </c:chart>
  <c:spPr>
    <a:solidFill>
      <a:srgbClr val="FFFFFF"/>
    </a:solidFill>
    <a:ln w="9525">
      <a:noFill/>
    </a:ln>
  </c:spPr>
  <c:printSettings>
    <c:headerFooter/>
    <c:pageMargins b="0.98425196899999956" l="0.78740157499999996" r="0.78740157499999996" t="0.98425196899999956" header="0.49212598450000133" footer="0.4921259845000013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GB"/>
  <c:style val="4"/>
  <c:chart>
    <c:autoTitleDeleted val="1"/>
    <c:plotArea>
      <c:layout>
        <c:manualLayout>
          <c:layoutTarget val="inner"/>
          <c:xMode val="edge"/>
          <c:yMode val="edge"/>
          <c:x val="0.1032450654650838"/>
          <c:y val="0.10828011243605642"/>
          <c:w val="0.87304974739430175"/>
          <c:h val="0.58388044066553768"/>
        </c:manualLayout>
      </c:layout>
      <c:barChart>
        <c:barDir val="col"/>
        <c:grouping val="stacked"/>
        <c:ser>
          <c:idx val="0"/>
          <c:order val="0"/>
          <c:tx>
            <c:strRef>
              <c:f>'GGO(SQ) (SQ and Post SPF)'!$B$469</c:f>
              <c:strCache>
                <c:ptCount val="1"/>
                <c:pt idx="0">
                  <c:v>General government fiscal balance (IMF) - status quo</c:v>
                </c:pt>
              </c:strCache>
            </c:strRef>
          </c:tx>
          <c:spPr>
            <a:solidFill>
              <a:schemeClr val="accent3">
                <a:lumMod val="60000"/>
                <a:lumOff val="40000"/>
              </a:schemeClr>
            </a:solidFill>
          </c:spPr>
          <c:dLbls>
            <c:spPr>
              <a:noFill/>
              <a:ln w="25400">
                <a:noFill/>
              </a:ln>
            </c:spPr>
            <c:txPr>
              <a:bodyPr/>
              <a:lstStyle/>
              <a:p>
                <a:pPr>
                  <a:defRPr lang="en-GB">
                    <a:solidFill>
                      <a:sysClr val="windowText" lastClr="000000"/>
                    </a:solidFill>
                  </a:defRPr>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SPF)'!$C$469:$R$469</c:f>
              <c:numCache>
                <c:formatCode>0.0</c:formatCode>
                <c:ptCount val="16"/>
                <c:pt idx="0">
                  <c:v>-3.2910044031340679</c:v>
                </c:pt>
                <c:pt idx="1">
                  <c:v>-0.20466710802502394</c:v>
                </c:pt>
                <c:pt idx="2">
                  <c:v>-2.5373952194550626</c:v>
                </c:pt>
                <c:pt idx="3">
                  <c:v>-1.1953755041958576</c:v>
                </c:pt>
                <c:pt idx="4">
                  <c:v>-8.9926307428474317</c:v>
                </c:pt>
                <c:pt idx="5">
                  <c:v>-6.4139757811575144</c:v>
                </c:pt>
                <c:pt idx="6">
                  <c:v>-3.9371596114726799</c:v>
                </c:pt>
                <c:pt idx="7">
                  <c:v>-3.7570230896071366</c:v>
                </c:pt>
                <c:pt idx="8">
                  <c:v>-3.5645143922856395</c:v>
                </c:pt>
                <c:pt idx="9">
                  <c:v>-3.349645554534781</c:v>
                </c:pt>
                <c:pt idx="10">
                  <c:v>-3.0380957966810649</c:v>
                </c:pt>
                <c:pt idx="11">
                  <c:v>-2.9388151720636637</c:v>
                </c:pt>
                <c:pt idx="12">
                  <c:v>-3.0294302497309267</c:v>
                </c:pt>
                <c:pt idx="13">
                  <c:v>-2.9901966590619695</c:v>
                </c:pt>
                <c:pt idx="14">
                  <c:v>-2.9789377438899174</c:v>
                </c:pt>
                <c:pt idx="15">
                  <c:v>-2.9757775686240375</c:v>
                </c:pt>
              </c:numCache>
            </c:numRef>
          </c:val>
        </c:ser>
        <c:ser>
          <c:idx val="1"/>
          <c:order val="1"/>
          <c:tx>
            <c:strRef>
              <c:f>'GGO(SQ) (SQ and Post SPF)'!$B$470</c:f>
              <c:strCache>
                <c:ptCount val="1"/>
                <c:pt idx="0">
                  <c:v>Scenario 1. Old-age  pension for elderly not covered by contributory scheme (65+ as an objective in 2020)</c:v>
                </c:pt>
              </c:strCache>
            </c:strRef>
          </c:tx>
          <c:spPr>
            <a:solidFill>
              <a:schemeClr val="accent1">
                <a:lumMod val="75000"/>
              </a:schemeClr>
            </a:solidFill>
          </c:spPr>
          <c:dLbls>
            <c:dLbl>
              <c:idx val="5"/>
              <c:delete val="1"/>
            </c:dLbl>
            <c:dLbl>
              <c:idx val="6"/>
              <c:delete val="1"/>
            </c:dLbl>
            <c:dLbl>
              <c:idx val="15"/>
              <c:layout>
                <c:manualLayout>
                  <c:x val="3.0268634127886087E-3"/>
                  <c:y val="2.3227185097438042E-7"/>
                </c:manualLayout>
              </c:layout>
              <c:showVal val="1"/>
            </c:dLbl>
            <c:txPr>
              <a:bodyPr/>
              <a:lstStyle/>
              <a:p>
                <a:pPr>
                  <a:defRPr lang="en-US">
                    <a:solidFill>
                      <a:schemeClr val="bg1"/>
                    </a:solidFill>
                  </a:defRPr>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SPF)'!$C$470:$R$470</c:f>
              <c:numCache>
                <c:formatCode>0.0</c:formatCode>
                <c:ptCount val="16"/>
                <c:pt idx="5">
                  <c:v>0</c:v>
                </c:pt>
                <c:pt idx="6">
                  <c:v>-7.6481756358407676E-2</c:v>
                </c:pt>
                <c:pt idx="7">
                  <c:v>-0.17226791323923257</c:v>
                </c:pt>
                <c:pt idx="8">
                  <c:v>-0.22106732707720753</c:v>
                </c:pt>
                <c:pt idx="9">
                  <c:v>-0.27704163939870985</c:v>
                </c:pt>
                <c:pt idx="10">
                  <c:v>-0.3215423067810626</c:v>
                </c:pt>
                <c:pt idx="11">
                  <c:v>-0.37927904362562764</c:v>
                </c:pt>
                <c:pt idx="12">
                  <c:v>-0.44022530358475437</c:v>
                </c:pt>
                <c:pt idx="13">
                  <c:v>-0.48812402648701197</c:v>
                </c:pt>
                <c:pt idx="14">
                  <c:v>-0.56133483457740418</c:v>
                </c:pt>
                <c:pt idx="15">
                  <c:v>-0.60250257673300389</c:v>
                </c:pt>
              </c:numCache>
            </c:numRef>
          </c:val>
        </c:ser>
        <c:ser>
          <c:idx val="2"/>
          <c:order val="2"/>
          <c:tx>
            <c:strRef>
              <c:f>'GGO(SQ) (SQ and Post SPF)'!$B$473</c:f>
              <c:strCache>
                <c:ptCount val="1"/>
                <c:pt idx="0">
                  <c:v>Scenario 2b. Child benefit (targeted cash and kind) but limited to 2 children</c:v>
                </c:pt>
              </c:strCache>
            </c:strRef>
          </c:tx>
          <c:spPr>
            <a:solidFill>
              <a:schemeClr val="tx2">
                <a:lumMod val="40000"/>
                <a:lumOff val="60000"/>
              </a:schemeClr>
            </a:solidFill>
          </c:spPr>
          <c:dLbls>
            <c:dLbl>
              <c:idx val="5"/>
              <c:delete val="1"/>
            </c:dLbl>
            <c:dLbl>
              <c:idx val="6"/>
              <c:layout>
                <c:manualLayout>
                  <c:x val="0"/>
                  <c:y val="8.8698779614854156E-3"/>
                </c:manualLayout>
              </c:layout>
              <c:showVal val="1"/>
            </c:dLbl>
            <c:dLbl>
              <c:idx val="15"/>
              <c:layout>
                <c:manualLayout>
                  <c:x val="6.0537268255771107E-3"/>
                  <c:y val="2.3227185097438042E-7"/>
                </c:manualLayout>
              </c:layout>
              <c:showVal val="1"/>
            </c:dLbl>
            <c:txPr>
              <a:bodyPr/>
              <a:lstStyle/>
              <a:p>
                <a:pPr>
                  <a:defRPr lang="en-US"/>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SPF)'!$C$473:$R$473</c:f>
              <c:numCache>
                <c:formatCode>0.0</c:formatCode>
                <c:ptCount val="16"/>
                <c:pt idx="5">
                  <c:v>0</c:v>
                </c:pt>
                <c:pt idx="6">
                  <c:v>-0.12834785888084813</c:v>
                </c:pt>
                <c:pt idx="7">
                  <c:v>-0.25505977188648149</c:v>
                </c:pt>
                <c:pt idx="8">
                  <c:v>-0.29271140367035764</c:v>
                </c:pt>
                <c:pt idx="9">
                  <c:v>-0.32453083766872681</c:v>
                </c:pt>
                <c:pt idx="10">
                  <c:v>-0.40288815495369956</c:v>
                </c:pt>
                <c:pt idx="11">
                  <c:v>-0.47258142052365754</c:v>
                </c:pt>
                <c:pt idx="12">
                  <c:v>-0.44633873768371335</c:v>
                </c:pt>
                <c:pt idx="13">
                  <c:v>-0.42356338175811103</c:v>
                </c:pt>
                <c:pt idx="14">
                  <c:v>-0.40377936149993537</c:v>
                </c:pt>
                <c:pt idx="15">
                  <c:v>-0.38670515228541869</c:v>
                </c:pt>
              </c:numCache>
            </c:numRef>
          </c:val>
        </c:ser>
        <c:ser>
          <c:idx val="3"/>
          <c:order val="3"/>
          <c:tx>
            <c:strRef>
              <c:f>'GGO(SQ) (SQ and Post SPF)'!$B$474</c:f>
              <c:strCache>
                <c:ptCount val="1"/>
                <c:pt idx="0">
                  <c:v>Working-age income security</c:v>
                </c:pt>
              </c:strCache>
            </c:strRef>
          </c:tx>
          <c:spPr>
            <a:solidFill>
              <a:schemeClr val="bg1">
                <a:lumMod val="75000"/>
              </a:schemeClr>
            </a:solidFill>
          </c:spPr>
          <c:dLbls>
            <c:dLbl>
              <c:idx val="5"/>
              <c:delete val="1"/>
            </c:dLbl>
            <c:dLbl>
              <c:idx val="15"/>
              <c:layout>
                <c:manualLayout>
                  <c:x val="3.0268634127886087E-3"/>
                  <c:y val="2.3227185092030052E-7"/>
                </c:manualLayout>
              </c:layout>
              <c:showVal val="1"/>
            </c:dLbl>
            <c:txPr>
              <a:bodyPr/>
              <a:lstStyle/>
              <a:p>
                <a:pPr>
                  <a:defRPr lang="en-US"/>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SPF)'!$C$474:$R$474</c:f>
              <c:numCache>
                <c:formatCode>0.0</c:formatCode>
                <c:ptCount val="16"/>
                <c:pt idx="5">
                  <c:v>0</c:v>
                </c:pt>
                <c:pt idx="6">
                  <c:v>-0.42390700550183824</c:v>
                </c:pt>
                <c:pt idx="7">
                  <c:v>-0.86247284695467974</c:v>
                </c:pt>
                <c:pt idx="8">
                  <c:v>-1.0048534111917509</c:v>
                </c:pt>
                <c:pt idx="9">
                  <c:v>-1.1379858403547507</c:v>
                </c:pt>
                <c:pt idx="10">
                  <c:v>-1.1024998034793752</c:v>
                </c:pt>
                <c:pt idx="11">
                  <c:v>-1.0766767531565706</c:v>
                </c:pt>
                <c:pt idx="12">
                  <c:v>-1.0539955292479177</c:v>
                </c:pt>
                <c:pt idx="13">
                  <c:v>-1.0325452416827277</c:v>
                </c:pt>
                <c:pt idx="14">
                  <c:v>-1.0125828141550952</c:v>
                </c:pt>
                <c:pt idx="15">
                  <c:v>-0.99461641629182718</c:v>
                </c:pt>
              </c:numCache>
            </c:numRef>
          </c:val>
        </c:ser>
        <c:ser>
          <c:idx val="4"/>
          <c:order val="4"/>
          <c:tx>
            <c:strRef>
              <c:f>'GGO(SQ) (SQ and Post SPF)'!$B$476</c:f>
              <c:strCache>
                <c:ptCount val="1"/>
                <c:pt idx="0">
                  <c:v>Additional interest payments ("modest scenario")</c:v>
                </c:pt>
              </c:strCache>
            </c:strRef>
          </c:tx>
          <c:spPr>
            <a:solidFill>
              <a:schemeClr val="accent6">
                <a:lumMod val="75000"/>
              </a:schemeClr>
            </a:solidFill>
          </c:spPr>
          <c:dLbls>
            <c:dLbl>
              <c:idx val="0"/>
              <c:delete val="1"/>
            </c:dLbl>
            <c:dLbl>
              <c:idx val="1"/>
              <c:delete val="1"/>
            </c:dLbl>
            <c:dLbl>
              <c:idx val="2"/>
              <c:delete val="1"/>
            </c:dLbl>
            <c:dLbl>
              <c:idx val="3"/>
              <c:delete val="1"/>
            </c:dLbl>
            <c:dLbl>
              <c:idx val="4"/>
              <c:delete val="1"/>
            </c:dLbl>
            <c:dLbl>
              <c:idx val="5"/>
              <c:delete val="1"/>
            </c:dLbl>
            <c:dLbl>
              <c:idx val="6"/>
              <c:delete val="1"/>
            </c:dLbl>
            <c:dLbl>
              <c:idx val="15"/>
              <c:layout>
                <c:manualLayout>
                  <c:x val="1.5134317063943599E-3"/>
                  <c:y val="2.950084779225608E-3"/>
                </c:manualLayout>
              </c:layout>
              <c:showVal val="1"/>
            </c:dLbl>
            <c:txPr>
              <a:bodyPr/>
              <a:lstStyle/>
              <a:p>
                <a:pPr>
                  <a:defRPr lang="en-US"/>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SPF)'!$C$476:$R$476</c:f>
              <c:numCache>
                <c:formatCode>0.0</c:formatCode>
                <c:ptCount val="16"/>
                <c:pt idx="0">
                  <c:v>0</c:v>
                </c:pt>
                <c:pt idx="1">
                  <c:v>0</c:v>
                </c:pt>
                <c:pt idx="2">
                  <c:v>0</c:v>
                </c:pt>
                <c:pt idx="3">
                  <c:v>0</c:v>
                </c:pt>
                <c:pt idx="4">
                  <c:v>0</c:v>
                </c:pt>
                <c:pt idx="5">
                  <c:v>0</c:v>
                </c:pt>
                <c:pt idx="6">
                  <c:v>-3.813696107920829E-2</c:v>
                </c:pt>
                <c:pt idx="7">
                  <c:v>-0.10349760356930283</c:v>
                </c:pt>
                <c:pt idx="8">
                  <c:v>-0.20261963142935058</c:v>
                </c:pt>
                <c:pt idx="9">
                  <c:v>-0.30158832184862178</c:v>
                </c:pt>
                <c:pt idx="10">
                  <c:v>-0.39600726736694197</c:v>
                </c:pt>
                <c:pt idx="11">
                  <c:v>-0.47442243497391945</c:v>
                </c:pt>
                <c:pt idx="12">
                  <c:v>-0.55624852242666367</c:v>
                </c:pt>
                <c:pt idx="13">
                  <c:v>-0.64932246323520459</c:v>
                </c:pt>
                <c:pt idx="14">
                  <c:v>-0.74393040391411569</c:v>
                </c:pt>
                <c:pt idx="15">
                  <c:v>-0.88004713722424444</c:v>
                </c:pt>
              </c:numCache>
            </c:numRef>
          </c:val>
        </c:ser>
        <c:gapWidth val="36"/>
        <c:overlap val="100"/>
        <c:axId val="135318144"/>
        <c:axId val="137494912"/>
      </c:barChart>
      <c:catAx>
        <c:axId val="135318144"/>
        <c:scaling>
          <c:orientation val="minMax"/>
        </c:scaling>
        <c:axPos val="b"/>
        <c:numFmt formatCode="General" sourceLinked="1"/>
        <c:tickLblPos val="high"/>
        <c:spPr>
          <a:ln>
            <a:noFill/>
          </a:ln>
        </c:spPr>
        <c:txPr>
          <a:bodyPr/>
          <a:lstStyle/>
          <a:p>
            <a:pPr>
              <a:defRPr lang="en-GB"/>
            </a:pPr>
            <a:endParaRPr lang="en-US"/>
          </a:p>
        </c:txPr>
        <c:crossAx val="137494912"/>
        <c:crosses val="autoZero"/>
        <c:auto val="1"/>
        <c:lblAlgn val="ctr"/>
        <c:lblOffset val="100"/>
      </c:catAx>
      <c:valAx>
        <c:axId val="137494912"/>
        <c:scaling>
          <c:orientation val="minMax"/>
        </c:scaling>
        <c:axPos val="l"/>
        <c:majorGridlines/>
        <c:title>
          <c:tx>
            <c:rich>
              <a:bodyPr rot="-5400000" vert="horz"/>
              <a:lstStyle/>
              <a:p>
                <a:pPr>
                  <a:defRPr lang="en-GB" b="0"/>
                </a:pPr>
                <a:r>
                  <a:rPr lang="en-US" b="0"/>
                  <a:t>Percentage of GDP</a:t>
                </a:r>
              </a:p>
            </c:rich>
          </c:tx>
          <c:layout>
            <c:manualLayout>
              <c:xMode val="edge"/>
              <c:yMode val="edge"/>
              <c:x val="1.3665286058895819E-2"/>
              <c:y val="0.28015581181936638"/>
            </c:manualLayout>
          </c:layout>
          <c:spPr>
            <a:noFill/>
            <a:ln w="25400">
              <a:noFill/>
            </a:ln>
          </c:spPr>
        </c:title>
        <c:numFmt formatCode="0.0" sourceLinked="1"/>
        <c:tickLblPos val="nextTo"/>
        <c:spPr>
          <a:ln>
            <a:noFill/>
          </a:ln>
        </c:spPr>
        <c:txPr>
          <a:bodyPr/>
          <a:lstStyle/>
          <a:p>
            <a:pPr>
              <a:defRPr lang="en-GB"/>
            </a:pPr>
            <a:endParaRPr lang="en-US"/>
          </a:p>
        </c:txPr>
        <c:crossAx val="135318144"/>
        <c:crosses val="autoZero"/>
        <c:crossBetween val="between"/>
      </c:valAx>
    </c:plotArea>
    <c:legend>
      <c:legendPos val="r"/>
      <c:layout>
        <c:manualLayout>
          <c:xMode val="edge"/>
          <c:yMode val="edge"/>
          <c:x val="1.8816190577074718E-2"/>
          <c:y val="0.73294388090623919"/>
          <c:w val="0.98118380942292482"/>
          <c:h val="0.22482369304723829"/>
        </c:manualLayout>
      </c:layout>
      <c:txPr>
        <a:bodyPr/>
        <a:lstStyle/>
        <a:p>
          <a:pPr>
            <a:defRPr lang="en-GB" sz="1000"/>
          </a:pPr>
          <a:endParaRPr lang="en-US"/>
        </a:p>
      </c:txPr>
    </c:legend>
    <c:plotVisOnly val="1"/>
    <c:dispBlanksAs val="gap"/>
  </c:chart>
  <c:spPr>
    <a:ln>
      <a:noFill/>
    </a:ln>
  </c:spPr>
  <c:printSettings>
    <c:headerFooter/>
    <c:pageMargins b="0.75000000000000755" l="0.70000000000000062" r="0.70000000000000062" t="0.7500000000000075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GB"/>
  <c:style val="4"/>
  <c:chart>
    <c:autoTitleDeleted val="1"/>
    <c:plotArea>
      <c:layout>
        <c:manualLayout>
          <c:layoutTarget val="inner"/>
          <c:xMode val="edge"/>
          <c:yMode val="edge"/>
          <c:x val="0.10324506546508386"/>
          <c:y val="0.10138635896319412"/>
          <c:w val="0.87304974739430208"/>
          <c:h val="0.58619664477424138"/>
        </c:manualLayout>
      </c:layout>
      <c:barChart>
        <c:barDir val="col"/>
        <c:grouping val="stacked"/>
        <c:ser>
          <c:idx val="0"/>
          <c:order val="0"/>
          <c:tx>
            <c:strRef>
              <c:f>'GGO(SQ) (SQ and Post SPF)'!$B$469</c:f>
              <c:strCache>
                <c:ptCount val="1"/>
                <c:pt idx="0">
                  <c:v>General government fiscal balance (IMF) - status quo</c:v>
                </c:pt>
              </c:strCache>
            </c:strRef>
          </c:tx>
          <c:spPr>
            <a:solidFill>
              <a:schemeClr val="accent3">
                <a:lumMod val="60000"/>
                <a:lumOff val="40000"/>
              </a:schemeClr>
            </a:solidFill>
          </c:spPr>
          <c:dLbls>
            <c:spPr>
              <a:noFill/>
              <a:ln w="25400">
                <a:noFill/>
              </a:ln>
            </c:spPr>
            <c:txPr>
              <a:bodyPr/>
              <a:lstStyle/>
              <a:p>
                <a:pPr>
                  <a:defRPr lang="en-GB">
                    <a:solidFill>
                      <a:sysClr val="windowText" lastClr="000000"/>
                    </a:solidFill>
                  </a:defRPr>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SPF)'!$C$469:$R$469</c:f>
              <c:numCache>
                <c:formatCode>0.0</c:formatCode>
                <c:ptCount val="16"/>
                <c:pt idx="0">
                  <c:v>-3.2910044031340679</c:v>
                </c:pt>
                <c:pt idx="1">
                  <c:v>-0.20466710802502394</c:v>
                </c:pt>
                <c:pt idx="2">
                  <c:v>-2.5373952194550626</c:v>
                </c:pt>
                <c:pt idx="3">
                  <c:v>-1.1953755041958576</c:v>
                </c:pt>
                <c:pt idx="4">
                  <c:v>-8.9926307428474317</c:v>
                </c:pt>
                <c:pt idx="5">
                  <c:v>-6.4139757811575144</c:v>
                </c:pt>
                <c:pt idx="6">
                  <c:v>-3.9371596114726799</c:v>
                </c:pt>
                <c:pt idx="7">
                  <c:v>-3.7570230896071366</c:v>
                </c:pt>
                <c:pt idx="8">
                  <c:v>-3.5645143922856395</c:v>
                </c:pt>
                <c:pt idx="9">
                  <c:v>-3.349645554534781</c:v>
                </c:pt>
                <c:pt idx="10">
                  <c:v>-3.0380957966810649</c:v>
                </c:pt>
                <c:pt idx="11">
                  <c:v>-2.9388151720636637</c:v>
                </c:pt>
                <c:pt idx="12">
                  <c:v>-3.0294302497309267</c:v>
                </c:pt>
                <c:pt idx="13">
                  <c:v>-2.9901966590619695</c:v>
                </c:pt>
                <c:pt idx="14">
                  <c:v>-2.9789377438899174</c:v>
                </c:pt>
                <c:pt idx="15">
                  <c:v>-2.9757775686240375</c:v>
                </c:pt>
              </c:numCache>
            </c:numRef>
          </c:val>
        </c:ser>
        <c:ser>
          <c:idx val="1"/>
          <c:order val="1"/>
          <c:tx>
            <c:strRef>
              <c:f>'GGO(SQ) (SQ and Post SPF)'!$B$470</c:f>
              <c:strCache>
                <c:ptCount val="1"/>
                <c:pt idx="0">
                  <c:v>Scenario 1. Old-age  pension for elderly not covered by contributory scheme (65+ as an objective in 2020)</c:v>
                </c:pt>
              </c:strCache>
            </c:strRef>
          </c:tx>
          <c:spPr>
            <a:solidFill>
              <a:schemeClr val="accent1">
                <a:lumMod val="75000"/>
              </a:schemeClr>
            </a:solidFill>
          </c:spPr>
          <c:dLbls>
            <c:dLbl>
              <c:idx val="5"/>
              <c:delete val="1"/>
            </c:dLbl>
            <c:dLbl>
              <c:idx val="6"/>
              <c:delete val="1"/>
            </c:dLbl>
            <c:dLbl>
              <c:idx val="15"/>
              <c:layout>
                <c:manualLayout>
                  <c:x val="3.0268634127886087E-3"/>
                  <c:y val="2.3227185097438042E-7"/>
                </c:manualLayout>
              </c:layout>
              <c:showVal val="1"/>
            </c:dLbl>
            <c:txPr>
              <a:bodyPr/>
              <a:lstStyle/>
              <a:p>
                <a:pPr>
                  <a:defRPr lang="en-US">
                    <a:solidFill>
                      <a:schemeClr val="bg1"/>
                    </a:solidFill>
                  </a:defRPr>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SPF)'!$C$470:$R$470</c:f>
              <c:numCache>
                <c:formatCode>0.0</c:formatCode>
                <c:ptCount val="16"/>
                <c:pt idx="5">
                  <c:v>0</c:v>
                </c:pt>
                <c:pt idx="6">
                  <c:v>-7.6481756358407676E-2</c:v>
                </c:pt>
                <c:pt idx="7">
                  <c:v>-0.17226791323923257</c:v>
                </c:pt>
                <c:pt idx="8">
                  <c:v>-0.22106732707720753</c:v>
                </c:pt>
                <c:pt idx="9">
                  <c:v>-0.27704163939870985</c:v>
                </c:pt>
                <c:pt idx="10">
                  <c:v>-0.3215423067810626</c:v>
                </c:pt>
                <c:pt idx="11">
                  <c:v>-0.37927904362562764</c:v>
                </c:pt>
                <c:pt idx="12">
                  <c:v>-0.44022530358475437</c:v>
                </c:pt>
                <c:pt idx="13">
                  <c:v>-0.48812402648701197</c:v>
                </c:pt>
                <c:pt idx="14">
                  <c:v>-0.56133483457740418</c:v>
                </c:pt>
                <c:pt idx="15">
                  <c:v>-0.60250257673300389</c:v>
                </c:pt>
              </c:numCache>
            </c:numRef>
          </c:val>
        </c:ser>
        <c:ser>
          <c:idx val="2"/>
          <c:order val="2"/>
          <c:tx>
            <c:strRef>
              <c:f>'GGO(SQ) (SQ and Post SPF)'!$B$472</c:f>
              <c:strCache>
                <c:ptCount val="1"/>
                <c:pt idx="0">
                  <c:v>Scenario 2a. Child benefit (targeted for all poor children cash and kind )</c:v>
                </c:pt>
              </c:strCache>
            </c:strRef>
          </c:tx>
          <c:spPr>
            <a:solidFill>
              <a:schemeClr val="tx2">
                <a:lumMod val="40000"/>
                <a:lumOff val="60000"/>
              </a:schemeClr>
            </a:solidFill>
          </c:spPr>
          <c:dLbls>
            <c:dLbl>
              <c:idx val="5"/>
              <c:delete val="1"/>
            </c:dLbl>
            <c:dLbl>
              <c:idx val="6"/>
              <c:layout>
                <c:manualLayout>
                  <c:x val="0"/>
                  <c:y val="9.2170736722425803E-3"/>
                </c:manualLayout>
              </c:layout>
              <c:showVal val="1"/>
            </c:dLbl>
            <c:dLbl>
              <c:idx val="15"/>
              <c:layout>
                <c:manualLayout>
                  <c:x val="6.0537268255771125E-3"/>
                  <c:y val="2.3227185097438042E-7"/>
                </c:manualLayout>
              </c:layout>
              <c:showVal val="1"/>
            </c:dLbl>
            <c:txPr>
              <a:bodyPr/>
              <a:lstStyle/>
              <a:p>
                <a:pPr>
                  <a:defRPr lang="en-US"/>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SPF)'!$C$472:$R$472</c:f>
              <c:numCache>
                <c:formatCode>0.0</c:formatCode>
                <c:ptCount val="16"/>
                <c:pt idx="5">
                  <c:v>0</c:v>
                </c:pt>
                <c:pt idx="6">
                  <c:v>-0.23656098230020253</c:v>
                </c:pt>
                <c:pt idx="7">
                  <c:v>-0.47317831008327838</c:v>
                </c:pt>
                <c:pt idx="8">
                  <c:v>-0.54195122982304422</c:v>
                </c:pt>
                <c:pt idx="9">
                  <c:v>-0.59958036507729484</c:v>
                </c:pt>
                <c:pt idx="10">
                  <c:v>-0.74269096813190105</c:v>
                </c:pt>
                <c:pt idx="11">
                  <c:v>-0.8691432344746427</c:v>
                </c:pt>
                <c:pt idx="12">
                  <c:v>-0.8189414057595944</c:v>
                </c:pt>
                <c:pt idx="13">
                  <c:v>-0.77529649586100569</c:v>
                </c:pt>
                <c:pt idx="14">
                  <c:v>-0.73730811594077217</c:v>
                </c:pt>
                <c:pt idx="15">
                  <c:v>-0.70443414467270349</c:v>
                </c:pt>
              </c:numCache>
            </c:numRef>
          </c:val>
        </c:ser>
        <c:ser>
          <c:idx val="3"/>
          <c:order val="3"/>
          <c:tx>
            <c:strRef>
              <c:f>'GGO(SQ) (SQ and Post SPF)'!$B$474</c:f>
              <c:strCache>
                <c:ptCount val="1"/>
                <c:pt idx="0">
                  <c:v>Working-age income security</c:v>
                </c:pt>
              </c:strCache>
            </c:strRef>
          </c:tx>
          <c:spPr>
            <a:solidFill>
              <a:schemeClr val="bg1">
                <a:lumMod val="75000"/>
              </a:schemeClr>
            </a:solidFill>
          </c:spPr>
          <c:dLbls>
            <c:dLbl>
              <c:idx val="5"/>
              <c:delete val="1"/>
            </c:dLbl>
            <c:dLbl>
              <c:idx val="15"/>
              <c:layout>
                <c:manualLayout>
                  <c:x val="3.0268634127886087E-3"/>
                  <c:y val="2.3227185092030052E-7"/>
                </c:manualLayout>
              </c:layout>
              <c:showVal val="1"/>
            </c:dLbl>
            <c:txPr>
              <a:bodyPr/>
              <a:lstStyle/>
              <a:p>
                <a:pPr>
                  <a:defRPr lang="en-US"/>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SPF)'!$C$474:$R$474</c:f>
              <c:numCache>
                <c:formatCode>0.0</c:formatCode>
                <c:ptCount val="16"/>
                <c:pt idx="5">
                  <c:v>0</c:v>
                </c:pt>
                <c:pt idx="6">
                  <c:v>-0.42390700550183824</c:v>
                </c:pt>
                <c:pt idx="7">
                  <c:v>-0.86247284695467974</c:v>
                </c:pt>
                <c:pt idx="8">
                  <c:v>-1.0048534111917509</c:v>
                </c:pt>
                <c:pt idx="9">
                  <c:v>-1.1379858403547507</c:v>
                </c:pt>
                <c:pt idx="10">
                  <c:v>-1.1024998034793752</c:v>
                </c:pt>
                <c:pt idx="11">
                  <c:v>-1.0766767531565706</c:v>
                </c:pt>
                <c:pt idx="12">
                  <c:v>-1.0539955292479177</c:v>
                </c:pt>
                <c:pt idx="13">
                  <c:v>-1.0325452416827277</c:v>
                </c:pt>
                <c:pt idx="14">
                  <c:v>-1.0125828141550952</c:v>
                </c:pt>
                <c:pt idx="15">
                  <c:v>-0.99461641629182718</c:v>
                </c:pt>
              </c:numCache>
            </c:numRef>
          </c:val>
        </c:ser>
        <c:ser>
          <c:idx val="4"/>
          <c:order val="4"/>
          <c:tx>
            <c:strRef>
              <c:f>'GGO(SQ) (SQ and Post SPF)'!$B$477</c:f>
              <c:strCache>
                <c:ptCount val="1"/>
                <c:pt idx="0">
                  <c:v>Additional interest payments ("intermediate scenario")</c:v>
                </c:pt>
              </c:strCache>
            </c:strRef>
          </c:tx>
          <c:spPr>
            <a:solidFill>
              <a:schemeClr val="accent6">
                <a:lumMod val="75000"/>
              </a:schemeClr>
            </a:solidFill>
          </c:spPr>
          <c:dLbls>
            <c:dLbl>
              <c:idx val="0"/>
              <c:delete val="1"/>
            </c:dLbl>
            <c:dLbl>
              <c:idx val="1"/>
              <c:delete val="1"/>
            </c:dLbl>
            <c:dLbl>
              <c:idx val="2"/>
              <c:delete val="1"/>
            </c:dLbl>
            <c:dLbl>
              <c:idx val="3"/>
              <c:delete val="1"/>
            </c:dLbl>
            <c:dLbl>
              <c:idx val="4"/>
              <c:delete val="1"/>
            </c:dLbl>
            <c:dLbl>
              <c:idx val="5"/>
              <c:delete val="1"/>
            </c:dLbl>
            <c:dLbl>
              <c:idx val="6"/>
              <c:delete val="1"/>
            </c:dLbl>
            <c:dLbl>
              <c:idx val="15"/>
              <c:layout>
                <c:manualLayout>
                  <c:x val="1.5134317063943599E-3"/>
                  <c:y val="2.9500847792256089E-3"/>
                </c:manualLayout>
              </c:layout>
              <c:showVal val="1"/>
            </c:dLbl>
            <c:txPr>
              <a:bodyPr/>
              <a:lstStyle/>
              <a:p>
                <a:pPr>
                  <a:defRPr lang="en-US"/>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SPF)'!$C$477:$R$477</c:f>
              <c:numCache>
                <c:formatCode>0.0</c:formatCode>
                <c:ptCount val="16"/>
                <c:pt idx="0">
                  <c:v>0</c:v>
                </c:pt>
                <c:pt idx="1">
                  <c:v>0</c:v>
                </c:pt>
                <c:pt idx="2">
                  <c:v>0</c:v>
                </c:pt>
                <c:pt idx="3">
                  <c:v>0</c:v>
                </c:pt>
                <c:pt idx="4">
                  <c:v>0</c:v>
                </c:pt>
                <c:pt idx="5">
                  <c:v>0</c:v>
                </c:pt>
                <c:pt idx="6">
                  <c:v>-4.4700790097529475E-2</c:v>
                </c:pt>
                <c:pt idx="7">
                  <c:v>-0.12114921375760764</c:v>
                </c:pt>
                <c:pt idx="8">
                  <c:v>-0.23671540743961683</c:v>
                </c:pt>
                <c:pt idx="9">
                  <c:v>-0.3514409426992669</c:v>
                </c:pt>
                <c:pt idx="10">
                  <c:v>-0.46243285720623756</c:v>
                </c:pt>
                <c:pt idx="11">
                  <c:v>-0.55754783129901031</c:v>
                </c:pt>
                <c:pt idx="12">
                  <c:v>-0.65656828233739584</c:v>
                </c:pt>
                <c:pt idx="13">
                  <c:v>-0.76715118402114735</c:v>
                </c:pt>
                <c:pt idx="14">
                  <c:v>-0.87804141378709288</c:v>
                </c:pt>
                <c:pt idx="15">
                  <c:v>-1.0365224926040912</c:v>
                </c:pt>
              </c:numCache>
            </c:numRef>
          </c:val>
        </c:ser>
        <c:gapWidth val="36"/>
        <c:overlap val="100"/>
        <c:axId val="137573504"/>
        <c:axId val="137575040"/>
      </c:barChart>
      <c:catAx>
        <c:axId val="137573504"/>
        <c:scaling>
          <c:orientation val="minMax"/>
        </c:scaling>
        <c:axPos val="b"/>
        <c:numFmt formatCode="General" sourceLinked="1"/>
        <c:tickLblPos val="high"/>
        <c:spPr>
          <a:ln>
            <a:noFill/>
          </a:ln>
        </c:spPr>
        <c:txPr>
          <a:bodyPr/>
          <a:lstStyle/>
          <a:p>
            <a:pPr>
              <a:defRPr lang="en-GB"/>
            </a:pPr>
            <a:endParaRPr lang="en-US"/>
          </a:p>
        </c:txPr>
        <c:crossAx val="137575040"/>
        <c:crosses val="autoZero"/>
        <c:auto val="1"/>
        <c:lblAlgn val="ctr"/>
        <c:lblOffset val="100"/>
      </c:catAx>
      <c:valAx>
        <c:axId val="137575040"/>
        <c:scaling>
          <c:orientation val="minMax"/>
        </c:scaling>
        <c:axPos val="l"/>
        <c:majorGridlines/>
        <c:title>
          <c:tx>
            <c:rich>
              <a:bodyPr rot="-5400000" vert="horz"/>
              <a:lstStyle/>
              <a:p>
                <a:pPr>
                  <a:defRPr lang="en-GB" b="0"/>
                </a:pPr>
                <a:r>
                  <a:rPr lang="en-US" b="0"/>
                  <a:t>Percentage of GDP</a:t>
                </a:r>
              </a:p>
            </c:rich>
          </c:tx>
          <c:layout>
            <c:manualLayout>
              <c:xMode val="edge"/>
              <c:yMode val="edge"/>
              <c:x val="1.3665286058895819E-2"/>
              <c:y val="0.28015581181936638"/>
            </c:manualLayout>
          </c:layout>
          <c:spPr>
            <a:noFill/>
            <a:ln w="25400">
              <a:noFill/>
            </a:ln>
          </c:spPr>
        </c:title>
        <c:numFmt formatCode="0.0" sourceLinked="1"/>
        <c:tickLblPos val="nextTo"/>
        <c:spPr>
          <a:ln>
            <a:noFill/>
          </a:ln>
        </c:spPr>
        <c:txPr>
          <a:bodyPr/>
          <a:lstStyle/>
          <a:p>
            <a:pPr>
              <a:defRPr lang="en-GB"/>
            </a:pPr>
            <a:endParaRPr lang="en-US"/>
          </a:p>
        </c:txPr>
        <c:crossAx val="137573504"/>
        <c:crosses val="autoZero"/>
        <c:crossBetween val="between"/>
      </c:valAx>
    </c:plotArea>
    <c:legend>
      <c:legendPos val="r"/>
      <c:layout>
        <c:manualLayout>
          <c:xMode val="edge"/>
          <c:yMode val="edge"/>
          <c:x val="2.0809248554913503E-2"/>
          <c:y val="0.74679947264656521"/>
          <c:w val="0.97919075144508905"/>
          <c:h val="0.2316951510093497"/>
        </c:manualLayout>
      </c:layout>
      <c:txPr>
        <a:bodyPr/>
        <a:lstStyle/>
        <a:p>
          <a:pPr>
            <a:defRPr lang="en-GB" sz="1000"/>
          </a:pPr>
          <a:endParaRPr lang="en-US"/>
        </a:p>
      </c:txPr>
    </c:legend>
    <c:plotVisOnly val="1"/>
    <c:dispBlanksAs val="gap"/>
  </c:chart>
  <c:spPr>
    <a:ln>
      <a:noFill/>
    </a:ln>
  </c:spPr>
  <c:printSettings>
    <c:headerFooter/>
    <c:pageMargins b="0.75000000000000777" l="0.70000000000000062" r="0.70000000000000062" t="0.75000000000000777"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1200" baseline="0"/>
            </a:pPr>
            <a:r>
              <a:rPr lang="en-US" sz="1200" baseline="0"/>
              <a:t>Composition of child benefit | Universal for all aged 0 to 15</a:t>
            </a:r>
          </a:p>
        </c:rich>
      </c:tx>
      <c:overlay val="1"/>
      <c:spPr>
        <a:noFill/>
        <a:ln w="25400">
          <a:noFill/>
        </a:ln>
      </c:spPr>
    </c:title>
    <c:plotArea>
      <c:layout>
        <c:manualLayout>
          <c:layoutTarget val="inner"/>
          <c:xMode val="edge"/>
          <c:yMode val="edge"/>
          <c:x val="0.13095263468934984"/>
          <c:y val="0.16233766233766234"/>
          <c:w val="0.60912816438833961"/>
          <c:h val="0.65909090909090962"/>
        </c:manualLayout>
      </c:layout>
      <c:barChart>
        <c:barDir val="col"/>
        <c:grouping val="stacked"/>
        <c:ser>
          <c:idx val="0"/>
          <c:order val="0"/>
          <c:tx>
            <c:strRef>
              <c:f>'CHILD (Holistic benefit)'!$A$140</c:f>
              <c:strCache>
                <c:ptCount val="1"/>
                <c:pt idx="0">
                  <c:v>Child allowance</c:v>
                </c:pt>
              </c:strCache>
            </c:strRef>
          </c:tx>
          <c:cat>
            <c:numRef>
              <c:f>'CHILD (Holistic benefit)'!$B$139:$L$139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benefit)'!$B$140:$L$140</c:f>
              <c:numCache>
                <c:formatCode>0.00</c:formatCode>
                <c:ptCount val="11"/>
                <c:pt idx="0">
                  <c:v>0</c:v>
                </c:pt>
                <c:pt idx="1">
                  <c:v>0.75336820444280161</c:v>
                </c:pt>
                <c:pt idx="2">
                  <c:v>1.6468695090372834</c:v>
                </c:pt>
                <c:pt idx="3">
                  <c:v>1.9636557218895023</c:v>
                </c:pt>
                <c:pt idx="4">
                  <c:v>2.2646798054893953</c:v>
                </c:pt>
                <c:pt idx="5">
                  <c:v>2.9261131140029955</c:v>
                </c:pt>
                <c:pt idx="6">
                  <c:v>3.5742012811051063</c:v>
                </c:pt>
                <c:pt idx="7">
                  <c:v>3.5153228260108609</c:v>
                </c:pt>
                <c:pt idx="8">
                  <c:v>3.4738858805545334</c:v>
                </c:pt>
                <c:pt idx="9">
                  <c:v>3.4485443596632708</c:v>
                </c:pt>
                <c:pt idx="10">
                  <c:v>3.4391753141822532</c:v>
                </c:pt>
              </c:numCache>
            </c:numRef>
          </c:val>
        </c:ser>
        <c:ser>
          <c:idx val="1"/>
          <c:order val="1"/>
          <c:tx>
            <c:strRef>
              <c:f>'CHILD (Holistic benefit)'!$A$141</c:f>
              <c:strCache>
                <c:ptCount val="1"/>
                <c:pt idx="0">
                  <c:v>Staff cost</c:v>
                </c:pt>
              </c:strCache>
            </c:strRef>
          </c:tx>
          <c:cat>
            <c:numRef>
              <c:f>'CHILD (Holistic benefit)'!$B$139:$L$139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benefit)'!$B$141:$L$141</c:f>
              <c:numCache>
                <c:formatCode>0.00</c:formatCode>
                <c:ptCount val="11"/>
                <c:pt idx="0">
                  <c:v>0</c:v>
                </c:pt>
                <c:pt idx="1">
                  <c:v>1.6427512077379004E-2</c:v>
                </c:pt>
                <c:pt idx="2">
                  <c:v>3.0029116249931067E-2</c:v>
                </c:pt>
                <c:pt idx="3">
                  <c:v>3.4400756308037905E-2</c:v>
                </c:pt>
                <c:pt idx="4">
                  <c:v>3.8132065576938871E-2</c:v>
                </c:pt>
                <c:pt idx="5">
                  <c:v>4.7371953827564796E-2</c:v>
                </c:pt>
                <c:pt idx="6">
                  <c:v>5.5659573143769181E-2</c:v>
                </c:pt>
                <c:pt idx="7">
                  <c:v>5.2679055025684679E-2</c:v>
                </c:pt>
                <c:pt idx="8">
                  <c:v>5.01110172164057E-2</c:v>
                </c:pt>
                <c:pt idx="9">
                  <c:v>4.7892032576563361E-2</c:v>
                </c:pt>
                <c:pt idx="10">
                  <c:v>4.5984106598756028E-2</c:v>
                </c:pt>
              </c:numCache>
            </c:numRef>
          </c:val>
        </c:ser>
        <c:ser>
          <c:idx val="2"/>
          <c:order val="2"/>
          <c:tx>
            <c:strRef>
              <c:f>'CHILD (Holistic benefit)'!$A$142</c:f>
              <c:strCache>
                <c:ptCount val="1"/>
                <c:pt idx="0">
                  <c:v>Non-staff cost</c:v>
                </c:pt>
              </c:strCache>
            </c:strRef>
          </c:tx>
          <c:cat>
            <c:numRef>
              <c:f>'CHILD (Holistic benefit)'!$B$139:$L$139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benefit)'!$B$142:$L$142</c:f>
              <c:numCache>
                <c:formatCode>0.00</c:formatCode>
                <c:ptCount val="11"/>
                <c:pt idx="0">
                  <c:v>0</c:v>
                </c:pt>
                <c:pt idx="1">
                  <c:v>8.2137560386895021E-3</c:v>
                </c:pt>
                <c:pt idx="2">
                  <c:v>1.5014558124965533E-2</c:v>
                </c:pt>
                <c:pt idx="3">
                  <c:v>1.7200378154018953E-2</c:v>
                </c:pt>
                <c:pt idx="4">
                  <c:v>1.9066032788469436E-2</c:v>
                </c:pt>
                <c:pt idx="5">
                  <c:v>2.3685976913782398E-2</c:v>
                </c:pt>
                <c:pt idx="6">
                  <c:v>2.782978657188459E-2</c:v>
                </c:pt>
                <c:pt idx="7">
                  <c:v>2.633952751284234E-2</c:v>
                </c:pt>
                <c:pt idx="8">
                  <c:v>2.505550860820285E-2</c:v>
                </c:pt>
                <c:pt idx="9">
                  <c:v>2.394601628828168E-2</c:v>
                </c:pt>
                <c:pt idx="10">
                  <c:v>2.2992053299378014E-2</c:v>
                </c:pt>
              </c:numCache>
            </c:numRef>
          </c:val>
        </c:ser>
        <c:ser>
          <c:idx val="3"/>
          <c:order val="3"/>
          <c:tx>
            <c:strRef>
              <c:f>'CHILD (Holistic benefit)'!$A$143</c:f>
              <c:strCache>
                <c:ptCount val="1"/>
                <c:pt idx="0">
                  <c:v>Meals</c:v>
                </c:pt>
              </c:strCache>
            </c:strRef>
          </c:tx>
          <c:cat>
            <c:numRef>
              <c:f>'CHILD (Holistic benefit)'!$B$139:$L$139</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benefit)'!$B$143:$L$143</c:f>
              <c:numCache>
                <c:formatCode>0.00</c:formatCode>
                <c:ptCount val="11"/>
                <c:pt idx="0">
                  <c:v>0</c:v>
                </c:pt>
                <c:pt idx="1">
                  <c:v>0.33715581986780663</c:v>
                </c:pt>
                <c:pt idx="2">
                  <c:v>0.62058255756804714</c:v>
                </c:pt>
                <c:pt idx="3">
                  <c:v>0.70909151606450449</c:v>
                </c:pt>
                <c:pt idx="4">
                  <c:v>0.77796306919147484</c:v>
                </c:pt>
                <c:pt idx="5">
                  <c:v>0.95156203533782668</c:v>
                </c:pt>
                <c:pt idx="6">
                  <c:v>1.0941604797478524</c:v>
                </c:pt>
                <c:pt idx="7">
                  <c:v>1.0096246609047816</c:v>
                </c:pt>
                <c:pt idx="8">
                  <c:v>0.93267385940970871</c:v>
                </c:pt>
                <c:pt idx="9">
                  <c:v>0.86211190188275744</c:v>
                </c:pt>
                <c:pt idx="10">
                  <c:v>0.79721125098154189</c:v>
                </c:pt>
              </c:numCache>
            </c:numRef>
          </c:val>
        </c:ser>
        <c:overlap val="100"/>
        <c:axId val="137750016"/>
        <c:axId val="137751552"/>
      </c:barChart>
      <c:catAx>
        <c:axId val="137750016"/>
        <c:scaling>
          <c:orientation val="minMax"/>
        </c:scaling>
        <c:axPos val="b"/>
        <c:numFmt formatCode="0" sourceLinked="1"/>
        <c:tickLblPos val="nextTo"/>
        <c:txPr>
          <a:bodyPr rot="-5400000" vert="horz"/>
          <a:lstStyle/>
          <a:p>
            <a:pPr>
              <a:defRPr lang="en-GB"/>
            </a:pPr>
            <a:endParaRPr lang="en-US"/>
          </a:p>
        </c:txPr>
        <c:crossAx val="137751552"/>
        <c:crosses val="autoZero"/>
        <c:auto val="1"/>
        <c:lblAlgn val="ctr"/>
        <c:lblOffset val="100"/>
      </c:catAx>
      <c:valAx>
        <c:axId val="137751552"/>
        <c:scaling>
          <c:orientation val="minMax"/>
        </c:scaling>
        <c:axPos val="l"/>
        <c:majorGridlines/>
        <c:title>
          <c:tx>
            <c:rich>
              <a:bodyPr rot="-5400000" vert="horz"/>
              <a:lstStyle/>
              <a:p>
                <a:pPr>
                  <a:defRPr lang="en-GB"/>
                </a:pPr>
                <a:r>
                  <a:rPr lang="en-US" sz="900" b="0"/>
                  <a:t>Total child benefit cost as percentage of GDP</a:t>
                </a:r>
              </a:p>
            </c:rich>
          </c:tx>
          <c:layout>
            <c:manualLayout>
              <c:xMode val="edge"/>
              <c:yMode val="edge"/>
              <c:x val="1.5912652923157876E-2"/>
              <c:y val="8.8437629506838006E-2"/>
            </c:manualLayout>
          </c:layout>
          <c:spPr>
            <a:noFill/>
            <a:ln w="25400">
              <a:noFill/>
            </a:ln>
          </c:spPr>
        </c:title>
        <c:numFmt formatCode="0" sourceLinked="0"/>
        <c:tickLblPos val="nextTo"/>
        <c:txPr>
          <a:bodyPr/>
          <a:lstStyle/>
          <a:p>
            <a:pPr>
              <a:defRPr lang="en-GB"/>
            </a:pPr>
            <a:endParaRPr lang="en-US"/>
          </a:p>
        </c:txPr>
        <c:crossAx val="137750016"/>
        <c:crosses val="autoZero"/>
        <c:crossBetween val="between"/>
      </c:valAx>
    </c:plotArea>
    <c:legend>
      <c:legendPos val="r"/>
      <c:layout>
        <c:manualLayout>
          <c:xMode val="edge"/>
          <c:yMode val="edge"/>
          <c:x val="0.76849642004773266"/>
          <c:y val="0.3425887151102478"/>
          <c:w val="0.21002386634844869"/>
          <c:h val="0.3076306829561386"/>
        </c:manualLayout>
      </c:layout>
      <c:txPr>
        <a:bodyPr/>
        <a:lstStyle/>
        <a:p>
          <a:pPr>
            <a:defRPr lang="en-GB"/>
          </a:pPr>
          <a:endParaRPr lang="en-US"/>
        </a:p>
      </c:txPr>
    </c:legend>
    <c:plotVisOnly val="1"/>
    <c:dispBlanksAs val="gap"/>
  </c:chart>
  <c:printSettings>
    <c:headerFooter/>
    <c:pageMargins b="0.75000000000000799" l="0.70000000000000062" r="0.70000000000000062" t="0.75000000000000799"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a:pPr>
            <a:r>
              <a:rPr lang="en-GB" sz="1000"/>
              <a:t>Child benefit (and</a:t>
            </a:r>
            <a:r>
              <a:rPr lang="en-GB" sz="1000" baseline="0"/>
              <a:t> its components) </a:t>
            </a:r>
            <a:r>
              <a:rPr lang="en-GB" sz="1000"/>
              <a:t>as a percentage of GDP </a:t>
            </a:r>
          </a:p>
          <a:p>
            <a:pPr>
              <a:defRPr lang="en-GB" sz="1000"/>
            </a:pPr>
            <a:r>
              <a:rPr lang="en-GB" sz="1000"/>
              <a:t>Scenario</a:t>
            </a:r>
            <a:r>
              <a:rPr lang="en-GB" sz="1000" baseline="0"/>
              <a:t> 2</a:t>
            </a:r>
            <a:r>
              <a:rPr lang="en-GB" sz="1000"/>
              <a:t> - Targeted for poor children aged 0 to 15</a:t>
            </a:r>
          </a:p>
        </c:rich>
      </c:tx>
      <c:overlay val="1"/>
      <c:spPr>
        <a:noFill/>
        <a:ln w="25400">
          <a:noFill/>
        </a:ln>
      </c:spPr>
    </c:title>
    <c:plotArea>
      <c:layout>
        <c:manualLayout>
          <c:layoutTarget val="inner"/>
          <c:xMode val="edge"/>
          <c:yMode val="edge"/>
          <c:x val="0.1111113264030847"/>
          <c:y val="0.15853682137365033"/>
          <c:w val="0.61904881853148752"/>
          <c:h val="0.65853756570592425"/>
        </c:manualLayout>
      </c:layout>
      <c:barChart>
        <c:barDir val="col"/>
        <c:grouping val="stacked"/>
        <c:ser>
          <c:idx val="0"/>
          <c:order val="0"/>
          <c:tx>
            <c:strRef>
              <c:f>'CHILD (Holistic benefit)'!$A$175</c:f>
              <c:strCache>
                <c:ptCount val="1"/>
                <c:pt idx="0">
                  <c:v>Child allowance</c:v>
                </c:pt>
              </c:strCache>
            </c:strRef>
          </c:tx>
          <c:spPr>
            <a:solidFill>
              <a:schemeClr val="accent1"/>
            </a:solidFill>
          </c:spPr>
          <c:cat>
            <c:multiLvlStrRef>
              <c:f>'CHILD (Holistic benefit)'!$B$174:$L$174</c:f>
            </c:multiLvlStrRef>
          </c:cat>
          <c:val>
            <c:numRef>
              <c:f>'CHILD (Holistic benefit)'!$B$175:$L$175</c:f>
            </c:numRef>
          </c:val>
        </c:ser>
        <c:ser>
          <c:idx val="1"/>
          <c:order val="1"/>
          <c:tx>
            <c:strRef>
              <c:f>'CHILD (Holistic benefit)'!$A$176</c:f>
              <c:strCache>
                <c:ptCount val="1"/>
                <c:pt idx="0">
                  <c:v>Staff cost</c:v>
                </c:pt>
              </c:strCache>
            </c:strRef>
          </c:tx>
          <c:cat>
            <c:multiLvlStrRef>
              <c:f>'CHILD (Holistic benefit)'!$B$174:$L$174</c:f>
            </c:multiLvlStrRef>
          </c:cat>
          <c:val>
            <c:numRef>
              <c:f>'CHILD (Holistic benefit)'!$B$176:$L$176</c:f>
            </c:numRef>
          </c:val>
        </c:ser>
        <c:ser>
          <c:idx val="2"/>
          <c:order val="2"/>
          <c:tx>
            <c:strRef>
              <c:f>'CHILD (Holistic benefit)'!$A$177</c:f>
              <c:strCache>
                <c:ptCount val="1"/>
                <c:pt idx="0">
                  <c:v>Non-staff cost</c:v>
                </c:pt>
              </c:strCache>
            </c:strRef>
          </c:tx>
          <c:cat>
            <c:multiLvlStrRef>
              <c:f>'CHILD (Holistic benefit)'!$B$174:$L$174</c:f>
            </c:multiLvlStrRef>
          </c:cat>
          <c:val>
            <c:numRef>
              <c:f>'CHILD (Holistic benefit)'!$B$177:$L$177</c:f>
            </c:numRef>
          </c:val>
        </c:ser>
        <c:ser>
          <c:idx val="3"/>
          <c:order val="3"/>
          <c:tx>
            <c:strRef>
              <c:f>'CHILD (Holistic benefit)'!$A$178</c:f>
              <c:strCache>
                <c:ptCount val="1"/>
                <c:pt idx="0">
                  <c:v>Meals</c:v>
                </c:pt>
              </c:strCache>
            </c:strRef>
          </c:tx>
          <c:cat>
            <c:multiLvlStrRef>
              <c:f>'CHILD (Holistic benefit)'!$B$174:$L$174</c:f>
            </c:multiLvlStrRef>
          </c:cat>
          <c:val>
            <c:numRef>
              <c:f>'CHILD (Holistic benefit)'!$B$178:$L$178</c:f>
            </c:numRef>
          </c:val>
        </c:ser>
        <c:overlap val="100"/>
        <c:axId val="137856896"/>
        <c:axId val="137858432"/>
      </c:barChart>
      <c:catAx>
        <c:axId val="137856896"/>
        <c:scaling>
          <c:orientation val="minMax"/>
        </c:scaling>
        <c:axPos val="b"/>
        <c:numFmt formatCode="0" sourceLinked="1"/>
        <c:tickLblPos val="nextTo"/>
        <c:txPr>
          <a:bodyPr rot="-5400000" vert="horz"/>
          <a:lstStyle/>
          <a:p>
            <a:pPr>
              <a:defRPr lang="en-GB"/>
            </a:pPr>
            <a:endParaRPr lang="en-US"/>
          </a:p>
        </c:txPr>
        <c:crossAx val="137858432"/>
        <c:crosses val="autoZero"/>
        <c:auto val="1"/>
        <c:lblAlgn val="ctr"/>
        <c:lblOffset val="100"/>
      </c:catAx>
      <c:valAx>
        <c:axId val="137858432"/>
        <c:scaling>
          <c:orientation val="minMax"/>
        </c:scaling>
        <c:axPos val="l"/>
        <c:majorGridlines/>
        <c:title>
          <c:tx>
            <c:rich>
              <a:bodyPr rot="-5400000" vert="horz"/>
              <a:lstStyle/>
              <a:p>
                <a:pPr>
                  <a:defRPr lang="en-GB"/>
                </a:pPr>
                <a:r>
                  <a:rPr lang="en-US"/>
                  <a:t>Total child benefit cost as percentage of GDP</a:t>
                </a:r>
              </a:p>
            </c:rich>
          </c:tx>
          <c:layout>
            <c:manualLayout>
              <c:xMode val="edge"/>
              <c:yMode val="edge"/>
              <c:x val="1.5912681646501541E-2"/>
              <c:y val="8.8437484640262701E-2"/>
            </c:manualLayout>
          </c:layout>
          <c:spPr>
            <a:noFill/>
            <a:ln w="25400">
              <a:noFill/>
            </a:ln>
          </c:spPr>
        </c:title>
        <c:numFmt formatCode="0.0" sourceLinked="0"/>
        <c:tickLblPos val="nextTo"/>
        <c:txPr>
          <a:bodyPr/>
          <a:lstStyle/>
          <a:p>
            <a:pPr>
              <a:defRPr lang="en-GB"/>
            </a:pPr>
            <a:endParaRPr lang="en-US"/>
          </a:p>
        </c:txPr>
        <c:crossAx val="137856896"/>
        <c:crosses val="autoZero"/>
        <c:crossBetween val="between"/>
      </c:valAx>
    </c:plotArea>
    <c:legend>
      <c:legendPos val="r"/>
      <c:layout>
        <c:manualLayout>
          <c:xMode val="edge"/>
          <c:yMode val="edge"/>
          <c:x val="0.75853658536585356"/>
          <c:y val="0.34456928838951439"/>
          <c:w val="0.21219512195121951"/>
          <c:h val="0.28838951310861627"/>
        </c:manualLayout>
      </c:layout>
      <c:txPr>
        <a:bodyPr/>
        <a:lstStyle/>
        <a:p>
          <a:pPr>
            <a:defRPr lang="en-GB"/>
          </a:pPr>
          <a:endParaRPr lang="en-US"/>
        </a:p>
      </c:txPr>
    </c:legend>
    <c:plotVisOnly val="1"/>
    <c:dispBlanksAs val="gap"/>
  </c:chart>
  <c:printSettings>
    <c:headerFooter/>
    <c:pageMargins b="0.75000000000000822" l="0.70000000000000062" r="0.70000000000000062" t="0.750000000000008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900" b="1" i="0" u="none" strike="noStrike" baseline="0">
                <a:solidFill>
                  <a:srgbClr val="000000"/>
                </a:solidFill>
                <a:latin typeface="Calibri"/>
                <a:ea typeface="Calibri"/>
                <a:cs typeface="Calibri"/>
              </a:defRPr>
            </a:pPr>
            <a:r>
              <a:rPr lang="en-GB"/>
              <a:t>Child benefit (and its components)  as a percentage of total General government expenditure | Targeted for poor children aged 0 to 15 (based on national poverty rate)</a:t>
            </a:r>
          </a:p>
        </c:rich>
      </c:tx>
      <c:overlay val="1"/>
      <c:spPr>
        <a:noFill/>
        <a:ln w="25400">
          <a:noFill/>
        </a:ln>
      </c:spPr>
    </c:title>
    <c:plotArea>
      <c:layout>
        <c:manualLayout>
          <c:layoutTarget val="inner"/>
          <c:xMode val="edge"/>
          <c:yMode val="edge"/>
          <c:x val="0.14455459521445235"/>
          <c:y val="0.12933753943217671"/>
          <c:w val="0.58613918059558767"/>
          <c:h val="0.68138801261830428"/>
        </c:manualLayout>
      </c:layout>
      <c:barChart>
        <c:barDir val="col"/>
        <c:grouping val="stacked"/>
        <c:ser>
          <c:idx val="0"/>
          <c:order val="0"/>
          <c:tx>
            <c:strRef>
              <c:f>'CHILD (Holistic benefit)'!$A$183</c:f>
              <c:strCache>
                <c:ptCount val="1"/>
                <c:pt idx="0">
                  <c:v>Child allowance</c:v>
                </c:pt>
              </c:strCache>
            </c:strRef>
          </c:tx>
          <c:spPr>
            <a:solidFill>
              <a:srgbClr val="4F81BD"/>
            </a:solidFill>
          </c:spPr>
          <c:cat>
            <c:multiLvlStrRef>
              <c:f>'CHILD (Holistic benefit)'!$B$182:$L$182</c:f>
            </c:multiLvlStrRef>
          </c:cat>
          <c:val>
            <c:numRef>
              <c:f>'CHILD (Holistic benefit)'!$B$183:$L$183</c:f>
            </c:numRef>
          </c:val>
        </c:ser>
        <c:ser>
          <c:idx val="1"/>
          <c:order val="1"/>
          <c:tx>
            <c:strRef>
              <c:f>'CHILD (Holistic benefit)'!$A$184</c:f>
              <c:strCache>
                <c:ptCount val="1"/>
                <c:pt idx="0">
                  <c:v>Staff cost</c:v>
                </c:pt>
              </c:strCache>
            </c:strRef>
          </c:tx>
          <c:cat>
            <c:multiLvlStrRef>
              <c:f>'CHILD (Holistic benefit)'!$B$182:$L$182</c:f>
            </c:multiLvlStrRef>
          </c:cat>
          <c:val>
            <c:numRef>
              <c:f>'CHILD (Holistic benefit)'!$B$184:$L$184</c:f>
            </c:numRef>
          </c:val>
        </c:ser>
        <c:ser>
          <c:idx val="2"/>
          <c:order val="2"/>
          <c:tx>
            <c:strRef>
              <c:f>'CHILD (Holistic benefit)'!$A$185</c:f>
              <c:strCache>
                <c:ptCount val="1"/>
                <c:pt idx="0">
                  <c:v>Non-staff cost</c:v>
                </c:pt>
              </c:strCache>
            </c:strRef>
          </c:tx>
          <c:cat>
            <c:multiLvlStrRef>
              <c:f>'CHILD (Holistic benefit)'!$B$182:$L$182</c:f>
            </c:multiLvlStrRef>
          </c:cat>
          <c:val>
            <c:numRef>
              <c:f>'CHILD (Holistic benefit)'!$B$185:$L$185</c:f>
            </c:numRef>
          </c:val>
        </c:ser>
        <c:ser>
          <c:idx val="3"/>
          <c:order val="3"/>
          <c:tx>
            <c:strRef>
              <c:f>'CHILD (Holistic benefit)'!$A$186</c:f>
              <c:strCache>
                <c:ptCount val="1"/>
                <c:pt idx="0">
                  <c:v>Meals</c:v>
                </c:pt>
              </c:strCache>
            </c:strRef>
          </c:tx>
          <c:cat>
            <c:multiLvlStrRef>
              <c:f>'CHILD (Holistic benefit)'!$B$182:$L$182</c:f>
            </c:multiLvlStrRef>
          </c:cat>
          <c:val>
            <c:numRef>
              <c:f>'CHILD (Holistic benefit)'!$B$186:$L$186</c:f>
            </c:numRef>
          </c:val>
        </c:ser>
        <c:overlap val="100"/>
        <c:axId val="137975680"/>
        <c:axId val="137977216"/>
      </c:barChart>
      <c:catAx>
        <c:axId val="137975680"/>
        <c:scaling>
          <c:orientation val="minMax"/>
        </c:scaling>
        <c:axPos val="b"/>
        <c:numFmt formatCode="0" sourceLinked="1"/>
        <c:tickLblPos val="nextTo"/>
        <c:txPr>
          <a:bodyPr rot="-5400000" vert="horz"/>
          <a:lstStyle/>
          <a:p>
            <a:pPr>
              <a:defRPr lang="en-GB"/>
            </a:pPr>
            <a:endParaRPr lang="en-US"/>
          </a:p>
        </c:txPr>
        <c:crossAx val="137977216"/>
        <c:crosses val="autoZero"/>
        <c:auto val="1"/>
        <c:lblAlgn val="ctr"/>
        <c:lblOffset val="100"/>
      </c:catAx>
      <c:valAx>
        <c:axId val="137977216"/>
        <c:scaling>
          <c:orientation val="minMax"/>
        </c:scaling>
        <c:axPos val="l"/>
        <c:majorGridlines/>
        <c:title>
          <c:tx>
            <c:rich>
              <a:bodyPr rot="-5400000" vert="horz"/>
              <a:lstStyle/>
              <a:p>
                <a:pPr>
                  <a:defRPr lang="en-GB" sz="900" b="0"/>
                </a:pPr>
                <a:r>
                  <a:rPr lang="en-US" sz="900" b="0"/>
                  <a:t>Total child benefit cost as percentage of total g</a:t>
                </a:r>
                <a:r>
                  <a:rPr lang="en-US" sz="900" b="0" baseline="0"/>
                  <a:t> general government expenditure</a:t>
                </a:r>
                <a:endParaRPr lang="en-US" sz="900" b="0"/>
              </a:p>
            </c:rich>
          </c:tx>
          <c:layout>
            <c:manualLayout>
              <c:xMode val="edge"/>
              <c:yMode val="edge"/>
              <c:x val="2.119323527955241E-2"/>
              <c:y val="8.8437201163808016E-2"/>
            </c:manualLayout>
          </c:layout>
          <c:spPr>
            <a:noFill/>
            <a:ln w="25400">
              <a:noFill/>
            </a:ln>
          </c:spPr>
        </c:title>
        <c:numFmt formatCode="0.0" sourceLinked="0"/>
        <c:tickLblPos val="nextTo"/>
        <c:txPr>
          <a:bodyPr/>
          <a:lstStyle/>
          <a:p>
            <a:pPr>
              <a:defRPr lang="en-GB"/>
            </a:pPr>
            <a:endParaRPr lang="en-US"/>
          </a:p>
        </c:txPr>
        <c:crossAx val="137975680"/>
        <c:crosses val="autoZero"/>
        <c:crossBetween val="between"/>
      </c:valAx>
    </c:plotArea>
    <c:legend>
      <c:legendPos val="r"/>
      <c:layout>
        <c:manualLayout>
          <c:xMode val="edge"/>
          <c:yMode val="edge"/>
          <c:x val="0.76650943396226412"/>
          <c:y val="0.32170542635658916"/>
          <c:w val="0.21462264150943441"/>
          <c:h val="0.29844961240310075"/>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35" footer="0.492125984500003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Child benefit (and its components) as a percentage of GDP </a:t>
            </a:r>
          </a:p>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Scenario 2b - Targeted for poor children aged 0 to 15 </a:t>
            </a:r>
            <a:r>
              <a:rPr lang="fr-FR" sz="900" b="0" i="0" u="none" strike="noStrike" baseline="0">
                <a:solidFill>
                  <a:srgbClr val="000000"/>
                </a:solidFill>
                <a:latin typeface="Calibri"/>
              </a:rPr>
              <a:t>(based on children poverty rate)</a:t>
            </a:r>
          </a:p>
        </c:rich>
      </c:tx>
      <c:overlay val="1"/>
      <c:spPr>
        <a:noFill/>
        <a:ln w="25400">
          <a:noFill/>
        </a:ln>
      </c:spPr>
    </c:title>
    <c:plotArea>
      <c:layout>
        <c:manualLayout>
          <c:layoutTarget val="inner"/>
          <c:xMode val="edge"/>
          <c:yMode val="edge"/>
          <c:x val="0.14285735116443948"/>
          <c:y val="0.15548803634723715"/>
          <c:w val="0.58730283714535658"/>
          <c:h val="0.66158635073234195"/>
        </c:manualLayout>
      </c:layout>
      <c:barChart>
        <c:barDir val="col"/>
        <c:grouping val="stacked"/>
        <c:ser>
          <c:idx val="0"/>
          <c:order val="0"/>
          <c:tx>
            <c:strRef>
              <c:f>'CHILD (Holistic benefit)'!$A$211</c:f>
              <c:strCache>
                <c:ptCount val="1"/>
                <c:pt idx="0">
                  <c:v>Child allowance</c:v>
                </c:pt>
              </c:strCache>
            </c:strRef>
          </c:tx>
          <c:spPr>
            <a:solidFill>
              <a:schemeClr val="accent1"/>
            </a:solidFill>
          </c:spPr>
          <c:cat>
            <c:numRef>
              <c:f>'CHILD (Holistic benefit)'!$B$210:$L$210</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benefit)'!$B$211:$L$211</c:f>
              <c:numCache>
                <c:formatCode>0.00</c:formatCode>
                <c:ptCount val="11"/>
                <c:pt idx="0">
                  <c:v>0</c:v>
                </c:pt>
                <c:pt idx="1">
                  <c:v>0.14640078622922617</c:v>
                </c:pt>
                <c:pt idx="2">
                  <c:v>0.31095778724289325</c:v>
                </c:pt>
                <c:pt idx="3">
                  <c:v>0.36025807334544341</c:v>
                </c:pt>
                <c:pt idx="4">
                  <c:v>0.40370237877713677</c:v>
                </c:pt>
                <c:pt idx="5">
                  <c:v>0.50681765821467706</c:v>
                </c:pt>
                <c:pt idx="6">
                  <c:v>0.60151402772944096</c:v>
                </c:pt>
                <c:pt idx="7">
                  <c:v>0.57482823778102954</c:v>
                </c:pt>
                <c:pt idx="8">
                  <c:v>0.55194341186493157</c:v>
                </c:pt>
                <c:pt idx="9">
                  <c:v>0.53237904093896682</c:v>
                </c:pt>
                <c:pt idx="10">
                  <c:v>0.51587629712733796</c:v>
                </c:pt>
              </c:numCache>
            </c:numRef>
          </c:val>
        </c:ser>
        <c:ser>
          <c:idx val="1"/>
          <c:order val="1"/>
          <c:tx>
            <c:strRef>
              <c:f>'CHILD (Holistic benefit)'!$A$212</c:f>
              <c:strCache>
                <c:ptCount val="1"/>
                <c:pt idx="0">
                  <c:v>Staff cost</c:v>
                </c:pt>
              </c:strCache>
            </c:strRef>
          </c:tx>
          <c:cat>
            <c:numRef>
              <c:f>'CHILD (Holistic benefit)'!$B$210:$L$210</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benefit)'!$B$212:$L$212</c:f>
              <c:numCache>
                <c:formatCode>0.00</c:formatCode>
                <c:ptCount val="11"/>
                <c:pt idx="0">
                  <c:v>0</c:v>
                </c:pt>
                <c:pt idx="1">
                  <c:v>1.6427512077379004E-2</c:v>
                </c:pt>
                <c:pt idx="2">
                  <c:v>3.0029116249931067E-2</c:v>
                </c:pt>
                <c:pt idx="3">
                  <c:v>3.4400756308037905E-2</c:v>
                </c:pt>
                <c:pt idx="4">
                  <c:v>3.8132065576938871E-2</c:v>
                </c:pt>
                <c:pt idx="5">
                  <c:v>4.7371953827564796E-2</c:v>
                </c:pt>
                <c:pt idx="6">
                  <c:v>5.5659573143769181E-2</c:v>
                </c:pt>
                <c:pt idx="7">
                  <c:v>5.2679055025684679E-2</c:v>
                </c:pt>
                <c:pt idx="8">
                  <c:v>5.01110172164057E-2</c:v>
                </c:pt>
                <c:pt idx="9">
                  <c:v>4.7892032576563361E-2</c:v>
                </c:pt>
                <c:pt idx="10">
                  <c:v>4.5984106598756028E-2</c:v>
                </c:pt>
              </c:numCache>
            </c:numRef>
          </c:val>
        </c:ser>
        <c:ser>
          <c:idx val="2"/>
          <c:order val="2"/>
          <c:tx>
            <c:strRef>
              <c:f>'CHILD (Holistic benefit)'!$A$213</c:f>
              <c:strCache>
                <c:ptCount val="1"/>
                <c:pt idx="0">
                  <c:v>Non-staff cost</c:v>
                </c:pt>
              </c:strCache>
            </c:strRef>
          </c:tx>
          <c:cat>
            <c:numRef>
              <c:f>'CHILD (Holistic benefit)'!$B$210:$L$210</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benefit)'!$B$213:$L$213</c:f>
              <c:numCache>
                <c:formatCode>0.00</c:formatCode>
                <c:ptCount val="11"/>
                <c:pt idx="0">
                  <c:v>0</c:v>
                </c:pt>
                <c:pt idx="1">
                  <c:v>8.2137560386895021E-3</c:v>
                </c:pt>
                <c:pt idx="2">
                  <c:v>1.5014558124965533E-2</c:v>
                </c:pt>
                <c:pt idx="3">
                  <c:v>1.7200378154018953E-2</c:v>
                </c:pt>
                <c:pt idx="4">
                  <c:v>1.9066032788469436E-2</c:v>
                </c:pt>
                <c:pt idx="5">
                  <c:v>2.3685976913782398E-2</c:v>
                </c:pt>
                <c:pt idx="6">
                  <c:v>2.782978657188459E-2</c:v>
                </c:pt>
                <c:pt idx="7">
                  <c:v>2.633952751284234E-2</c:v>
                </c:pt>
                <c:pt idx="8">
                  <c:v>2.505550860820285E-2</c:v>
                </c:pt>
                <c:pt idx="9">
                  <c:v>2.394601628828168E-2</c:v>
                </c:pt>
                <c:pt idx="10">
                  <c:v>2.2992053299378014E-2</c:v>
                </c:pt>
              </c:numCache>
            </c:numRef>
          </c:val>
        </c:ser>
        <c:ser>
          <c:idx val="3"/>
          <c:order val="3"/>
          <c:tx>
            <c:strRef>
              <c:f>'CHILD (Holistic benefit)'!$A$214</c:f>
              <c:strCache>
                <c:ptCount val="1"/>
                <c:pt idx="0">
                  <c:v>Meals</c:v>
                </c:pt>
              </c:strCache>
            </c:strRef>
          </c:tx>
          <c:cat>
            <c:numRef>
              <c:f>'CHILD (Holistic benefit)'!$B$210:$L$210</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benefit)'!$B$214:$L$214</c:f>
              <c:numCache>
                <c:formatCode>0.00</c:formatCode>
                <c:ptCount val="11"/>
                <c:pt idx="0">
                  <c:v>0</c:v>
                </c:pt>
                <c:pt idx="1">
                  <c:v>6.551892795490788E-2</c:v>
                </c:pt>
                <c:pt idx="2">
                  <c:v>0.11717684846548861</c:v>
                </c:pt>
                <c:pt idx="3">
                  <c:v>0.1300920220155439</c:v>
                </c:pt>
                <c:pt idx="4">
                  <c:v>0.13867988793474989</c:v>
                </c:pt>
                <c:pt idx="5">
                  <c:v>0.16481537917587677</c:v>
                </c:pt>
                <c:pt idx="6">
                  <c:v>0.18413984702954783</c:v>
                </c:pt>
                <c:pt idx="7">
                  <c:v>0.16509458544003783</c:v>
                </c:pt>
                <c:pt idx="8">
                  <c:v>0.14818655817146581</c:v>
                </c:pt>
                <c:pt idx="9">
                  <c:v>0.13309102613696028</c:v>
                </c:pt>
                <c:pt idx="10">
                  <c:v>0.11958168764723126</c:v>
                </c:pt>
              </c:numCache>
            </c:numRef>
          </c:val>
        </c:ser>
        <c:overlap val="100"/>
        <c:axId val="137889664"/>
        <c:axId val="137891200"/>
      </c:barChart>
      <c:catAx>
        <c:axId val="137889664"/>
        <c:scaling>
          <c:orientation val="minMax"/>
        </c:scaling>
        <c:axPos val="b"/>
        <c:numFmt formatCode="0" sourceLinked="1"/>
        <c:tickLblPos val="nextTo"/>
        <c:txPr>
          <a:bodyPr rot="-5400000" vert="horz"/>
          <a:lstStyle/>
          <a:p>
            <a:pPr>
              <a:defRPr lang="en-GB"/>
            </a:pPr>
            <a:endParaRPr lang="en-US"/>
          </a:p>
        </c:txPr>
        <c:crossAx val="137891200"/>
        <c:crosses val="autoZero"/>
        <c:auto val="1"/>
        <c:lblAlgn val="ctr"/>
        <c:lblOffset val="100"/>
      </c:catAx>
      <c:valAx>
        <c:axId val="137891200"/>
        <c:scaling>
          <c:orientation val="minMax"/>
        </c:scaling>
        <c:axPos val="l"/>
        <c:majorGridlines/>
        <c:title>
          <c:tx>
            <c:rich>
              <a:bodyPr rot="-5400000" vert="horz"/>
              <a:lstStyle/>
              <a:p>
                <a:pPr>
                  <a:defRPr lang="en-GB" sz="800"/>
                </a:pPr>
                <a:r>
                  <a:rPr lang="en-US" sz="800"/>
                  <a:t>Total child benefit cost as percentage of GDP</a:t>
                </a:r>
              </a:p>
            </c:rich>
          </c:tx>
          <c:layout>
            <c:manualLayout>
              <c:xMode val="edge"/>
              <c:yMode val="edge"/>
              <c:x val="1.5912676653579864E-2"/>
              <c:y val="0.14534781191566742"/>
            </c:manualLayout>
          </c:layout>
          <c:spPr>
            <a:noFill/>
            <a:ln w="25400">
              <a:noFill/>
            </a:ln>
          </c:spPr>
        </c:title>
        <c:numFmt formatCode="0.0" sourceLinked="0"/>
        <c:tickLblPos val="nextTo"/>
        <c:txPr>
          <a:bodyPr/>
          <a:lstStyle/>
          <a:p>
            <a:pPr>
              <a:defRPr lang="en-GB"/>
            </a:pPr>
            <a:endParaRPr lang="en-US"/>
          </a:p>
        </c:txPr>
        <c:crossAx val="137889664"/>
        <c:crosses val="autoZero"/>
        <c:crossBetween val="between"/>
      </c:valAx>
    </c:plotArea>
    <c:legend>
      <c:legendPos val="r"/>
      <c:layout>
        <c:manualLayout>
          <c:xMode val="edge"/>
          <c:yMode val="edge"/>
          <c:x val="0.76323119777158865"/>
          <c:y val="0.34313725490196079"/>
          <c:w val="0.21169916434540453"/>
          <c:h val="0.28758169934640715"/>
        </c:manualLayout>
      </c:layout>
      <c:txPr>
        <a:bodyPr/>
        <a:lstStyle/>
        <a:p>
          <a:pPr>
            <a:defRPr lang="en-GB"/>
          </a:pPr>
          <a:endParaRPr lang="en-US"/>
        </a:p>
      </c:txPr>
    </c:legend>
    <c:plotVisOnly val="1"/>
    <c:dispBlanksAs val="gap"/>
  </c:chart>
  <c:spPr>
    <a:solidFill>
      <a:srgbClr val="FFFFFF"/>
    </a:solidFill>
    <a:ln w="12700">
      <a:solidFill>
        <a:srgbClr val="000000"/>
      </a:solidFill>
      <a:prstDash val="solid"/>
    </a:ln>
  </c:spPr>
  <c:printSettings>
    <c:headerFooter/>
    <c:pageMargins b="0.98425196899999956" l="0.78740157499999996" r="0.78740157499999996" t="0.98425196899999956" header="0.49212598450000261" footer="0.49212598450000261"/>
    <c:pageSetup paperSize="9" orientation="landscape" horizontalDpi="200" verticalDpi="200"/>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800" b="1" i="0" u="none" strike="noStrike" baseline="0">
                <a:solidFill>
                  <a:srgbClr val="000000"/>
                </a:solidFill>
                <a:latin typeface="Calibri"/>
                <a:ea typeface="Calibri"/>
                <a:cs typeface="Calibri"/>
              </a:defRPr>
            </a:pPr>
            <a:r>
              <a:rPr lang="en-GB" sz="800"/>
              <a:t>Child benefit (and its components)  as a percentage of total General government expenditure | Targeted for poor children aged 0 to 15 (Chilldren national poverty rate)</a:t>
            </a:r>
          </a:p>
        </c:rich>
      </c:tx>
      <c:overlay val="1"/>
      <c:spPr>
        <a:noFill/>
        <a:ln w="25400">
          <a:noFill/>
        </a:ln>
      </c:spPr>
    </c:title>
    <c:plotArea>
      <c:layout>
        <c:manualLayout>
          <c:layoutTarget val="inner"/>
          <c:xMode val="edge"/>
          <c:yMode val="edge"/>
          <c:x val="0.14350841640424541"/>
          <c:y val="0.1918195269406118"/>
          <c:w val="0.58264417060123552"/>
          <c:h val="0.63368950864310369"/>
        </c:manualLayout>
      </c:layout>
      <c:barChart>
        <c:barDir val="col"/>
        <c:grouping val="stacked"/>
        <c:ser>
          <c:idx val="0"/>
          <c:order val="0"/>
          <c:tx>
            <c:strRef>
              <c:f>'CHILD (Holistic benefit)'!$A$219</c:f>
              <c:strCache>
                <c:ptCount val="1"/>
                <c:pt idx="0">
                  <c:v>Child allowance</c:v>
                </c:pt>
              </c:strCache>
            </c:strRef>
          </c:tx>
          <c:spPr>
            <a:solidFill>
              <a:srgbClr val="4F81BD"/>
            </a:solidFill>
          </c:spPr>
          <c:cat>
            <c:numRef>
              <c:f>'CHILD (Holistic benefit)'!$B$218:$L$218</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benefit)'!$B$219:$L$219</c:f>
              <c:numCache>
                <c:formatCode>0.00</c:formatCode>
                <c:ptCount val="11"/>
                <c:pt idx="0">
                  <c:v>0</c:v>
                </c:pt>
                <c:pt idx="1">
                  <c:v>0.46150413327400969</c:v>
                </c:pt>
                <c:pt idx="2">
                  <c:v>0.97618478219734972</c:v>
                </c:pt>
                <c:pt idx="3">
                  <c:v>1.1367392036992587</c:v>
                </c:pt>
                <c:pt idx="4">
                  <c:v>1.2774844957958034</c:v>
                </c:pt>
                <c:pt idx="5">
                  <c:v>1.6087976017482686</c:v>
                </c:pt>
                <c:pt idx="6">
                  <c:v>1.9184768457782782</c:v>
                </c:pt>
                <c:pt idx="7">
                  <c:v>1.8379452021612201</c:v>
                </c:pt>
                <c:pt idx="8">
                  <c:v>1.7734521432966561</c:v>
                </c:pt>
                <c:pt idx="9">
                  <c:v>1.7186323988774213</c:v>
                </c:pt>
                <c:pt idx="10">
                  <c:v>1.6730904507052169</c:v>
                </c:pt>
              </c:numCache>
            </c:numRef>
          </c:val>
        </c:ser>
        <c:ser>
          <c:idx val="1"/>
          <c:order val="1"/>
          <c:tx>
            <c:strRef>
              <c:f>'CHILD (Holistic benefit)'!$A$220</c:f>
              <c:strCache>
                <c:ptCount val="1"/>
                <c:pt idx="0">
                  <c:v>Staff cost</c:v>
                </c:pt>
              </c:strCache>
            </c:strRef>
          </c:tx>
          <c:cat>
            <c:numRef>
              <c:f>'CHILD (Holistic benefit)'!$B$218:$L$218</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benefit)'!$B$220:$L$220</c:f>
              <c:numCache>
                <c:formatCode>0.00</c:formatCode>
                <c:ptCount val="11"/>
                <c:pt idx="0">
                  <c:v>0</c:v>
                </c:pt>
                <c:pt idx="1">
                  <c:v>5.1785000056274594E-2</c:v>
                </c:pt>
                <c:pt idx="2">
                  <c:v>9.4269921862803613E-2</c:v>
                </c:pt>
                <c:pt idx="3">
                  <c:v>0.10854632061154297</c:v>
                </c:pt>
                <c:pt idx="4">
                  <c:v>0.12066592898155859</c:v>
                </c:pt>
                <c:pt idx="5">
                  <c:v>0.15037338275935569</c:v>
                </c:pt>
                <c:pt idx="6">
                  <c:v>0.17752138337537438</c:v>
                </c:pt>
                <c:pt idx="7">
                  <c:v>0.16843503863449097</c:v>
                </c:pt>
                <c:pt idx="8">
                  <c:v>0.16101196060105882</c:v>
                </c:pt>
                <c:pt idx="9">
                  <c:v>0.15460563340173034</c:v>
                </c:pt>
                <c:pt idx="10">
                  <c:v>0.14913569408597738</c:v>
                </c:pt>
              </c:numCache>
            </c:numRef>
          </c:val>
        </c:ser>
        <c:ser>
          <c:idx val="2"/>
          <c:order val="2"/>
          <c:tx>
            <c:strRef>
              <c:f>'CHILD (Holistic benefit)'!$A$221</c:f>
              <c:strCache>
                <c:ptCount val="1"/>
                <c:pt idx="0">
                  <c:v>Non-staff cost</c:v>
                </c:pt>
              </c:strCache>
            </c:strRef>
          </c:tx>
          <c:cat>
            <c:numRef>
              <c:f>'CHILD (Holistic benefit)'!$B$218:$L$218</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benefit)'!$B$221:$L$221</c:f>
              <c:numCache>
                <c:formatCode>0.00</c:formatCode>
                <c:ptCount val="11"/>
                <c:pt idx="0">
                  <c:v>0</c:v>
                </c:pt>
                <c:pt idx="1">
                  <c:v>2.5892500028137297E-2</c:v>
                </c:pt>
                <c:pt idx="2">
                  <c:v>4.7134960931401806E-2</c:v>
                </c:pt>
                <c:pt idx="3">
                  <c:v>5.4273160305771485E-2</c:v>
                </c:pt>
                <c:pt idx="4">
                  <c:v>6.0332964490779295E-2</c:v>
                </c:pt>
                <c:pt idx="5">
                  <c:v>7.5186691379677845E-2</c:v>
                </c:pt>
                <c:pt idx="6">
                  <c:v>8.8760691687687188E-2</c:v>
                </c:pt>
                <c:pt idx="7">
                  <c:v>8.4217519317245484E-2</c:v>
                </c:pt>
                <c:pt idx="8">
                  <c:v>8.0505980300529412E-2</c:v>
                </c:pt>
                <c:pt idx="9">
                  <c:v>7.7302816700865168E-2</c:v>
                </c:pt>
                <c:pt idx="10">
                  <c:v>7.4567847042988689E-2</c:v>
                </c:pt>
              </c:numCache>
            </c:numRef>
          </c:val>
        </c:ser>
        <c:ser>
          <c:idx val="3"/>
          <c:order val="3"/>
          <c:tx>
            <c:strRef>
              <c:f>'CHILD (Holistic benefit)'!$A$222</c:f>
              <c:strCache>
                <c:ptCount val="1"/>
                <c:pt idx="0">
                  <c:v>Meals</c:v>
                </c:pt>
              </c:strCache>
            </c:strRef>
          </c:tx>
          <c:cat>
            <c:numRef>
              <c:f>'CHILD (Holistic benefit)'!$B$218:$L$218</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benefit)'!$B$222:$L$222</c:f>
              <c:numCache>
                <c:formatCode>0.00</c:formatCode>
                <c:ptCount val="11"/>
                <c:pt idx="0">
                  <c:v>0</c:v>
                </c:pt>
                <c:pt idx="1">
                  <c:v>0.20653752508902676</c:v>
                </c:pt>
                <c:pt idx="2">
                  <c:v>0.36785139652574844</c:v>
                </c:pt>
                <c:pt idx="3">
                  <c:v>0.41048546154793963</c:v>
                </c:pt>
                <c:pt idx="4">
                  <c:v>0.43884162201864096</c:v>
                </c:pt>
                <c:pt idx="5">
                  <c:v>0.52317550987354966</c:v>
                </c:pt>
                <c:pt idx="6">
                  <c:v>0.58729807889075591</c:v>
                </c:pt>
                <c:pt idx="7">
                  <c:v>0.52787038156587773</c:v>
                </c:pt>
                <c:pt idx="8">
                  <c:v>0.47613897285044865</c:v>
                </c:pt>
                <c:pt idx="9">
                  <c:v>0.42964604526015571</c:v>
                </c:pt>
                <c:pt idx="10">
                  <c:v>0.38782743226601757</c:v>
                </c:pt>
              </c:numCache>
            </c:numRef>
          </c:val>
        </c:ser>
        <c:overlap val="100"/>
        <c:axId val="137947392"/>
        <c:axId val="138018816"/>
      </c:barChart>
      <c:catAx>
        <c:axId val="137947392"/>
        <c:scaling>
          <c:orientation val="minMax"/>
        </c:scaling>
        <c:axPos val="b"/>
        <c:numFmt formatCode="0" sourceLinked="1"/>
        <c:tickLblPos val="nextTo"/>
        <c:txPr>
          <a:bodyPr rot="-5400000" vert="horz"/>
          <a:lstStyle/>
          <a:p>
            <a:pPr>
              <a:defRPr lang="en-GB"/>
            </a:pPr>
            <a:endParaRPr lang="en-US"/>
          </a:p>
        </c:txPr>
        <c:crossAx val="138018816"/>
        <c:crosses val="autoZero"/>
        <c:auto val="1"/>
        <c:lblAlgn val="ctr"/>
        <c:lblOffset val="100"/>
      </c:catAx>
      <c:valAx>
        <c:axId val="138018816"/>
        <c:scaling>
          <c:orientation val="minMax"/>
        </c:scaling>
        <c:axPos val="l"/>
        <c:majorGridlines/>
        <c:title>
          <c:tx>
            <c:rich>
              <a:bodyPr rot="-5400000" vert="horz"/>
              <a:lstStyle/>
              <a:p>
                <a:pPr>
                  <a:defRPr lang="en-GB" sz="900" b="0"/>
                </a:pPr>
                <a:r>
                  <a:rPr lang="en-US" sz="900" b="0"/>
                  <a:t>Total child benefit cost as percentage of total g</a:t>
                </a:r>
                <a:r>
                  <a:rPr lang="en-US" sz="900" b="0" baseline="0"/>
                  <a:t> general government expenditure</a:t>
                </a:r>
                <a:endParaRPr lang="en-US" sz="900" b="0"/>
              </a:p>
            </c:rich>
          </c:tx>
          <c:layout>
            <c:manualLayout>
              <c:xMode val="edge"/>
              <c:yMode val="edge"/>
              <c:x val="2.1193169819289832E-2"/>
              <c:y val="8.8437061805630504E-2"/>
            </c:manualLayout>
          </c:layout>
          <c:spPr>
            <a:noFill/>
            <a:ln w="25400">
              <a:noFill/>
            </a:ln>
          </c:spPr>
        </c:title>
        <c:numFmt formatCode="0.0" sourceLinked="0"/>
        <c:tickLblPos val="nextTo"/>
        <c:txPr>
          <a:bodyPr/>
          <a:lstStyle/>
          <a:p>
            <a:pPr>
              <a:defRPr lang="en-GB"/>
            </a:pPr>
            <a:endParaRPr lang="en-US"/>
          </a:p>
        </c:txPr>
        <c:crossAx val="137947392"/>
        <c:crosses val="autoZero"/>
        <c:crossBetween val="between"/>
      </c:valAx>
    </c:plotArea>
    <c:legend>
      <c:legendPos val="r"/>
      <c:layout>
        <c:manualLayout>
          <c:xMode val="edge"/>
          <c:yMode val="edge"/>
          <c:x val="0.75574712643678599"/>
          <c:y val="0.33561643835616561"/>
          <c:w val="0.20689655172413793"/>
          <c:h val="0.27397260273972723"/>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261" footer="0.4921259845000026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Child benefit (and its components) as a percentage of GDP </a:t>
            </a:r>
          </a:p>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Scenario 2c enlarged - Targeted for poor children aged 0 to 15 limited to 2 children per HH </a:t>
            </a:r>
            <a:r>
              <a:rPr lang="fr-FR" sz="900" b="0" i="0" u="none" strike="noStrike" baseline="0">
                <a:solidFill>
                  <a:srgbClr val="000000"/>
                </a:solidFill>
                <a:latin typeface="Calibri"/>
              </a:rPr>
              <a:t>(based on children poverty rate)</a:t>
            </a:r>
          </a:p>
        </c:rich>
      </c:tx>
      <c:layout>
        <c:manualLayout>
          <c:xMode val="edge"/>
          <c:yMode val="edge"/>
          <c:x val="0.10285418358579615"/>
          <c:y val="1.6878932386972755E-2"/>
        </c:manualLayout>
      </c:layout>
      <c:overlay val="1"/>
      <c:spPr>
        <a:noFill/>
        <a:ln w="25400">
          <a:noFill/>
        </a:ln>
      </c:spPr>
    </c:title>
    <c:plotArea>
      <c:layout>
        <c:manualLayout>
          <c:layoutTarget val="inner"/>
          <c:xMode val="edge"/>
          <c:yMode val="edge"/>
          <c:x val="0.18558464757524595"/>
          <c:y val="0.26443822856203564"/>
          <c:w val="0.5724056599911167"/>
          <c:h val="0.54856866563401008"/>
        </c:manualLayout>
      </c:layout>
      <c:barChart>
        <c:barDir val="col"/>
        <c:grouping val="stacked"/>
        <c:ser>
          <c:idx val="0"/>
          <c:order val="0"/>
          <c:tx>
            <c:strRef>
              <c:f>'CHILD (Holistic benefit)'!$A$284</c:f>
              <c:strCache>
                <c:ptCount val="1"/>
                <c:pt idx="0">
                  <c:v>Child allowance</c:v>
                </c:pt>
              </c:strCache>
            </c:strRef>
          </c:tx>
          <c:spPr>
            <a:solidFill>
              <a:schemeClr val="accent1"/>
            </a:solidFill>
          </c:spPr>
          <c:cat>
            <c:multiLvlStrRef>
              <c:f>'CHILD (Holistic benefit)'!$B$283:$L$283</c:f>
            </c:multiLvlStrRef>
          </c:cat>
          <c:val>
            <c:numRef>
              <c:f>'CHILD (Holistic benefit)'!$B$284:$L$284</c:f>
            </c:numRef>
          </c:val>
        </c:ser>
        <c:ser>
          <c:idx val="1"/>
          <c:order val="1"/>
          <c:tx>
            <c:strRef>
              <c:f>'CHILD (Holistic benefit)'!$A$285</c:f>
              <c:strCache>
                <c:ptCount val="1"/>
                <c:pt idx="0">
                  <c:v>Staff cost</c:v>
                </c:pt>
              </c:strCache>
            </c:strRef>
          </c:tx>
          <c:cat>
            <c:multiLvlStrRef>
              <c:f>'CHILD (Holistic benefit)'!$B$283:$L$283</c:f>
            </c:multiLvlStrRef>
          </c:cat>
          <c:val>
            <c:numRef>
              <c:f>'CHILD (Holistic benefit)'!$B$285:$L$285</c:f>
            </c:numRef>
          </c:val>
        </c:ser>
        <c:ser>
          <c:idx val="2"/>
          <c:order val="2"/>
          <c:tx>
            <c:strRef>
              <c:f>'CHILD (Holistic benefit)'!$A$286</c:f>
              <c:strCache>
                <c:ptCount val="1"/>
                <c:pt idx="0">
                  <c:v>Non-staff cost</c:v>
                </c:pt>
              </c:strCache>
            </c:strRef>
          </c:tx>
          <c:cat>
            <c:multiLvlStrRef>
              <c:f>'CHILD (Holistic benefit)'!$B$283:$L$283</c:f>
            </c:multiLvlStrRef>
          </c:cat>
          <c:val>
            <c:numRef>
              <c:f>'CHILD (Holistic benefit)'!$B$286:$L$286</c:f>
            </c:numRef>
          </c:val>
        </c:ser>
        <c:ser>
          <c:idx val="3"/>
          <c:order val="3"/>
          <c:tx>
            <c:strRef>
              <c:f>'CHILD (Holistic benefit)'!$A$287</c:f>
              <c:strCache>
                <c:ptCount val="1"/>
                <c:pt idx="0">
                  <c:v>Meals</c:v>
                </c:pt>
              </c:strCache>
            </c:strRef>
          </c:tx>
          <c:cat>
            <c:multiLvlStrRef>
              <c:f>'CHILD (Holistic benefit)'!$B$283:$L$283</c:f>
            </c:multiLvlStrRef>
          </c:cat>
          <c:val>
            <c:numRef>
              <c:f>'CHILD (Holistic benefit)'!$B$287:$L$287</c:f>
            </c:numRef>
          </c:val>
        </c:ser>
        <c:overlap val="100"/>
        <c:axId val="138062080"/>
        <c:axId val="138072064"/>
      </c:barChart>
      <c:catAx>
        <c:axId val="138062080"/>
        <c:scaling>
          <c:orientation val="minMax"/>
        </c:scaling>
        <c:axPos val="b"/>
        <c:numFmt formatCode="0" sourceLinked="1"/>
        <c:tickLblPos val="nextTo"/>
        <c:txPr>
          <a:bodyPr rot="-5400000" vert="horz"/>
          <a:lstStyle/>
          <a:p>
            <a:pPr>
              <a:defRPr lang="en-GB"/>
            </a:pPr>
            <a:endParaRPr lang="en-US"/>
          </a:p>
        </c:txPr>
        <c:crossAx val="138072064"/>
        <c:crosses val="autoZero"/>
        <c:auto val="1"/>
        <c:lblAlgn val="ctr"/>
        <c:lblOffset val="100"/>
      </c:catAx>
      <c:valAx>
        <c:axId val="138072064"/>
        <c:scaling>
          <c:orientation val="minMax"/>
        </c:scaling>
        <c:axPos val="l"/>
        <c:majorGridlines/>
        <c:title>
          <c:tx>
            <c:rich>
              <a:bodyPr rot="-5400000" vert="horz"/>
              <a:lstStyle/>
              <a:p>
                <a:pPr>
                  <a:defRPr lang="en-GB" sz="800"/>
                </a:pPr>
                <a:r>
                  <a:rPr lang="en-US" sz="800"/>
                  <a:t>Total child benefit cost as percentage of GDP</a:t>
                </a:r>
              </a:p>
            </c:rich>
          </c:tx>
          <c:layout>
            <c:manualLayout>
              <c:xMode val="edge"/>
              <c:yMode val="edge"/>
              <c:x val="4.4719230723962194E-2"/>
              <c:y val="0.24474599829950841"/>
            </c:manualLayout>
          </c:layout>
          <c:spPr>
            <a:noFill/>
            <a:ln w="25400">
              <a:noFill/>
            </a:ln>
          </c:spPr>
        </c:title>
        <c:numFmt formatCode="0.0" sourceLinked="0"/>
        <c:tickLblPos val="nextTo"/>
        <c:txPr>
          <a:bodyPr/>
          <a:lstStyle/>
          <a:p>
            <a:pPr>
              <a:defRPr lang="en-GB"/>
            </a:pPr>
            <a:endParaRPr lang="en-US"/>
          </a:p>
        </c:txPr>
        <c:crossAx val="138062080"/>
        <c:crosses val="autoZero"/>
        <c:crossBetween val="between"/>
      </c:valAx>
    </c:plotArea>
    <c:legend>
      <c:legendPos val="r"/>
      <c:layout>
        <c:manualLayout>
          <c:xMode val="edge"/>
          <c:yMode val="edge"/>
          <c:x val="0.78482182287844793"/>
          <c:y val="0.25881188327348337"/>
          <c:w val="0.20347232444996721"/>
          <c:h val="0.57388721943250365"/>
        </c:manualLayout>
      </c:layout>
      <c:txPr>
        <a:bodyPr/>
        <a:lstStyle/>
        <a:p>
          <a:pPr>
            <a:defRPr lang="en-GB"/>
          </a:pPr>
          <a:endParaRPr lang="en-US"/>
        </a:p>
      </c:txPr>
    </c:legend>
    <c:plotVisOnly val="1"/>
    <c:dispBlanksAs val="gap"/>
  </c:chart>
  <c:spPr>
    <a:solidFill>
      <a:srgbClr val="FFFFFF"/>
    </a:solidFill>
    <a:ln w="12700">
      <a:solidFill>
        <a:srgbClr val="000000"/>
      </a:solidFill>
      <a:prstDash val="solid"/>
    </a:ln>
  </c:spPr>
  <c:printSettings>
    <c:headerFooter/>
    <c:pageMargins b="0.98425196899999956" l="0.78740157499999996" r="0.78740157499999996" t="0.98425196899999956" header="0.49212598450000172" footer="0.4921259845000017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Child benefit (and its components) as a percentage of General government expenditure</a:t>
            </a:r>
          </a:p>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Scenario 2c enlarged - Targeted for poor children aged 0 to 15 limited to 2 children per HH </a:t>
            </a:r>
            <a:r>
              <a:rPr lang="fr-FR" sz="900" b="0" i="0" u="none" strike="noStrike" baseline="0">
                <a:solidFill>
                  <a:srgbClr val="000000"/>
                </a:solidFill>
                <a:latin typeface="Calibri"/>
              </a:rPr>
              <a:t>(based on children poverty rate)</a:t>
            </a:r>
          </a:p>
        </c:rich>
      </c:tx>
      <c:overlay val="1"/>
      <c:spPr>
        <a:noFill/>
        <a:ln w="25400">
          <a:noFill/>
        </a:ln>
      </c:spPr>
    </c:title>
    <c:plotArea>
      <c:layout>
        <c:manualLayout>
          <c:layoutTarget val="inner"/>
          <c:xMode val="edge"/>
          <c:yMode val="edge"/>
          <c:x val="0.15931323250808552"/>
          <c:y val="4.5919441851575933E-2"/>
          <c:w val="0.53989484349962302"/>
          <c:h val="0.80687019253483716"/>
        </c:manualLayout>
      </c:layout>
      <c:barChart>
        <c:barDir val="col"/>
        <c:grouping val="stacked"/>
        <c:ser>
          <c:idx val="0"/>
          <c:order val="0"/>
          <c:tx>
            <c:strRef>
              <c:f>'CHILD (Holistic benefit)'!$A$292</c:f>
              <c:strCache>
                <c:ptCount val="1"/>
                <c:pt idx="0">
                  <c:v>Child allowance</c:v>
                </c:pt>
              </c:strCache>
            </c:strRef>
          </c:tx>
          <c:spPr>
            <a:solidFill>
              <a:schemeClr val="accent1"/>
            </a:solidFill>
          </c:spPr>
          <c:cat>
            <c:multiLvlStrRef>
              <c:f>'CHILD (Holistic benefit)'!$B$291:$L$291</c:f>
            </c:multiLvlStrRef>
          </c:cat>
          <c:val>
            <c:numRef>
              <c:f>'CHILD (Holistic benefit)'!$B$292:$L$292</c:f>
            </c:numRef>
          </c:val>
        </c:ser>
        <c:ser>
          <c:idx val="1"/>
          <c:order val="1"/>
          <c:tx>
            <c:strRef>
              <c:f>'CHILD (Holistic benefit)'!$A$293</c:f>
              <c:strCache>
                <c:ptCount val="1"/>
                <c:pt idx="0">
                  <c:v>Staff cost</c:v>
                </c:pt>
              </c:strCache>
            </c:strRef>
          </c:tx>
          <c:cat>
            <c:multiLvlStrRef>
              <c:f>'CHILD (Holistic benefit)'!$B$291:$L$291</c:f>
            </c:multiLvlStrRef>
          </c:cat>
          <c:val>
            <c:numRef>
              <c:f>'CHILD (Holistic benefit)'!$B$293:$L$293</c:f>
            </c:numRef>
          </c:val>
        </c:ser>
        <c:ser>
          <c:idx val="2"/>
          <c:order val="2"/>
          <c:tx>
            <c:strRef>
              <c:f>'CHILD (Holistic benefit)'!$A$294</c:f>
              <c:strCache>
                <c:ptCount val="1"/>
                <c:pt idx="0">
                  <c:v>Non-staff cost</c:v>
                </c:pt>
              </c:strCache>
            </c:strRef>
          </c:tx>
          <c:cat>
            <c:multiLvlStrRef>
              <c:f>'CHILD (Holistic benefit)'!$B$291:$L$291</c:f>
            </c:multiLvlStrRef>
          </c:cat>
          <c:val>
            <c:numRef>
              <c:f>'CHILD (Holistic benefit)'!$B$294:$L$294</c:f>
            </c:numRef>
          </c:val>
        </c:ser>
        <c:ser>
          <c:idx val="3"/>
          <c:order val="3"/>
          <c:tx>
            <c:strRef>
              <c:f>'CHILD (Holistic benefit)'!$A$295</c:f>
              <c:strCache>
                <c:ptCount val="1"/>
                <c:pt idx="0">
                  <c:v>Meals</c:v>
                </c:pt>
              </c:strCache>
            </c:strRef>
          </c:tx>
          <c:cat>
            <c:multiLvlStrRef>
              <c:f>'CHILD (Holistic benefit)'!$B$291:$L$291</c:f>
            </c:multiLvlStrRef>
          </c:cat>
          <c:val>
            <c:numRef>
              <c:f>'CHILD (Holistic benefit)'!$B$295:$L$295</c:f>
            </c:numRef>
          </c:val>
        </c:ser>
        <c:overlap val="100"/>
        <c:axId val="138111616"/>
        <c:axId val="138121600"/>
      </c:barChart>
      <c:catAx>
        <c:axId val="138111616"/>
        <c:scaling>
          <c:orientation val="minMax"/>
        </c:scaling>
        <c:axPos val="b"/>
        <c:numFmt formatCode="0" sourceLinked="1"/>
        <c:tickLblPos val="nextTo"/>
        <c:txPr>
          <a:bodyPr rot="-5400000" vert="horz"/>
          <a:lstStyle/>
          <a:p>
            <a:pPr>
              <a:defRPr lang="en-GB"/>
            </a:pPr>
            <a:endParaRPr lang="en-US"/>
          </a:p>
        </c:txPr>
        <c:crossAx val="138121600"/>
        <c:crosses val="autoZero"/>
        <c:auto val="1"/>
        <c:lblAlgn val="ctr"/>
        <c:lblOffset val="100"/>
      </c:catAx>
      <c:valAx>
        <c:axId val="138121600"/>
        <c:scaling>
          <c:orientation val="minMax"/>
        </c:scaling>
        <c:axPos val="l"/>
        <c:majorGridlines/>
        <c:title>
          <c:tx>
            <c:rich>
              <a:bodyPr/>
              <a:lstStyle/>
              <a:p>
                <a:pPr>
                  <a:defRPr lang="en-GB" sz="800" b="1" i="0" u="none" strike="noStrike" baseline="0">
                    <a:solidFill>
                      <a:srgbClr val="000000"/>
                    </a:solidFill>
                    <a:latin typeface="Calibri"/>
                    <a:ea typeface="Calibri"/>
                    <a:cs typeface="Calibri"/>
                  </a:defRPr>
                </a:pPr>
                <a:r>
                  <a:rPr lang="en-GB"/>
                  <a:t>Total child benefit cost as percentage of General government expenditure</a:t>
                </a:r>
              </a:p>
            </c:rich>
          </c:tx>
          <c:spPr>
            <a:noFill/>
            <a:ln w="25400">
              <a:noFill/>
            </a:ln>
          </c:spPr>
        </c:title>
        <c:numFmt formatCode="0.0" sourceLinked="0"/>
        <c:tickLblPos val="nextTo"/>
        <c:txPr>
          <a:bodyPr/>
          <a:lstStyle/>
          <a:p>
            <a:pPr>
              <a:defRPr lang="en-GB"/>
            </a:pPr>
            <a:endParaRPr lang="en-US"/>
          </a:p>
        </c:txPr>
        <c:crossAx val="138111616"/>
        <c:crosses val="autoZero"/>
        <c:crossBetween val="between"/>
      </c:valAx>
    </c:plotArea>
    <c:legend>
      <c:legendPos val="r"/>
      <c:layout>
        <c:manualLayout>
          <c:xMode val="edge"/>
          <c:yMode val="edge"/>
          <c:x val="0.74124906791956313"/>
          <c:y val="0.34111585375456432"/>
          <c:w val="0.23675716497729332"/>
          <c:h val="0.31487617269652207"/>
        </c:manualLayout>
      </c:layout>
      <c:txPr>
        <a:bodyPr/>
        <a:lstStyle/>
        <a:p>
          <a:pPr>
            <a:defRPr lang="en-GB"/>
          </a:pPr>
          <a:endParaRPr lang="en-US"/>
        </a:p>
      </c:txPr>
    </c:legend>
    <c:plotVisOnly val="1"/>
    <c:dispBlanksAs val="gap"/>
  </c:chart>
  <c:spPr>
    <a:solidFill>
      <a:srgbClr val="FFFFFF"/>
    </a:solidFill>
    <a:ln w="12700">
      <a:solidFill>
        <a:srgbClr val="000000"/>
      </a:solidFill>
      <a:prstDash val="solid"/>
    </a:ln>
  </c:spPr>
  <c:printSettings>
    <c:headerFooter/>
    <c:pageMargins b="0.98425196899999956" l="0.78740157499999996" r="0.78740157499999996" t="0.98425196899999956" header="0.49212598450000172" footer="0.4921259845000017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Child benefit (and its components) as a percentage of GDP </a:t>
            </a:r>
          </a:p>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Scenario 2c strict- Targeted for poor children aged 0 to 15 limited to 2 children per HH </a:t>
            </a:r>
            <a:r>
              <a:rPr lang="fr-FR" sz="900" b="0" i="0" u="none" strike="noStrike" baseline="0">
                <a:solidFill>
                  <a:srgbClr val="000000"/>
                </a:solidFill>
                <a:latin typeface="Calibri"/>
              </a:rPr>
              <a:t>(based on children poverty rate)</a:t>
            </a:r>
          </a:p>
        </c:rich>
      </c:tx>
      <c:layout>
        <c:manualLayout>
          <c:xMode val="edge"/>
          <c:yMode val="edge"/>
          <c:x val="0.13939906070499541"/>
          <c:y val="1.6463536117391271E-2"/>
        </c:manualLayout>
      </c:layout>
      <c:overlay val="1"/>
      <c:spPr>
        <a:noFill/>
        <a:ln w="25400">
          <a:noFill/>
        </a:ln>
      </c:spPr>
    </c:title>
    <c:plotArea>
      <c:layout>
        <c:manualLayout>
          <c:layoutTarget val="inner"/>
          <c:xMode val="edge"/>
          <c:yMode val="edge"/>
          <c:x val="0.1858654379261003"/>
          <c:y val="0.30292594539757633"/>
          <c:w val="0.57308510027213777"/>
          <c:h val="0.48731565129174986"/>
        </c:manualLayout>
      </c:layout>
      <c:barChart>
        <c:barDir val="col"/>
        <c:grouping val="stacked"/>
        <c:ser>
          <c:idx val="0"/>
          <c:order val="0"/>
          <c:tx>
            <c:strRef>
              <c:f>'CHILD (Holistic benefit)'!$A$247</c:f>
              <c:strCache>
                <c:ptCount val="1"/>
                <c:pt idx="0">
                  <c:v>Child allowance</c:v>
                </c:pt>
              </c:strCache>
            </c:strRef>
          </c:tx>
          <c:spPr>
            <a:solidFill>
              <a:schemeClr val="accent1"/>
            </a:solidFill>
          </c:spPr>
          <c:cat>
            <c:numRef>
              <c:f>'CHILD (Holistic benefit)'!$B$246:$L$246</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benefit)'!$B$247:$L$247</c:f>
              <c:numCache>
                <c:formatCode>0.00</c:formatCode>
                <c:ptCount val="11"/>
                <c:pt idx="0">
                  <c:v>0</c:v>
                </c:pt>
                <c:pt idx="1">
                  <c:v>7.1643766053422861E-2</c:v>
                </c:pt>
                <c:pt idx="2">
                  <c:v>0.15253645820907732</c:v>
                </c:pt>
                <c:pt idx="3">
                  <c:v>0.17714266168305193</c:v>
                </c:pt>
                <c:pt idx="4">
                  <c:v>0.19897933506569906</c:v>
                </c:pt>
                <c:pt idx="5">
                  <c:v>0.2504007512994938</c:v>
                </c:pt>
                <c:pt idx="6">
                  <c:v>0.2978975095438402</c:v>
                </c:pt>
                <c:pt idx="7">
                  <c:v>0.28536219029491616</c:v>
                </c:pt>
                <c:pt idx="8">
                  <c:v>0.27465664601810375</c:v>
                </c:pt>
                <c:pt idx="9">
                  <c:v>0.26555454018419189</c:v>
                </c:pt>
                <c:pt idx="10">
                  <c:v>0.25793814856366898</c:v>
                </c:pt>
              </c:numCache>
            </c:numRef>
          </c:val>
        </c:ser>
        <c:ser>
          <c:idx val="1"/>
          <c:order val="1"/>
          <c:tx>
            <c:strRef>
              <c:f>'CHILD (Holistic benefit)'!$A$248</c:f>
              <c:strCache>
                <c:ptCount val="1"/>
                <c:pt idx="0">
                  <c:v>Staff cost</c:v>
                </c:pt>
              </c:strCache>
            </c:strRef>
          </c:tx>
          <c:cat>
            <c:numRef>
              <c:f>'CHILD (Holistic benefit)'!$B$246:$L$246</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benefit)'!$B$248:$L$248</c:f>
              <c:numCache>
                <c:formatCode>0.00</c:formatCode>
                <c:ptCount val="11"/>
                <c:pt idx="0">
                  <c:v>0</c:v>
                </c:pt>
                <c:pt idx="1">
                  <c:v>1.6427512077379004E-2</c:v>
                </c:pt>
                <c:pt idx="2">
                  <c:v>3.0029116249931067E-2</c:v>
                </c:pt>
                <c:pt idx="3">
                  <c:v>3.4400756308037905E-2</c:v>
                </c:pt>
                <c:pt idx="4">
                  <c:v>3.8132065576938871E-2</c:v>
                </c:pt>
                <c:pt idx="5">
                  <c:v>4.7371953827564796E-2</c:v>
                </c:pt>
                <c:pt idx="6">
                  <c:v>5.5659573143769181E-2</c:v>
                </c:pt>
                <c:pt idx="7">
                  <c:v>5.2679055025684679E-2</c:v>
                </c:pt>
                <c:pt idx="8">
                  <c:v>5.01110172164057E-2</c:v>
                </c:pt>
                <c:pt idx="9">
                  <c:v>4.7892032576563361E-2</c:v>
                </c:pt>
                <c:pt idx="10">
                  <c:v>4.5984106598756028E-2</c:v>
                </c:pt>
              </c:numCache>
            </c:numRef>
          </c:val>
        </c:ser>
        <c:ser>
          <c:idx val="2"/>
          <c:order val="2"/>
          <c:tx>
            <c:strRef>
              <c:f>'CHILD (Holistic benefit)'!$A$249</c:f>
              <c:strCache>
                <c:ptCount val="1"/>
                <c:pt idx="0">
                  <c:v>Non-staff cost</c:v>
                </c:pt>
              </c:strCache>
            </c:strRef>
          </c:tx>
          <c:cat>
            <c:numRef>
              <c:f>'CHILD (Holistic benefit)'!$B$246:$L$246</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benefit)'!$B$249:$L$249</c:f>
              <c:numCache>
                <c:formatCode>0.00</c:formatCode>
                <c:ptCount val="11"/>
                <c:pt idx="0">
                  <c:v>0</c:v>
                </c:pt>
                <c:pt idx="1">
                  <c:v>8.2137560386895021E-3</c:v>
                </c:pt>
                <c:pt idx="2">
                  <c:v>1.5014558124965533E-2</c:v>
                </c:pt>
                <c:pt idx="3">
                  <c:v>1.7200378154018953E-2</c:v>
                </c:pt>
                <c:pt idx="4">
                  <c:v>1.9066032788469436E-2</c:v>
                </c:pt>
                <c:pt idx="5">
                  <c:v>2.3685976913782398E-2</c:v>
                </c:pt>
                <c:pt idx="6">
                  <c:v>2.782978657188459E-2</c:v>
                </c:pt>
                <c:pt idx="7">
                  <c:v>2.633952751284234E-2</c:v>
                </c:pt>
                <c:pt idx="8">
                  <c:v>2.505550860820285E-2</c:v>
                </c:pt>
                <c:pt idx="9">
                  <c:v>2.394601628828168E-2</c:v>
                </c:pt>
                <c:pt idx="10">
                  <c:v>2.2992053299378014E-2</c:v>
                </c:pt>
              </c:numCache>
            </c:numRef>
          </c:val>
        </c:ser>
        <c:ser>
          <c:idx val="3"/>
          <c:order val="3"/>
          <c:tx>
            <c:strRef>
              <c:f>'CHILD (Holistic benefit)'!$A$250</c:f>
              <c:strCache>
                <c:ptCount val="1"/>
                <c:pt idx="0">
                  <c:v>Meals</c:v>
                </c:pt>
              </c:strCache>
            </c:strRef>
          </c:tx>
          <c:cat>
            <c:numRef>
              <c:f>'CHILD (Holistic benefit)'!$B$246:$L$246</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benefit)'!$B$250:$L$250</c:f>
              <c:numCache>
                <c:formatCode>0.00</c:formatCode>
                <c:ptCount val="11"/>
                <c:pt idx="0">
                  <c:v>0</c:v>
                </c:pt>
                <c:pt idx="1">
                  <c:v>3.2062824711356727E-2</c:v>
                </c:pt>
                <c:pt idx="2">
                  <c:v>5.7479639302507553E-2</c:v>
                </c:pt>
                <c:pt idx="3">
                  <c:v>6.396760752524884E-2</c:v>
                </c:pt>
                <c:pt idx="4">
                  <c:v>6.8353404237619458E-2</c:v>
                </c:pt>
                <c:pt idx="5">
                  <c:v>8.1429472912858597E-2</c:v>
                </c:pt>
                <c:pt idx="6">
                  <c:v>9.1194551264163579E-2</c:v>
                </c:pt>
                <c:pt idx="7">
                  <c:v>8.1957964850270182E-2</c:v>
                </c:pt>
                <c:pt idx="8">
                  <c:v>7.3740209915398716E-2</c:v>
                </c:pt>
                <c:pt idx="9">
                  <c:v>6.6386772450898482E-2</c:v>
                </c:pt>
                <c:pt idx="10">
                  <c:v>5.979084382361563E-2</c:v>
                </c:pt>
              </c:numCache>
            </c:numRef>
          </c:val>
        </c:ser>
        <c:overlap val="100"/>
        <c:axId val="138148480"/>
        <c:axId val="138154368"/>
      </c:barChart>
      <c:catAx>
        <c:axId val="138148480"/>
        <c:scaling>
          <c:orientation val="minMax"/>
        </c:scaling>
        <c:axPos val="b"/>
        <c:numFmt formatCode="0" sourceLinked="1"/>
        <c:tickLblPos val="nextTo"/>
        <c:txPr>
          <a:bodyPr rot="-5400000" vert="horz"/>
          <a:lstStyle/>
          <a:p>
            <a:pPr>
              <a:defRPr lang="en-GB"/>
            </a:pPr>
            <a:endParaRPr lang="en-US"/>
          </a:p>
        </c:txPr>
        <c:crossAx val="138154368"/>
        <c:crosses val="autoZero"/>
        <c:auto val="1"/>
        <c:lblAlgn val="ctr"/>
        <c:lblOffset val="100"/>
      </c:catAx>
      <c:valAx>
        <c:axId val="138154368"/>
        <c:scaling>
          <c:orientation val="minMax"/>
        </c:scaling>
        <c:axPos val="l"/>
        <c:majorGridlines/>
        <c:title>
          <c:tx>
            <c:rich>
              <a:bodyPr rot="-5400000" vert="horz"/>
              <a:lstStyle/>
              <a:p>
                <a:pPr>
                  <a:defRPr lang="en-GB" sz="800"/>
                </a:pPr>
                <a:r>
                  <a:rPr lang="en-US" sz="800"/>
                  <a:t>Total child benefit cost as percentage of GDP</a:t>
                </a:r>
              </a:p>
            </c:rich>
          </c:tx>
          <c:layout>
            <c:manualLayout>
              <c:xMode val="edge"/>
              <c:yMode val="edge"/>
              <c:x val="4.4253714405433506E-2"/>
              <c:y val="0.20414576890759942"/>
            </c:manualLayout>
          </c:layout>
          <c:spPr>
            <a:noFill/>
            <a:ln w="25400">
              <a:noFill/>
            </a:ln>
          </c:spPr>
        </c:title>
        <c:numFmt formatCode="0.0" sourceLinked="0"/>
        <c:tickLblPos val="nextTo"/>
        <c:txPr>
          <a:bodyPr/>
          <a:lstStyle/>
          <a:p>
            <a:pPr>
              <a:defRPr lang="en-GB"/>
            </a:pPr>
            <a:endParaRPr lang="en-US"/>
          </a:p>
        </c:txPr>
        <c:crossAx val="138148480"/>
        <c:crosses val="autoZero"/>
        <c:crossBetween val="between"/>
      </c:valAx>
    </c:plotArea>
    <c:legend>
      <c:legendPos val="r"/>
      <c:layout>
        <c:manualLayout>
          <c:xMode val="edge"/>
          <c:yMode val="edge"/>
          <c:x val="0.7855027436162475"/>
          <c:y val="0.2930479254389563"/>
          <c:w val="0.2013542244199403"/>
          <c:h val="0.67170535718592528"/>
        </c:manualLayout>
      </c:layout>
      <c:txPr>
        <a:bodyPr/>
        <a:lstStyle/>
        <a:p>
          <a:pPr>
            <a:defRPr lang="en-GB"/>
          </a:pPr>
          <a:endParaRPr lang="en-US"/>
        </a:p>
      </c:txPr>
    </c:legend>
    <c:plotVisOnly val="1"/>
    <c:dispBlanksAs val="gap"/>
  </c:chart>
  <c:spPr>
    <a:solidFill>
      <a:srgbClr val="FFFFFF"/>
    </a:solidFill>
    <a:ln w="12700">
      <a:solidFill>
        <a:srgbClr val="000000"/>
      </a:solidFill>
      <a:prstDash val="solid"/>
    </a:ln>
  </c:spPr>
  <c:printSettings>
    <c:headerFooter/>
    <c:pageMargins b="0.98425196899999956" l="0.78740157499999996" r="0.78740157499999996" t="0.98425196899999956" header="0.49212598450000172" footer="0.4921259845000017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Child benefit (and its components) as a percentage of General government expenditure</a:t>
            </a:r>
          </a:p>
          <a:p>
            <a:pPr>
              <a:defRPr lang="en-GB"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Scenario 2c strict - Targeted for poor children aged 0 to 15 limited to 2 children per HH </a:t>
            </a:r>
            <a:r>
              <a:rPr lang="fr-FR" sz="900" b="0" i="0" u="none" strike="noStrike" baseline="0">
                <a:solidFill>
                  <a:srgbClr val="000000"/>
                </a:solidFill>
                <a:latin typeface="Calibri"/>
              </a:rPr>
              <a:t>(based on children poverty rate)</a:t>
            </a:r>
          </a:p>
        </c:rich>
      </c:tx>
      <c:layout>
        <c:manualLayout>
          <c:xMode val="edge"/>
          <c:yMode val="edge"/>
          <c:x val="0.10030051746378002"/>
          <c:y val="1.9988451443569689E-2"/>
        </c:manualLayout>
      </c:layout>
      <c:overlay val="1"/>
      <c:spPr>
        <a:noFill/>
        <a:ln w="25400">
          <a:noFill/>
        </a:ln>
      </c:spPr>
    </c:title>
    <c:plotArea>
      <c:layout>
        <c:manualLayout>
          <c:layoutTarget val="inner"/>
          <c:xMode val="edge"/>
          <c:yMode val="edge"/>
          <c:x val="0.15896698075286694"/>
          <c:y val="0.30648774912215188"/>
          <c:w val="0.63586792301145734"/>
          <c:h val="0.47971995514771132"/>
        </c:manualLayout>
      </c:layout>
      <c:barChart>
        <c:barDir val="col"/>
        <c:grouping val="stacked"/>
        <c:ser>
          <c:idx val="0"/>
          <c:order val="0"/>
          <c:tx>
            <c:strRef>
              <c:f>'CHILD (Holistic benefit)'!$A$255</c:f>
              <c:strCache>
                <c:ptCount val="1"/>
                <c:pt idx="0">
                  <c:v>Child allowance</c:v>
                </c:pt>
              </c:strCache>
            </c:strRef>
          </c:tx>
          <c:spPr>
            <a:solidFill>
              <a:schemeClr val="accent1"/>
            </a:solidFill>
          </c:spPr>
          <c:cat>
            <c:numRef>
              <c:f>'CHILD (Holistic benefit)'!$B$254:$L$254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benefit)'!$B$255:$L$255</c:f>
              <c:numCache>
                <c:formatCode>0.00</c:formatCode>
                <c:ptCount val="11"/>
                <c:pt idx="0">
                  <c:v>0</c:v>
                </c:pt>
                <c:pt idx="1">
                  <c:v>0.22584505868159227</c:v>
                </c:pt>
                <c:pt idx="2">
                  <c:v>0.47885525091440329</c:v>
                </c:pt>
                <c:pt idx="3">
                  <c:v>0.55894655271104843</c:v>
                </c:pt>
                <c:pt idx="4">
                  <c:v>0.62965449027119935</c:v>
                </c:pt>
                <c:pt idx="5">
                  <c:v>0.79485022204169931</c:v>
                </c:pt>
                <c:pt idx="6">
                  <c:v>0.95011828175008761</c:v>
                </c:pt>
                <c:pt idx="7">
                  <c:v>0.91241180244619369</c:v>
                </c:pt>
                <c:pt idx="8">
                  <c:v>0.8825006460457131</c:v>
                </c:pt>
                <c:pt idx="9">
                  <c:v>0.8572663484734554</c:v>
                </c:pt>
                <c:pt idx="10">
                  <c:v>0.83654522535260845</c:v>
                </c:pt>
              </c:numCache>
            </c:numRef>
          </c:val>
        </c:ser>
        <c:ser>
          <c:idx val="1"/>
          <c:order val="1"/>
          <c:tx>
            <c:strRef>
              <c:f>'CHILD (Holistic benefit)'!$A$256</c:f>
              <c:strCache>
                <c:ptCount val="1"/>
                <c:pt idx="0">
                  <c:v>Staff cost</c:v>
                </c:pt>
              </c:strCache>
            </c:strRef>
          </c:tx>
          <c:cat>
            <c:numRef>
              <c:f>'CHILD (Holistic benefit)'!$B$254:$L$254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benefit)'!$B$256:$L$256</c:f>
              <c:numCache>
                <c:formatCode>0.00</c:formatCode>
                <c:ptCount val="11"/>
                <c:pt idx="0">
                  <c:v>0</c:v>
                </c:pt>
                <c:pt idx="1">
                  <c:v>5.1785000056274594E-2</c:v>
                </c:pt>
                <c:pt idx="2">
                  <c:v>9.4269921862803613E-2</c:v>
                </c:pt>
                <c:pt idx="3">
                  <c:v>0.10854632061154297</c:v>
                </c:pt>
                <c:pt idx="4">
                  <c:v>0.12066592898155859</c:v>
                </c:pt>
                <c:pt idx="5">
                  <c:v>0.15037338275935569</c:v>
                </c:pt>
                <c:pt idx="6">
                  <c:v>0.17752138337537438</c:v>
                </c:pt>
                <c:pt idx="7">
                  <c:v>0.16843503863449097</c:v>
                </c:pt>
                <c:pt idx="8">
                  <c:v>0.16101196060105882</c:v>
                </c:pt>
                <c:pt idx="9">
                  <c:v>0.15460563340173034</c:v>
                </c:pt>
                <c:pt idx="10">
                  <c:v>0.14913569408597738</c:v>
                </c:pt>
              </c:numCache>
            </c:numRef>
          </c:val>
        </c:ser>
        <c:ser>
          <c:idx val="2"/>
          <c:order val="2"/>
          <c:tx>
            <c:strRef>
              <c:f>'CHILD (Holistic benefit)'!$A$257</c:f>
              <c:strCache>
                <c:ptCount val="1"/>
                <c:pt idx="0">
                  <c:v>Non-staff cost</c:v>
                </c:pt>
              </c:strCache>
            </c:strRef>
          </c:tx>
          <c:cat>
            <c:numRef>
              <c:f>'CHILD (Holistic benefit)'!$B$254:$L$254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benefit)'!$B$257:$L$257</c:f>
              <c:numCache>
                <c:formatCode>0.00</c:formatCode>
                <c:ptCount val="11"/>
                <c:pt idx="0">
                  <c:v>0</c:v>
                </c:pt>
                <c:pt idx="1">
                  <c:v>2.5892500028137297E-2</c:v>
                </c:pt>
                <c:pt idx="2">
                  <c:v>4.7134960931401806E-2</c:v>
                </c:pt>
                <c:pt idx="3">
                  <c:v>5.4273160305771485E-2</c:v>
                </c:pt>
                <c:pt idx="4">
                  <c:v>6.0332964490779295E-2</c:v>
                </c:pt>
                <c:pt idx="5">
                  <c:v>7.5186691379677845E-2</c:v>
                </c:pt>
                <c:pt idx="6">
                  <c:v>8.8760691687687188E-2</c:v>
                </c:pt>
                <c:pt idx="7">
                  <c:v>8.4217519317245484E-2</c:v>
                </c:pt>
                <c:pt idx="8">
                  <c:v>8.0505980300529412E-2</c:v>
                </c:pt>
                <c:pt idx="9">
                  <c:v>7.7302816700865168E-2</c:v>
                </c:pt>
                <c:pt idx="10">
                  <c:v>7.4567847042988689E-2</c:v>
                </c:pt>
              </c:numCache>
            </c:numRef>
          </c:val>
        </c:ser>
        <c:ser>
          <c:idx val="3"/>
          <c:order val="3"/>
          <c:tx>
            <c:strRef>
              <c:f>'CHILD (Holistic benefit)'!$A$258</c:f>
              <c:strCache>
                <c:ptCount val="1"/>
                <c:pt idx="0">
                  <c:v>Meals</c:v>
                </c:pt>
              </c:strCache>
            </c:strRef>
          </c:tx>
          <c:cat>
            <c:numRef>
              <c:f>'CHILD (Holistic benefit)'!$B$254:$L$254</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'CHILD (Holistic benefit)'!$B$258:$L$258</c:f>
              <c:numCache>
                <c:formatCode>0.00</c:formatCode>
                <c:ptCount val="11"/>
                <c:pt idx="0">
                  <c:v>0</c:v>
                </c:pt>
                <c:pt idx="1">
                  <c:v>0.10107272310384094</c:v>
                </c:pt>
                <c:pt idx="2">
                  <c:v>0.18044490755740974</c:v>
                </c:pt>
                <c:pt idx="3">
                  <c:v>0.20183999366219277</c:v>
                </c:pt>
                <c:pt idx="4">
                  <c:v>0.21629898345639206</c:v>
                </c:pt>
                <c:pt idx="5">
                  <c:v>0.2584825895674342</c:v>
                </c:pt>
                <c:pt idx="6">
                  <c:v>0.29085711553867877</c:v>
                </c:pt>
                <c:pt idx="7">
                  <c:v>0.26205088472503579</c:v>
                </c:pt>
                <c:pt idx="8">
                  <c:v>0.2369350381042534</c:v>
                </c:pt>
                <c:pt idx="9">
                  <c:v>0.21431057426638478</c:v>
                </c:pt>
                <c:pt idx="10">
                  <c:v>0.19391371613300878</c:v>
                </c:pt>
              </c:numCache>
            </c:numRef>
          </c:val>
        </c:ser>
        <c:overlap val="100"/>
        <c:axId val="138226688"/>
        <c:axId val="138232576"/>
      </c:barChart>
      <c:catAx>
        <c:axId val="138226688"/>
        <c:scaling>
          <c:orientation val="minMax"/>
        </c:scaling>
        <c:axPos val="b"/>
        <c:numFmt formatCode="0" sourceLinked="1"/>
        <c:tickLblPos val="nextTo"/>
        <c:txPr>
          <a:bodyPr rot="-5400000" vert="horz"/>
          <a:lstStyle/>
          <a:p>
            <a:pPr>
              <a:defRPr lang="en-GB"/>
            </a:pPr>
            <a:endParaRPr lang="en-US"/>
          </a:p>
        </c:txPr>
        <c:crossAx val="138232576"/>
        <c:crosses val="autoZero"/>
        <c:auto val="1"/>
        <c:lblAlgn val="ctr"/>
        <c:lblOffset val="100"/>
      </c:catAx>
      <c:valAx>
        <c:axId val="138232576"/>
        <c:scaling>
          <c:orientation val="minMax"/>
        </c:scaling>
        <c:axPos val="l"/>
        <c:majorGridlines/>
        <c:title>
          <c:tx>
            <c:rich>
              <a:bodyPr/>
              <a:lstStyle/>
              <a:p>
                <a:pPr>
                  <a:defRPr lang="en-GB" sz="800" b="1" i="0" u="none" strike="noStrike" baseline="0">
                    <a:solidFill>
                      <a:srgbClr val="000000"/>
                    </a:solidFill>
                    <a:latin typeface="Calibri"/>
                    <a:ea typeface="Calibri"/>
                    <a:cs typeface="Calibri"/>
                  </a:defRPr>
                </a:pPr>
                <a:r>
                  <a:rPr lang="en-GB"/>
                  <a:t>Total child benefit cost as percentage of General government expenditure</a:t>
                </a:r>
              </a:p>
            </c:rich>
          </c:tx>
          <c:layout>
            <c:manualLayout>
              <c:xMode val="edge"/>
              <c:yMode val="edge"/>
              <c:x val="9.4623655913978547E-3"/>
              <c:y val="0.23652843394575676"/>
            </c:manualLayout>
          </c:layout>
          <c:spPr>
            <a:noFill/>
            <a:ln w="25400">
              <a:noFill/>
            </a:ln>
          </c:spPr>
        </c:title>
        <c:numFmt formatCode="0.0" sourceLinked="0"/>
        <c:tickLblPos val="nextTo"/>
        <c:txPr>
          <a:bodyPr/>
          <a:lstStyle/>
          <a:p>
            <a:pPr>
              <a:defRPr lang="en-GB"/>
            </a:pPr>
            <a:endParaRPr lang="en-US"/>
          </a:p>
        </c:txPr>
        <c:crossAx val="138226688"/>
        <c:crosses val="autoZero"/>
        <c:crossBetween val="between"/>
      </c:valAx>
    </c:plotArea>
    <c:legend>
      <c:legendPos val="r"/>
      <c:layout>
        <c:manualLayout>
          <c:xMode val="edge"/>
          <c:yMode val="edge"/>
          <c:x val="0.8080821521603937"/>
          <c:y val="0.20987748037712475"/>
          <c:w val="0.17221422914893644"/>
          <c:h val="0.67960326979259311"/>
        </c:manualLayout>
      </c:layout>
      <c:txPr>
        <a:bodyPr/>
        <a:lstStyle/>
        <a:p>
          <a:pPr>
            <a:defRPr lang="en-GB"/>
          </a:pPr>
          <a:endParaRPr lang="en-US"/>
        </a:p>
      </c:txPr>
    </c:legend>
    <c:plotVisOnly val="1"/>
    <c:dispBlanksAs val="gap"/>
  </c:chart>
  <c:spPr>
    <a:solidFill>
      <a:srgbClr val="FFFFFF"/>
    </a:solidFill>
    <a:ln w="12700">
      <a:solidFill>
        <a:srgbClr val="000000"/>
      </a:solidFill>
      <a:prstDash val="solid"/>
    </a:ln>
  </c:spPr>
  <c:printSettings>
    <c:headerFooter/>
    <c:pageMargins b="0.98425196899999956" l="0.78740157499999996" r="0.78740157499999996" t="0.98425196899999956" header="0.49212598450000172" footer="0.4921259845000017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1200" b="1" i="0" u="none" strike="noStrike" baseline="0">
                <a:solidFill>
                  <a:srgbClr val="000000"/>
                </a:solidFill>
                <a:latin typeface="Calibri"/>
                <a:ea typeface="Calibri"/>
                <a:cs typeface="Calibri"/>
              </a:defRPr>
            </a:pPr>
            <a:r>
              <a:rPr lang="en-GB"/>
              <a:t>Universal old age pension for elderly not covered by the contributory pension | </a:t>
            </a:r>
            <a:r>
              <a:rPr lang="en-GB" sz="1200" b="1" i="0" u="none" strike="noStrike" baseline="0"/>
              <a:t> progressive  reduction of eligible age to reach 65+ in 2020 </a:t>
            </a:r>
            <a:r>
              <a:rPr lang="en-GB"/>
              <a:t> as a percentage of GDP</a:t>
            </a:r>
          </a:p>
        </c:rich>
      </c:tx>
      <c:layout/>
      <c:overlay val="1"/>
      <c:spPr>
        <a:noFill/>
        <a:ln w="25400">
          <a:noFill/>
        </a:ln>
      </c:spPr>
    </c:title>
    <c:plotArea>
      <c:layout>
        <c:manualLayout>
          <c:layoutTarget val="inner"/>
          <c:xMode val="edge"/>
          <c:yMode val="edge"/>
          <c:x val="0.17322466870662348"/>
          <c:y val="0.20020261983897056"/>
          <c:w val="0.55339916285921309"/>
          <c:h val="0.60364123254480073"/>
        </c:manualLayout>
      </c:layout>
      <c:barChart>
        <c:barDir val="col"/>
        <c:grouping val="stacked"/>
        <c:ser>
          <c:idx val="0"/>
          <c:order val="0"/>
          <c:tx>
            <c:strRef>
              <c:f>'PENS (Universal)'!$A$148</c:f>
              <c:strCache>
                <c:ptCount val="1"/>
                <c:pt idx="0">
                  <c:v>New pensioners eligible age -79</c:v>
                </c:pt>
              </c:strCache>
            </c:strRef>
          </c:tx>
          <c:cat>
            <c:numRef>
              <c:f>'PENS (Universal)'!$B$147:$L$147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(Universal)'!$B$148:$L$148</c:f>
              <c:numCache>
                <c:formatCode>0.00</c:formatCode>
                <c:ptCount val="11"/>
                <c:pt idx="0">
                  <c:v>0</c:v>
                </c:pt>
                <c:pt idx="1">
                  <c:v>0</c:v>
                </c:pt>
                <c:pt idx="2">
                  <c:v>2.394483995044339E-2</c:v>
                </c:pt>
                <c:pt idx="3">
                  <c:v>7.9082316942159156E-2</c:v>
                </c:pt>
                <c:pt idx="4">
                  <c:v>0.14215293653747843</c:v>
                </c:pt>
                <c:pt idx="5">
                  <c:v>0.19403576494253461</c:v>
                </c:pt>
                <c:pt idx="6">
                  <c:v>0.25944329219846585</c:v>
                </c:pt>
                <c:pt idx="7">
                  <c:v>0.32808640629781327</c:v>
                </c:pt>
                <c:pt idx="8">
                  <c:v>0.38360843227181496</c:v>
                </c:pt>
                <c:pt idx="9">
                  <c:v>0.4640828317539093</c:v>
                </c:pt>
                <c:pt idx="10">
                  <c:v>0.5119945187506616</c:v>
                </c:pt>
              </c:numCache>
            </c:numRef>
          </c:val>
        </c:ser>
        <c:ser>
          <c:idx val="1"/>
          <c:order val="1"/>
          <c:tx>
            <c:strRef>
              <c:f>'PENS (Universal)'!$A$149</c:f>
              <c:strCache>
                <c:ptCount val="1"/>
                <c:pt idx="0">
                  <c:v>New pensioners 80+</c:v>
                </c:pt>
              </c:strCache>
            </c:strRef>
          </c:tx>
          <c:cat>
            <c:numRef>
              <c:f>'PENS (Universal)'!$B$147:$L$147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(Universal)'!$B$149:$L$149</c:f>
              <c:numCache>
                <c:formatCode>0.00</c:formatCode>
                <c:ptCount val="11"/>
                <c:pt idx="0">
                  <c:v>0</c:v>
                </c:pt>
                <c:pt idx="1">
                  <c:v>5.0814549057634766E-2</c:v>
                </c:pt>
                <c:pt idx="2">
                  <c:v>9.8545985904046132E-2</c:v>
                </c:pt>
                <c:pt idx="3">
                  <c:v>9.4334970932751699E-2</c:v>
                </c:pt>
                <c:pt idx="4">
                  <c:v>8.9620177872775347E-2</c:v>
                </c:pt>
                <c:pt idx="5">
                  <c:v>8.471546331991342E-2</c:v>
                </c:pt>
                <c:pt idx="6">
                  <c:v>7.9618983136553259E-2</c:v>
                </c:pt>
                <c:pt idx="7">
                  <c:v>7.4505186187842048E-2</c:v>
                </c:pt>
                <c:pt idx="8">
                  <c:v>6.9440256636472381E-2</c:v>
                </c:pt>
                <c:pt idx="9">
                  <c:v>6.4614319855174962E-2</c:v>
                </c:pt>
                <c:pt idx="10">
                  <c:v>6.0133636718574031E-2</c:v>
                </c:pt>
              </c:numCache>
            </c:numRef>
          </c:val>
        </c:ser>
        <c:ser>
          <c:idx val="2"/>
          <c:order val="2"/>
          <c:tx>
            <c:strRef>
              <c:f>'PENS (Universal)'!$A$150</c:f>
              <c:strCache>
                <c:ptCount val="1"/>
                <c:pt idx="0">
                  <c:v>People with higher pension amount 80+</c:v>
                </c:pt>
              </c:strCache>
            </c:strRef>
          </c:tx>
          <c:cat>
            <c:numRef>
              <c:f>'PENS (Universal)'!$B$147:$L$147</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(Universal)'!$B$150:$L$150</c:f>
              <c:numCache>
                <c:formatCode>0.00</c:formatCode>
                <c:ptCount val="11"/>
                <c:pt idx="0">
                  <c:v>0</c:v>
                </c:pt>
                <c:pt idx="1">
                  <c:v>2.5667207300772914E-2</c:v>
                </c:pt>
                <c:pt idx="2">
                  <c:v>4.9777087384743041E-2</c:v>
                </c:pt>
                <c:pt idx="3">
                  <c:v>4.7650039202296671E-2</c:v>
                </c:pt>
                <c:pt idx="4">
                  <c:v>4.5268524988456064E-2</c:v>
                </c:pt>
                <c:pt idx="5">
                  <c:v>4.2791078518614585E-2</c:v>
                </c:pt>
                <c:pt idx="6">
                  <c:v>4.0216768290608489E-2</c:v>
                </c:pt>
                <c:pt idx="7">
                  <c:v>3.7633711099099076E-2</c:v>
                </c:pt>
                <c:pt idx="8">
                  <c:v>3.5075337578724712E-2</c:v>
                </c:pt>
                <c:pt idx="9">
                  <c:v>3.2637682968319898E-2</c:v>
                </c:pt>
                <c:pt idx="10">
                  <c:v>3.03744212637681E-2</c:v>
                </c:pt>
              </c:numCache>
            </c:numRef>
          </c:val>
        </c:ser>
        <c:overlap val="100"/>
        <c:axId val="138291840"/>
        <c:axId val="138305920"/>
      </c:barChart>
      <c:catAx>
        <c:axId val="138291840"/>
        <c:scaling>
          <c:orientation val="minMax"/>
        </c:scaling>
        <c:axPos val="b"/>
        <c:numFmt formatCode="0" sourceLinked="1"/>
        <c:tickLblPos val="nextTo"/>
        <c:txPr>
          <a:bodyPr rot="-5400000" vert="horz"/>
          <a:lstStyle/>
          <a:p>
            <a:pPr>
              <a:defRPr lang="en-GB"/>
            </a:pPr>
            <a:endParaRPr lang="en-US"/>
          </a:p>
        </c:txPr>
        <c:crossAx val="138305920"/>
        <c:crosses val="autoZero"/>
        <c:auto val="1"/>
        <c:lblAlgn val="ctr"/>
        <c:lblOffset val="100"/>
      </c:catAx>
      <c:valAx>
        <c:axId val="138305920"/>
        <c:scaling>
          <c:orientation val="minMax"/>
        </c:scaling>
        <c:axPos val="l"/>
        <c:majorGridlines/>
        <c:title>
          <c:tx>
            <c:rich>
              <a:bodyPr rot="-5400000" vert="horz"/>
              <a:lstStyle/>
              <a:p>
                <a:pPr>
                  <a:defRPr lang="en-GB"/>
                </a:pPr>
                <a:r>
                  <a:rPr lang="en-US" sz="900" b="0"/>
                  <a:t>Total child benefit cost as percentage of GDP</a:t>
                </a:r>
              </a:p>
            </c:rich>
          </c:tx>
          <c:layout>
            <c:manualLayout>
              <c:xMode val="edge"/>
              <c:yMode val="edge"/>
              <c:x val="1.5912534742681048E-2"/>
              <c:y val="8.8437457428548069E-2"/>
            </c:manualLayout>
          </c:layout>
          <c:spPr>
            <a:noFill/>
            <a:ln w="25400">
              <a:noFill/>
            </a:ln>
          </c:spPr>
        </c:title>
        <c:numFmt formatCode="0.0" sourceLinked="0"/>
        <c:tickLblPos val="nextTo"/>
        <c:txPr>
          <a:bodyPr/>
          <a:lstStyle/>
          <a:p>
            <a:pPr>
              <a:defRPr lang="en-GB"/>
            </a:pPr>
            <a:endParaRPr lang="en-US"/>
          </a:p>
        </c:txPr>
        <c:crossAx val="138291840"/>
        <c:crosses val="autoZero"/>
        <c:crossBetween val="between"/>
      </c:valAx>
      <c:spPr>
        <a:noFill/>
        <a:ln w="25400">
          <a:noFill/>
        </a:ln>
      </c:spPr>
    </c:plotArea>
    <c:legend>
      <c:legendPos val="r"/>
      <c:layout>
        <c:manualLayout>
          <c:xMode val="edge"/>
          <c:yMode val="edge"/>
          <c:x val="0.72226521560320933"/>
          <c:y val="0.28653689256889331"/>
          <c:w val="0.21509465668434091"/>
          <c:h val="0.4556972267360701"/>
        </c:manualLayout>
      </c:layout>
      <c:txPr>
        <a:bodyPr/>
        <a:lstStyle/>
        <a:p>
          <a:pPr>
            <a:defRPr lang="en-GB"/>
          </a:pPr>
          <a:endParaRPr lang="en-US"/>
        </a:p>
      </c:txPr>
    </c:legend>
    <c:plotVisOnly val="1"/>
    <c:dispBlanksAs val="gap"/>
  </c:chart>
  <c:printSettings>
    <c:headerFooter/>
    <c:pageMargins b="0.75000000000000844" l="0.70000000000000062" r="0.70000000000000062" t="0.75000000000000844"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1200" b="1" i="0" u="none" strike="noStrike" baseline="0">
                <a:solidFill>
                  <a:srgbClr val="000000"/>
                </a:solidFill>
                <a:latin typeface="Calibri"/>
                <a:ea typeface="Calibri"/>
                <a:cs typeface="Calibri"/>
              </a:defRPr>
            </a:pPr>
            <a:r>
              <a:rPr lang="en-GB"/>
              <a:t>Universal old age pension for elderly not covered by the contributory pension | </a:t>
            </a:r>
            <a:r>
              <a:rPr lang="en-GB" sz="1200" b="1" i="0" u="none" strike="noStrike" baseline="0"/>
              <a:t> progressive  reduction of eligible age to reach 65+ in 2020 </a:t>
            </a:r>
            <a:r>
              <a:rPr lang="en-GB"/>
              <a:t> as a percentage of general government expenditure</a:t>
            </a:r>
          </a:p>
        </c:rich>
      </c:tx>
      <c:layout/>
      <c:overlay val="1"/>
      <c:spPr>
        <a:noFill/>
        <a:ln w="25400">
          <a:noFill/>
        </a:ln>
      </c:spPr>
    </c:title>
    <c:plotArea>
      <c:layout>
        <c:manualLayout>
          <c:layoutTarget val="inner"/>
          <c:xMode val="edge"/>
          <c:yMode val="edge"/>
          <c:x val="0.15680269504632269"/>
          <c:y val="0.17054263565891473"/>
          <c:w val="0.56033904259200062"/>
          <c:h val="0.68475452196382425"/>
        </c:manualLayout>
      </c:layout>
      <c:barChart>
        <c:barDir val="col"/>
        <c:grouping val="stacked"/>
        <c:ser>
          <c:idx val="0"/>
          <c:order val="0"/>
          <c:tx>
            <c:strRef>
              <c:f>'PENS (Universal)'!$A$154</c:f>
              <c:strCache>
                <c:ptCount val="1"/>
                <c:pt idx="0">
                  <c:v>New pensioners eligible age -79</c:v>
                </c:pt>
              </c:strCache>
            </c:strRef>
          </c:tx>
          <c:cat>
            <c:numRef>
              <c:f>'PENS (Universal)'!$B$153:$L$153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(Universal)'!$B$154:$L$154</c:f>
              <c:numCache>
                <c:formatCode>0.0</c:formatCode>
                <c:ptCount val="11"/>
                <c:pt idx="0">
                  <c:v>0</c:v>
                </c:pt>
                <c:pt idx="1">
                  <c:v>0</c:v>
                </c:pt>
                <c:pt idx="2">
                  <c:v>7.5169651093239143E-2</c:v>
                </c:pt>
                <c:pt idx="3">
                  <c:v>0.24953214553313607</c:v>
                </c:pt>
                <c:pt idx="4">
                  <c:v>0.4498318117633</c:v>
                </c:pt>
                <c:pt idx="5">
                  <c:v>0.61593014417172187</c:v>
                </c:pt>
                <c:pt idx="6">
                  <c:v>0.82747188914956593</c:v>
                </c:pt>
                <c:pt idx="7">
                  <c:v>1.049017422451481</c:v>
                </c:pt>
                <c:pt idx="8">
                  <c:v>1.2325741765817151</c:v>
                </c:pt>
                <c:pt idx="9">
                  <c:v>1.4981577580671233</c:v>
                </c:pt>
                <c:pt idx="10">
                  <c:v>1.660501063734084</c:v>
                </c:pt>
              </c:numCache>
            </c:numRef>
          </c:val>
        </c:ser>
        <c:ser>
          <c:idx val="1"/>
          <c:order val="1"/>
          <c:tx>
            <c:strRef>
              <c:f>'PENS (Universal)'!$A$155</c:f>
              <c:strCache>
                <c:ptCount val="1"/>
                <c:pt idx="0">
                  <c:v>New pensioners 80+</c:v>
                </c:pt>
              </c:strCache>
            </c:strRef>
          </c:tx>
          <c:cat>
            <c:numRef>
              <c:f>'PENS (Universal)'!$B$153:$L$153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(Universal)'!$B$155:$L$155</c:f>
              <c:numCache>
                <c:formatCode>0.0</c:formatCode>
                <c:ptCount val="11"/>
                <c:pt idx="0">
                  <c:v>0</c:v>
                </c:pt>
                <c:pt idx="1">
                  <c:v>0.16018441583937204</c:v>
                </c:pt>
                <c:pt idx="2">
                  <c:v>0.30936382921654249</c:v>
                </c:pt>
                <c:pt idx="3">
                  <c:v>0.297659560390377</c:v>
                </c:pt>
                <c:pt idx="4">
                  <c:v>0.28359601964628434</c:v>
                </c:pt>
                <c:pt idx="5">
                  <c:v>0.26891334982322301</c:v>
                </c:pt>
                <c:pt idx="6">
                  <c:v>0.25393784448962808</c:v>
                </c:pt>
                <c:pt idx="7">
                  <c:v>0.23822150773016854</c:v>
                </c:pt>
                <c:pt idx="8">
                  <c:v>0.22311883667008622</c:v>
                </c:pt>
                <c:pt idx="9">
                  <c:v>0.20858872155950101</c:v>
                </c:pt>
                <c:pt idx="10">
                  <c:v>0.19502546234487811</c:v>
                </c:pt>
              </c:numCache>
            </c:numRef>
          </c:val>
        </c:ser>
        <c:ser>
          <c:idx val="2"/>
          <c:order val="2"/>
          <c:tx>
            <c:strRef>
              <c:f>'PENS (Universal)'!$A$156</c:f>
              <c:strCache>
                <c:ptCount val="1"/>
                <c:pt idx="0">
                  <c:v>People with higher pension amount 80+</c:v>
                </c:pt>
              </c:strCache>
            </c:strRef>
          </c:tx>
          <c:cat>
            <c:numRef>
              <c:f>'PENS (Universal)'!$B$153:$L$153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'PENS (Universal)'!$B$156:$L$156</c:f>
              <c:numCache>
                <c:formatCode>0.0</c:formatCode>
                <c:ptCount val="11"/>
                <c:pt idx="0">
                  <c:v>0</c:v>
                </c:pt>
                <c:pt idx="1">
                  <c:v>8.091160275847481E-2</c:v>
                </c:pt>
                <c:pt idx="2">
                  <c:v>0.15626441015654083</c:v>
                </c:pt>
                <c:pt idx="3">
                  <c:v>0.15035240464165514</c:v>
                </c:pt>
                <c:pt idx="4">
                  <c:v>0.14324869473266688</c:v>
                </c:pt>
                <c:pt idx="5">
                  <c:v>0.13583225323970249</c:v>
                </c:pt>
                <c:pt idx="6">
                  <c:v>0.12826789604359232</c:v>
                </c:pt>
                <c:pt idx="7">
                  <c:v>0.12032933354338654</c:v>
                </c:pt>
                <c:pt idx="8">
                  <c:v>0.11270074299041621</c:v>
                </c:pt>
                <c:pt idx="9">
                  <c:v>0.10536135922014052</c:v>
                </c:pt>
                <c:pt idx="10">
                  <c:v>9.8510349176914772E-2</c:v>
                </c:pt>
              </c:numCache>
            </c:numRef>
          </c:val>
        </c:ser>
        <c:overlap val="100"/>
        <c:axId val="138344704"/>
        <c:axId val="138694656"/>
      </c:barChart>
      <c:catAx>
        <c:axId val="138344704"/>
        <c:scaling>
          <c:orientation val="minMax"/>
        </c:scaling>
        <c:axPos val="b"/>
        <c:numFmt formatCode="0" sourceLinked="1"/>
        <c:tickLblPos val="nextTo"/>
        <c:txPr>
          <a:bodyPr rot="-5400000" vert="horz"/>
          <a:lstStyle/>
          <a:p>
            <a:pPr>
              <a:defRPr lang="en-GB"/>
            </a:pPr>
            <a:endParaRPr lang="en-US"/>
          </a:p>
        </c:txPr>
        <c:crossAx val="138694656"/>
        <c:crosses val="autoZero"/>
        <c:auto val="1"/>
        <c:lblAlgn val="ctr"/>
        <c:lblOffset val="100"/>
      </c:catAx>
      <c:valAx>
        <c:axId val="138694656"/>
        <c:scaling>
          <c:orientation val="minMax"/>
        </c:scaling>
        <c:axPos val="l"/>
        <c:majorGridlines/>
        <c:title>
          <c:tx>
            <c:rich>
              <a:bodyPr/>
              <a:lstStyle/>
              <a:p>
                <a:pPr>
                  <a:defRPr lang="en-GB" sz="900" b="0" i="0" u="none" strike="noStrike" baseline="0">
                    <a:solidFill>
                      <a:srgbClr val="000000"/>
                    </a:solidFill>
                    <a:latin typeface="Calibri"/>
                    <a:ea typeface="Calibri"/>
                    <a:cs typeface="Calibri"/>
                  </a:defRPr>
                </a:pPr>
                <a:r>
                  <a:rPr lang="en-GB"/>
                  <a:t>Total child benefit cost as percentage of General government expenditure</a:t>
                </a:r>
              </a:p>
            </c:rich>
          </c:tx>
          <c:layout>
            <c:manualLayout>
              <c:xMode val="edge"/>
              <c:yMode val="edge"/>
              <c:x val="1.591276896839508E-2"/>
              <c:y val="0.16686902479159021"/>
            </c:manualLayout>
          </c:layout>
          <c:spPr>
            <a:noFill/>
            <a:ln w="25400">
              <a:noFill/>
            </a:ln>
          </c:spPr>
        </c:title>
        <c:numFmt formatCode="0.0" sourceLinked="0"/>
        <c:tickLblPos val="nextTo"/>
        <c:txPr>
          <a:bodyPr/>
          <a:lstStyle/>
          <a:p>
            <a:pPr>
              <a:defRPr lang="en-GB"/>
            </a:pPr>
            <a:endParaRPr lang="en-US"/>
          </a:p>
        </c:txPr>
        <c:crossAx val="138344704"/>
        <c:crosses val="autoZero"/>
        <c:crossBetween val="between"/>
      </c:valAx>
      <c:spPr>
        <a:noFill/>
        <a:ln w="25400">
          <a:noFill/>
        </a:ln>
      </c:spPr>
    </c:plotArea>
    <c:legend>
      <c:legendPos val="r"/>
      <c:layout>
        <c:manualLayout>
          <c:xMode val="edge"/>
          <c:yMode val="edge"/>
          <c:x val="0.73328319154014876"/>
          <c:y val="0.30749354005167956"/>
          <c:w val="0.25595734044325924"/>
          <c:h val="0.3410852713178319"/>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35" footer="0.492125984500003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1200" b="1" i="0" u="none" strike="noStrike" baseline="0">
                <a:solidFill>
                  <a:srgbClr val="000000"/>
                </a:solidFill>
                <a:latin typeface="Calibri"/>
                <a:ea typeface="Calibri"/>
                <a:cs typeface="Calibri"/>
              </a:defRPr>
            </a:pPr>
            <a:r>
              <a:rPr lang="en-GB"/>
              <a:t>Universal old age pension for elderly not covered by the contributory pension | </a:t>
            </a:r>
            <a:r>
              <a:rPr lang="en-GB" sz="1200" b="1" i="0" u="none" strike="noStrike" baseline="0"/>
              <a:t> progressive  reduction of eligible age to reach 65+ in 2020 </a:t>
            </a:r>
            <a:r>
              <a:rPr lang="en-GB"/>
              <a:t> as a percentage of GDP| Level of benefit = 75 percent of the poverty line</a:t>
            </a:r>
          </a:p>
        </c:rich>
      </c:tx>
      <c:overlay val="1"/>
      <c:spPr>
        <a:noFill/>
        <a:ln w="25400">
          <a:noFill/>
        </a:ln>
      </c:spPr>
    </c:title>
    <c:plotArea>
      <c:layout>
        <c:manualLayout>
          <c:layoutTarget val="inner"/>
          <c:xMode val="edge"/>
          <c:yMode val="edge"/>
          <c:x val="0.13333351048776373"/>
          <c:y val="0.18487445529820798"/>
          <c:w val="0.6299328097534147"/>
          <c:h val="0.69467977142357773"/>
        </c:manualLayout>
      </c:layout>
      <c:barChart>
        <c:barDir val="col"/>
        <c:grouping val="stacked"/>
        <c:ser>
          <c:idx val="0"/>
          <c:order val="0"/>
          <c:tx>
            <c:strRef>
              <c:f>'PENS (Universal)'!$A$323</c:f>
              <c:strCache>
                <c:ptCount val="1"/>
                <c:pt idx="0">
                  <c:v>New pensionners eligible age -79</c:v>
                </c:pt>
              </c:strCache>
            </c:strRef>
          </c:tx>
          <c:cat>
            <c:multiLvlStrRef>
              <c:f>'PENS (Universal)'!$B$322:$L$322</c:f>
            </c:multiLvlStrRef>
          </c:cat>
          <c:val>
            <c:numRef>
              <c:f>'PENS (Universal)'!$B$323:$L$323</c:f>
            </c:numRef>
          </c:val>
        </c:ser>
        <c:ser>
          <c:idx val="1"/>
          <c:order val="1"/>
          <c:tx>
            <c:strRef>
              <c:f>'PENS (Universal)'!$A$324</c:f>
              <c:strCache>
                <c:ptCount val="1"/>
                <c:pt idx="0">
                  <c:v>New pensionners 80+</c:v>
                </c:pt>
              </c:strCache>
            </c:strRef>
          </c:tx>
          <c:cat>
            <c:multiLvlStrRef>
              <c:f>'PENS (Universal)'!$B$322:$L$322</c:f>
            </c:multiLvlStrRef>
          </c:cat>
          <c:val>
            <c:numRef>
              <c:f>'PENS (Universal)'!$B$324:$L$324</c:f>
            </c:numRef>
          </c:val>
        </c:ser>
        <c:ser>
          <c:idx val="2"/>
          <c:order val="2"/>
          <c:tx>
            <c:strRef>
              <c:f>'PENS (Universal)'!$A$325</c:f>
              <c:strCache>
                <c:ptCount val="1"/>
                <c:pt idx="0">
                  <c:v>People with higher pension amount 80+</c:v>
                </c:pt>
              </c:strCache>
            </c:strRef>
          </c:tx>
          <c:cat>
            <c:multiLvlStrRef>
              <c:f>'PENS (Universal)'!$B$322:$L$322</c:f>
            </c:multiLvlStrRef>
          </c:cat>
          <c:val>
            <c:numRef>
              <c:f>'PENS (Universal)'!$B$325:$L$325</c:f>
            </c:numRef>
          </c:val>
        </c:ser>
        <c:overlap val="100"/>
        <c:axId val="138720768"/>
        <c:axId val="138722304"/>
      </c:barChart>
      <c:catAx>
        <c:axId val="138720768"/>
        <c:scaling>
          <c:orientation val="minMax"/>
        </c:scaling>
        <c:axPos val="b"/>
        <c:numFmt formatCode="0" sourceLinked="1"/>
        <c:tickLblPos val="nextTo"/>
        <c:txPr>
          <a:bodyPr rot="-5400000" vert="horz"/>
          <a:lstStyle/>
          <a:p>
            <a:pPr>
              <a:defRPr lang="en-GB"/>
            </a:pPr>
            <a:endParaRPr lang="en-US"/>
          </a:p>
        </c:txPr>
        <c:crossAx val="138722304"/>
        <c:crosses val="autoZero"/>
        <c:auto val="1"/>
        <c:lblAlgn val="ctr"/>
        <c:lblOffset val="100"/>
      </c:catAx>
      <c:valAx>
        <c:axId val="138722304"/>
        <c:scaling>
          <c:orientation val="minMax"/>
        </c:scaling>
        <c:axPos val="l"/>
        <c:majorGridlines/>
        <c:title>
          <c:tx>
            <c:rich>
              <a:bodyPr rot="-5400000" vert="horz"/>
              <a:lstStyle/>
              <a:p>
                <a:pPr>
                  <a:defRPr lang="en-GB"/>
                </a:pPr>
                <a:r>
                  <a:rPr lang="en-US" sz="900" b="0"/>
                  <a:t>Total child benefit cost as percentage of GDP</a:t>
                </a:r>
              </a:p>
            </c:rich>
          </c:tx>
          <c:layout>
            <c:manualLayout>
              <c:xMode val="edge"/>
              <c:yMode val="edge"/>
              <c:x val="1.5912582355776961E-2"/>
              <c:y val="8.8437474727423776E-2"/>
            </c:manualLayout>
          </c:layout>
          <c:spPr>
            <a:noFill/>
            <a:ln w="25400">
              <a:noFill/>
            </a:ln>
          </c:spPr>
        </c:title>
        <c:numFmt formatCode="0.0" sourceLinked="0"/>
        <c:tickLblPos val="nextTo"/>
        <c:txPr>
          <a:bodyPr/>
          <a:lstStyle/>
          <a:p>
            <a:pPr>
              <a:defRPr lang="en-GB"/>
            </a:pPr>
            <a:endParaRPr lang="en-US"/>
          </a:p>
        </c:txPr>
        <c:crossAx val="138720768"/>
        <c:crosses val="autoZero"/>
        <c:crossBetween val="between"/>
      </c:valAx>
      <c:spPr>
        <a:noFill/>
        <a:ln w="25400">
          <a:noFill/>
        </a:ln>
      </c:spPr>
    </c:plotArea>
    <c:legend>
      <c:legendPos val="r"/>
      <c:layout>
        <c:manualLayout>
          <c:xMode val="edge"/>
          <c:yMode val="edge"/>
          <c:x val="0.76864053377815333"/>
          <c:y val="0.32152901023890906"/>
          <c:w val="0.19927717542396442"/>
          <c:h val="0.50326279863481227"/>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72" footer="0.4921259845000017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1200" b="1" i="0" u="none" strike="noStrike" baseline="0">
                <a:solidFill>
                  <a:srgbClr val="000000"/>
                </a:solidFill>
                <a:latin typeface="Calibri"/>
                <a:ea typeface="Calibri"/>
                <a:cs typeface="Calibri"/>
              </a:defRPr>
            </a:pPr>
            <a:r>
              <a:rPr lang="en-GB"/>
              <a:t>Universal old age pension for elderly not covered by the contributory pension | 65+ as a percentage of general government expenditure| Level of benefit = 75 percent of the poverty line</a:t>
            </a:r>
          </a:p>
        </c:rich>
      </c:tx>
      <c:overlay val="1"/>
      <c:spPr>
        <a:noFill/>
        <a:ln w="25400">
          <a:noFill/>
        </a:ln>
      </c:spPr>
    </c:title>
    <c:plotArea>
      <c:layout>
        <c:manualLayout>
          <c:layoutTarget val="inner"/>
          <c:xMode val="edge"/>
          <c:yMode val="edge"/>
          <c:x val="0.13261163734776726"/>
          <c:y val="0.19780258374942244"/>
          <c:w val="0.63058186738836264"/>
          <c:h val="0.67132998121015963"/>
        </c:manualLayout>
      </c:layout>
      <c:barChart>
        <c:barDir val="col"/>
        <c:grouping val="stacked"/>
        <c:ser>
          <c:idx val="0"/>
          <c:order val="0"/>
          <c:tx>
            <c:strRef>
              <c:f>'PENS (Universal)'!$A$329</c:f>
              <c:strCache>
                <c:ptCount val="1"/>
                <c:pt idx="0">
                  <c:v>New pensionners eligible age -79</c:v>
                </c:pt>
              </c:strCache>
            </c:strRef>
          </c:tx>
          <c:cat>
            <c:multiLvlStrRef>
              <c:f>'PENS (Universal)'!$B$328:$L$328</c:f>
            </c:multiLvlStrRef>
          </c:cat>
          <c:val>
            <c:numRef>
              <c:f>'PENS (Universal)'!$B$329:$L$329</c:f>
            </c:numRef>
          </c:val>
        </c:ser>
        <c:ser>
          <c:idx val="1"/>
          <c:order val="1"/>
          <c:tx>
            <c:strRef>
              <c:f>'PENS (Universal)'!$A$330</c:f>
              <c:strCache>
                <c:ptCount val="1"/>
                <c:pt idx="0">
                  <c:v>New pensionners 80+</c:v>
                </c:pt>
              </c:strCache>
            </c:strRef>
          </c:tx>
          <c:cat>
            <c:multiLvlStrRef>
              <c:f>'PENS (Universal)'!$B$328:$L$328</c:f>
            </c:multiLvlStrRef>
          </c:cat>
          <c:val>
            <c:numRef>
              <c:f>'PENS (Universal)'!$B$330:$L$330</c:f>
            </c:numRef>
          </c:val>
        </c:ser>
        <c:ser>
          <c:idx val="2"/>
          <c:order val="2"/>
          <c:tx>
            <c:strRef>
              <c:f>'PENS (Universal)'!$A$331</c:f>
              <c:strCache>
                <c:ptCount val="1"/>
                <c:pt idx="0">
                  <c:v>People with higher pension amount 80+</c:v>
                </c:pt>
              </c:strCache>
            </c:strRef>
          </c:tx>
          <c:cat>
            <c:multiLvlStrRef>
              <c:f>'PENS (Universal)'!$B$328:$L$328</c:f>
            </c:multiLvlStrRef>
          </c:cat>
          <c:val>
            <c:numRef>
              <c:f>'PENS (Universal)'!$B$331:$L$331</c:f>
            </c:numRef>
          </c:val>
        </c:ser>
        <c:overlap val="100"/>
        <c:axId val="132682880"/>
        <c:axId val="132684416"/>
      </c:barChart>
      <c:catAx>
        <c:axId val="132682880"/>
        <c:scaling>
          <c:orientation val="minMax"/>
        </c:scaling>
        <c:axPos val="b"/>
        <c:numFmt formatCode="0" sourceLinked="1"/>
        <c:tickLblPos val="nextTo"/>
        <c:txPr>
          <a:bodyPr rot="-5400000" vert="horz"/>
          <a:lstStyle/>
          <a:p>
            <a:pPr>
              <a:defRPr lang="en-GB"/>
            </a:pPr>
            <a:endParaRPr lang="en-US"/>
          </a:p>
        </c:txPr>
        <c:crossAx val="132684416"/>
        <c:crosses val="autoZero"/>
        <c:auto val="1"/>
        <c:lblAlgn val="ctr"/>
        <c:lblOffset val="100"/>
      </c:catAx>
      <c:valAx>
        <c:axId val="132684416"/>
        <c:scaling>
          <c:orientation val="minMax"/>
        </c:scaling>
        <c:axPos val="l"/>
        <c:majorGridlines/>
        <c:title>
          <c:tx>
            <c:rich>
              <a:bodyPr/>
              <a:lstStyle/>
              <a:p>
                <a:pPr>
                  <a:defRPr lang="en-GB" sz="900" b="0" i="0" u="none" strike="noStrike" baseline="0">
                    <a:solidFill>
                      <a:srgbClr val="000000"/>
                    </a:solidFill>
                    <a:latin typeface="Calibri"/>
                    <a:ea typeface="Calibri"/>
                    <a:cs typeface="Calibri"/>
                  </a:defRPr>
                </a:pPr>
                <a:r>
                  <a:rPr lang="en-GB"/>
                  <a:t>Total child benefit cost as percentage General government expenditure</a:t>
                </a:r>
              </a:p>
            </c:rich>
          </c:tx>
          <c:layout>
            <c:manualLayout>
              <c:xMode val="edge"/>
              <c:yMode val="edge"/>
              <c:x val="1.5912501426452202E-2"/>
              <c:y val="8.8437413791744524E-2"/>
            </c:manualLayout>
          </c:layout>
          <c:spPr>
            <a:noFill/>
            <a:ln w="25400">
              <a:noFill/>
            </a:ln>
          </c:spPr>
        </c:title>
        <c:numFmt formatCode="0.0" sourceLinked="0"/>
        <c:tickLblPos val="nextTo"/>
        <c:txPr>
          <a:bodyPr/>
          <a:lstStyle/>
          <a:p>
            <a:pPr>
              <a:defRPr lang="en-GB"/>
            </a:pPr>
            <a:endParaRPr lang="en-US"/>
          </a:p>
        </c:txPr>
        <c:crossAx val="132682880"/>
        <c:crosses val="autoZero"/>
        <c:crossBetween val="between"/>
      </c:valAx>
      <c:spPr>
        <a:noFill/>
        <a:ln w="25400">
          <a:noFill/>
        </a:ln>
      </c:spPr>
    </c:plotArea>
    <c:legend>
      <c:legendPos val="r"/>
      <c:layout>
        <c:manualLayout>
          <c:xMode val="edge"/>
          <c:yMode val="edge"/>
          <c:x val="0.76995940460081691"/>
          <c:y val="0.30269789331350938"/>
          <c:w val="0.19891745602165153"/>
          <c:h val="0.53946159204388056"/>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172" footer="0.4921259845000017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1200" b="1" i="0" u="none" strike="noStrike" baseline="0">
                <a:solidFill>
                  <a:srgbClr val="000000"/>
                </a:solidFill>
                <a:latin typeface="Calibri"/>
                <a:ea typeface="Calibri"/>
                <a:cs typeface="Calibri"/>
              </a:defRPr>
            </a:pPr>
            <a:r>
              <a:rPr lang="en-GB"/>
              <a:t>Universal old age pension for ALL elderly  | </a:t>
            </a:r>
            <a:r>
              <a:rPr lang="en-GB" sz="1200" b="1" i="0" u="none" strike="noStrike" baseline="0"/>
              <a:t> progressive  reduction of eligible age to reach 65+ in 2020 </a:t>
            </a:r>
            <a:r>
              <a:rPr lang="en-GB"/>
              <a:t> as a percentage of GDP| 
Level of benefit = 75 percent of the poverty line for new pensioners and 30 percent for pensionners of the contributory sch</a:t>
            </a:r>
          </a:p>
        </c:rich>
      </c:tx>
      <c:overlay val="1"/>
      <c:spPr>
        <a:noFill/>
        <a:ln w="25400">
          <a:noFill/>
        </a:ln>
      </c:spPr>
    </c:title>
    <c:plotArea>
      <c:layout>
        <c:manualLayout>
          <c:layoutTarget val="inner"/>
          <c:xMode val="edge"/>
          <c:yMode val="edge"/>
          <c:x val="0.1342070773263434"/>
          <c:y val="0.24603959044368601"/>
          <c:w val="0.62901094827700332"/>
          <c:h val="0.63187440273038165"/>
        </c:manualLayout>
      </c:layout>
      <c:barChart>
        <c:barDir val="col"/>
        <c:grouping val="stacked"/>
        <c:ser>
          <c:idx val="0"/>
          <c:order val="0"/>
          <c:tx>
            <c:strRef>
              <c:f>'PENS (Universal)'!$A$402</c:f>
              <c:strCache>
                <c:ptCount val="1"/>
                <c:pt idx="0">
                  <c:v>New pensionners 65-79</c:v>
                </c:pt>
              </c:strCache>
            </c:strRef>
          </c:tx>
          <c:cat>
            <c:multiLvlStrRef>
              <c:f>'PENS (Universal)'!$B$401:$L$401</c:f>
            </c:multiLvlStrRef>
          </c:cat>
          <c:val>
            <c:numRef>
              <c:f>'PENS (Universal)'!$B$402:$L$402</c:f>
            </c:numRef>
          </c:val>
        </c:ser>
        <c:ser>
          <c:idx val="1"/>
          <c:order val="1"/>
          <c:tx>
            <c:strRef>
              <c:f>'PENS (Universal)'!$A$403</c:f>
              <c:strCache>
                <c:ptCount val="1"/>
                <c:pt idx="0">
                  <c:v>New pensionners 80+</c:v>
                </c:pt>
              </c:strCache>
            </c:strRef>
          </c:tx>
          <c:cat>
            <c:multiLvlStrRef>
              <c:f>'PENS (Universal)'!$B$401:$L$401</c:f>
            </c:multiLvlStrRef>
          </c:cat>
          <c:val>
            <c:numRef>
              <c:f>'PENS (Universal)'!$B$403:$L$403</c:f>
            </c:numRef>
          </c:val>
        </c:ser>
        <c:ser>
          <c:idx val="2"/>
          <c:order val="2"/>
          <c:tx>
            <c:strRef>
              <c:f>'PENS (Universal)'!$A$404</c:f>
              <c:strCache>
                <c:ptCount val="1"/>
                <c:pt idx="0">
                  <c:v>People with higher pension amount 80+</c:v>
                </c:pt>
              </c:strCache>
            </c:strRef>
          </c:tx>
          <c:cat>
            <c:multiLvlStrRef>
              <c:f>'PENS (Universal)'!$B$401:$L$401</c:f>
            </c:multiLvlStrRef>
          </c:cat>
          <c:val>
            <c:numRef>
              <c:f>'PENS (Universal)'!$B$404:$L$404</c:f>
            </c:numRef>
          </c:val>
        </c:ser>
        <c:ser>
          <c:idx val="3"/>
          <c:order val="3"/>
          <c:tx>
            <c:strRef>
              <c:f>'PENS (Universal)'!$A$405</c:f>
              <c:strCache>
                <c:ptCount val="1"/>
                <c:pt idx="0">
                  <c:v>Pensioners contributory scheme (65+)</c:v>
                </c:pt>
              </c:strCache>
            </c:strRef>
          </c:tx>
          <c:spPr>
            <a:solidFill>
              <a:srgbClr val="FF9900"/>
            </a:solidFill>
            <a:ln w="25400">
              <a:noFill/>
            </a:ln>
          </c:spPr>
          <c:cat>
            <c:multiLvlStrRef>
              <c:f>'PENS (Universal)'!$B$401:$L$401</c:f>
            </c:multiLvlStrRef>
          </c:cat>
          <c:val>
            <c:numRef>
              <c:f>'PENS (Universal)'!$B$405:$L$405</c:f>
            </c:numRef>
          </c:val>
        </c:ser>
        <c:overlap val="100"/>
        <c:axId val="138827264"/>
        <c:axId val="138828800"/>
      </c:barChart>
      <c:catAx>
        <c:axId val="138827264"/>
        <c:scaling>
          <c:orientation val="minMax"/>
        </c:scaling>
        <c:axPos val="b"/>
        <c:numFmt formatCode="0" sourceLinked="1"/>
        <c:tickLblPos val="nextTo"/>
        <c:txPr>
          <a:bodyPr rot="-5400000" vert="horz"/>
          <a:lstStyle/>
          <a:p>
            <a:pPr>
              <a:defRPr lang="en-GB"/>
            </a:pPr>
            <a:endParaRPr lang="en-US"/>
          </a:p>
        </c:txPr>
        <c:crossAx val="138828800"/>
        <c:crosses val="autoZero"/>
        <c:auto val="1"/>
        <c:lblAlgn val="ctr"/>
        <c:lblOffset val="100"/>
      </c:catAx>
      <c:valAx>
        <c:axId val="138828800"/>
        <c:scaling>
          <c:orientation val="minMax"/>
        </c:scaling>
        <c:axPos val="l"/>
        <c:majorGridlines/>
        <c:title>
          <c:tx>
            <c:rich>
              <a:bodyPr rot="-5400000" vert="horz"/>
              <a:lstStyle/>
              <a:p>
                <a:pPr>
                  <a:defRPr lang="en-GB"/>
                </a:pPr>
                <a:r>
                  <a:rPr lang="en-US" sz="900" b="0"/>
                  <a:t>Total child benefit cost as percentage of GDP</a:t>
                </a:r>
              </a:p>
            </c:rich>
          </c:tx>
          <c:layout>
            <c:manualLayout>
              <c:xMode val="edge"/>
              <c:yMode val="edge"/>
              <c:x val="1.5912582355776961E-2"/>
              <c:y val="8.8437474727423776E-2"/>
            </c:manualLayout>
          </c:layout>
          <c:spPr>
            <a:noFill/>
            <a:ln w="25400">
              <a:noFill/>
            </a:ln>
          </c:spPr>
        </c:title>
        <c:numFmt formatCode="0.0" sourceLinked="0"/>
        <c:tickLblPos val="nextTo"/>
        <c:txPr>
          <a:bodyPr/>
          <a:lstStyle/>
          <a:p>
            <a:pPr>
              <a:defRPr lang="en-GB"/>
            </a:pPr>
            <a:endParaRPr lang="en-US"/>
          </a:p>
        </c:txPr>
        <c:crossAx val="138827264"/>
        <c:crosses val="autoZero"/>
        <c:crossBetween val="between"/>
      </c:valAx>
      <c:spPr>
        <a:noFill/>
        <a:ln w="25400">
          <a:noFill/>
        </a:ln>
      </c:spPr>
    </c:plotArea>
    <c:legend>
      <c:legendPos val="r"/>
      <c:layout>
        <c:manualLayout>
          <c:xMode val="edge"/>
          <c:yMode val="edge"/>
          <c:x val="0.76592927969075153"/>
          <c:y val="0.32152901023890906"/>
          <c:w val="0.19927717542396442"/>
          <c:h val="0.50326279863481227"/>
        </c:manualLayout>
      </c:layout>
      <c:txPr>
        <a:bodyPr/>
        <a:lstStyle/>
        <a:p>
          <a:pPr>
            <a:defRPr lang="en-GB"/>
          </a:pPr>
          <a:endParaRPr lang="en-US"/>
        </a:p>
      </c:txPr>
    </c:legend>
    <c:plotVisOnly val="1"/>
    <c:dispBlanksAs val="gap"/>
  </c:chart>
  <c:printSettings>
    <c:headerFooter alignWithMargins="0"/>
    <c:pageMargins b="0.98425196899999956" l="0.78740157499999996" r="0.78740157499999996" t="0.98425196899999956" header="0.49212598450000172" footer="0.4921259845000017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lang="en-GB" sz="1200" b="1" i="0" u="none" strike="noStrike" baseline="0">
                <a:solidFill>
                  <a:srgbClr val="000000"/>
                </a:solidFill>
                <a:latin typeface="Calibri"/>
                <a:ea typeface="Calibri"/>
                <a:cs typeface="Calibri"/>
              </a:defRPr>
            </a:pPr>
            <a:r>
              <a:rPr lang="en-GB"/>
              <a:t>Universal old age pension for ALL elderly |  progressive</a:t>
            </a:r>
            <a:r>
              <a:rPr lang="en-GB" baseline="0"/>
              <a:t>  reduction of eligible age to reach </a:t>
            </a:r>
            <a:r>
              <a:rPr lang="en-GB"/>
              <a:t>65+ in 2020</a:t>
            </a:r>
            <a:r>
              <a:rPr lang="en-GB" baseline="0"/>
              <a:t> </a:t>
            </a:r>
            <a:r>
              <a:rPr lang="en-GB"/>
              <a:t>as a percentage of general government expenditure| Level of benefit = 75 percent of the poverty line for new pensioners and 30 percent for pensionners</a:t>
            </a:r>
          </a:p>
        </c:rich>
      </c:tx>
      <c:overlay val="1"/>
      <c:spPr>
        <a:noFill/>
        <a:ln w="25400">
          <a:noFill/>
        </a:ln>
      </c:spPr>
    </c:title>
    <c:plotArea>
      <c:layout>
        <c:manualLayout>
          <c:layoutTarget val="inner"/>
          <c:xMode val="edge"/>
          <c:yMode val="edge"/>
          <c:x val="0.13261163734776726"/>
          <c:y val="0.22949350067234514"/>
          <c:w val="0.63058186738836264"/>
          <c:h val="0.64977075491567793"/>
        </c:manualLayout>
      </c:layout>
      <c:barChart>
        <c:barDir val="col"/>
        <c:grouping val="stacked"/>
        <c:ser>
          <c:idx val="0"/>
          <c:order val="0"/>
          <c:tx>
            <c:strRef>
              <c:f>'PENS (Universal)'!$A$409</c:f>
              <c:strCache>
                <c:ptCount val="1"/>
                <c:pt idx="0">
                  <c:v>New pensionners 65-79</c:v>
                </c:pt>
              </c:strCache>
            </c:strRef>
          </c:tx>
          <c:cat>
            <c:multiLvlStrRef>
              <c:f>'PENS (Universal)'!$B$408:$L$408</c:f>
            </c:multiLvlStrRef>
          </c:cat>
          <c:val>
            <c:numRef>
              <c:f>'PENS (Universal)'!$B$409:$L$409</c:f>
            </c:numRef>
          </c:val>
        </c:ser>
        <c:ser>
          <c:idx val="1"/>
          <c:order val="1"/>
          <c:tx>
            <c:strRef>
              <c:f>'PENS (Universal)'!$A$410</c:f>
              <c:strCache>
                <c:ptCount val="1"/>
                <c:pt idx="0">
                  <c:v>New pensionners 80+</c:v>
                </c:pt>
              </c:strCache>
            </c:strRef>
          </c:tx>
          <c:cat>
            <c:multiLvlStrRef>
              <c:f>'PENS (Universal)'!$B$408:$L$408</c:f>
            </c:multiLvlStrRef>
          </c:cat>
          <c:val>
            <c:numRef>
              <c:f>'PENS (Universal)'!$B$410:$L$410</c:f>
            </c:numRef>
          </c:val>
        </c:ser>
        <c:ser>
          <c:idx val="2"/>
          <c:order val="2"/>
          <c:tx>
            <c:strRef>
              <c:f>'PENS (Universal)'!$A$411</c:f>
              <c:strCache>
                <c:ptCount val="1"/>
                <c:pt idx="0">
                  <c:v>People with higher pension amount 80+</c:v>
                </c:pt>
              </c:strCache>
            </c:strRef>
          </c:tx>
          <c:cat>
            <c:multiLvlStrRef>
              <c:f>'PENS (Universal)'!$B$408:$L$408</c:f>
            </c:multiLvlStrRef>
          </c:cat>
          <c:val>
            <c:numRef>
              <c:f>'PENS (Universal)'!$B$411:$L$411</c:f>
            </c:numRef>
          </c:val>
        </c:ser>
        <c:ser>
          <c:idx val="3"/>
          <c:order val="3"/>
          <c:tx>
            <c:strRef>
              <c:f>'PENS (Universal)'!$A$412</c:f>
              <c:strCache>
                <c:ptCount val="1"/>
                <c:pt idx="0">
                  <c:v>Pensioners contributory scheme (65+)</c:v>
                </c:pt>
              </c:strCache>
            </c:strRef>
          </c:tx>
          <c:spPr>
            <a:solidFill>
              <a:srgbClr val="FF9900"/>
            </a:solidFill>
            <a:ln w="25400">
              <a:noFill/>
            </a:ln>
          </c:spPr>
          <c:cat>
            <c:multiLvlStrRef>
              <c:f>'PENS (Universal)'!$B$408:$L$408</c:f>
            </c:multiLvlStrRef>
          </c:cat>
          <c:val>
            <c:numRef>
              <c:f>'PENS (Universal)'!$B$412:$L$412</c:f>
            </c:numRef>
          </c:val>
        </c:ser>
        <c:overlap val="100"/>
        <c:axId val="138860032"/>
        <c:axId val="138861568"/>
      </c:barChart>
      <c:catAx>
        <c:axId val="138860032"/>
        <c:scaling>
          <c:orientation val="minMax"/>
        </c:scaling>
        <c:axPos val="b"/>
        <c:numFmt formatCode="0" sourceLinked="1"/>
        <c:tickLblPos val="nextTo"/>
        <c:txPr>
          <a:bodyPr rot="-5400000" vert="horz"/>
          <a:lstStyle/>
          <a:p>
            <a:pPr>
              <a:defRPr lang="en-GB"/>
            </a:pPr>
            <a:endParaRPr lang="en-US"/>
          </a:p>
        </c:txPr>
        <c:crossAx val="138861568"/>
        <c:crosses val="autoZero"/>
        <c:auto val="1"/>
        <c:lblAlgn val="ctr"/>
        <c:lblOffset val="100"/>
      </c:catAx>
      <c:valAx>
        <c:axId val="138861568"/>
        <c:scaling>
          <c:orientation val="minMax"/>
        </c:scaling>
        <c:axPos val="l"/>
        <c:majorGridlines/>
        <c:title>
          <c:tx>
            <c:rich>
              <a:bodyPr/>
              <a:lstStyle/>
              <a:p>
                <a:pPr>
                  <a:defRPr lang="en-GB" sz="900" b="0" i="0" u="none" strike="noStrike" baseline="0">
                    <a:solidFill>
                      <a:srgbClr val="000000"/>
                    </a:solidFill>
                    <a:latin typeface="Calibri"/>
                    <a:ea typeface="Calibri"/>
                    <a:cs typeface="Calibri"/>
                  </a:defRPr>
                </a:pPr>
                <a:r>
                  <a:rPr lang="en-GB"/>
                  <a:t>Total child benefit cost as percentage General government expenditure</a:t>
                </a:r>
              </a:p>
            </c:rich>
          </c:tx>
          <c:layout>
            <c:manualLayout>
              <c:xMode val="edge"/>
              <c:yMode val="edge"/>
              <c:x val="1.5912501426452202E-2"/>
              <c:y val="8.8437338684465225E-2"/>
            </c:manualLayout>
          </c:layout>
          <c:spPr>
            <a:noFill/>
            <a:ln w="25400">
              <a:noFill/>
            </a:ln>
          </c:spPr>
        </c:title>
        <c:numFmt formatCode="0.0" sourceLinked="0"/>
        <c:tickLblPos val="nextTo"/>
        <c:txPr>
          <a:bodyPr/>
          <a:lstStyle/>
          <a:p>
            <a:pPr>
              <a:defRPr lang="en-GB"/>
            </a:pPr>
            <a:endParaRPr lang="en-US"/>
          </a:p>
        </c:txPr>
        <c:crossAx val="138860032"/>
        <c:crosses val="autoZero"/>
        <c:crossBetween val="between"/>
      </c:valAx>
      <c:spPr>
        <a:noFill/>
        <a:ln w="25400">
          <a:noFill/>
        </a:ln>
      </c:spPr>
    </c:plotArea>
    <c:legend>
      <c:legendPos val="r"/>
      <c:layout>
        <c:manualLayout>
          <c:xMode val="edge"/>
          <c:yMode val="edge"/>
          <c:x val="0.76995940460081691"/>
          <c:y val="0.32350288648993275"/>
          <c:w val="0.19891745602165153"/>
          <c:h val="0.49769674844604778"/>
        </c:manualLayout>
      </c:layout>
      <c:txPr>
        <a:bodyPr/>
        <a:lstStyle/>
        <a:p>
          <a:pPr>
            <a:defRPr lang="en-GB"/>
          </a:pPr>
          <a:endParaRPr lang="en-US"/>
        </a:p>
      </c:txPr>
    </c:legend>
    <c:plotVisOnly val="1"/>
    <c:dispBlanksAs val="gap"/>
  </c:chart>
  <c:printSettings>
    <c:headerFooter alignWithMargins="0"/>
    <c:pageMargins b="0.98425196899999956" l="0.78740157499999996" r="0.78740157499999996" t="0.98425196899999956" header="0.49212598450000172" footer="0.4921259845000017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200"/>
            </a:pPr>
            <a:r>
              <a:rPr lang="en-GB" sz="1200"/>
              <a:t>Total cost and components of the "holistic" benefit for the working age as a percentage of GDP</a:t>
            </a:r>
          </a:p>
        </c:rich>
      </c:tx>
      <c:overlay val="1"/>
      <c:spPr>
        <a:noFill/>
        <a:ln w="25400">
          <a:noFill/>
        </a:ln>
      </c:spPr>
    </c:title>
    <c:plotArea>
      <c:layout>
        <c:manualLayout>
          <c:layoutTarget val="inner"/>
          <c:xMode val="edge"/>
          <c:yMode val="edge"/>
          <c:x val="0.14696393064503588"/>
          <c:y val="0.20548795036984024"/>
          <c:w val="0.53318460192475936"/>
          <c:h val="0.56698126020960671"/>
        </c:manualLayout>
      </c:layout>
      <c:barChart>
        <c:barDir val="col"/>
        <c:grouping val="stacked"/>
        <c:ser>
          <c:idx val="0"/>
          <c:order val="0"/>
          <c:tx>
            <c:strRef>
              <c:f>'Working age (Holistic)'!$A$97</c:f>
              <c:strCache>
                <c:ptCount val="1"/>
                <c:pt idx="0">
                  <c:v>Wage (household basis)</c:v>
                </c:pt>
              </c:strCache>
            </c:strRef>
          </c:tx>
          <c:spPr>
            <a:solidFill>
              <a:srgbClr val="4F81BD"/>
            </a:solidFill>
          </c:spPr>
          <c:cat>
            <c:numRef>
              <c:f>'Working age (Holistic)'!$B$95:$L$95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(Holistic)'!$B$97:$L$97</c:f>
              <c:numCache>
                <c:formatCode>0.00</c:formatCode>
                <c:ptCount val="11"/>
                <c:pt idx="0">
                  <c:v>0</c:v>
                </c:pt>
                <c:pt idx="1">
                  <c:v>0.16405089152671035</c:v>
                </c:pt>
                <c:pt idx="2">
                  <c:v>0.36877732205811731</c:v>
                </c:pt>
                <c:pt idx="3">
                  <c:v>0.54071781527853502</c:v>
                </c:pt>
                <c:pt idx="4">
                  <c:v>0.70328618684271571</c:v>
                </c:pt>
                <c:pt idx="5">
                  <c:v>0.69482027420950876</c:v>
                </c:pt>
                <c:pt idx="6">
                  <c:v>0.69394789205169016</c:v>
                </c:pt>
                <c:pt idx="7">
                  <c:v>0.69436807779386067</c:v>
                </c:pt>
                <c:pt idx="8">
                  <c:v>0.69494302493401339</c:v>
                </c:pt>
                <c:pt idx="9">
                  <c:v>0.69618626085281965</c:v>
                </c:pt>
                <c:pt idx="10">
                  <c:v>0.69855740494820262</c:v>
                </c:pt>
              </c:numCache>
            </c:numRef>
          </c:val>
        </c:ser>
        <c:ser>
          <c:idx val="1"/>
          <c:order val="1"/>
          <c:tx>
            <c:strRef>
              <c:f>'Working age (Holistic)'!$A$98</c:f>
              <c:strCache>
                <c:ptCount val="1"/>
                <c:pt idx="0">
                  <c:v>Disability social assistance</c:v>
                </c:pt>
              </c:strCache>
            </c:strRef>
          </c:tx>
          <c:cat>
            <c:numRef>
              <c:f>'Working age (Holistic)'!$B$95:$L$95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(Holistic)'!$B$98:$L$98</c:f>
              <c:numCache>
                <c:formatCode>0.00</c:formatCode>
                <c:ptCount val="11"/>
                <c:pt idx="0">
                  <c:v>0</c:v>
                </c:pt>
                <c:pt idx="1">
                  <c:v>0.25530258243456921</c:v>
                </c:pt>
                <c:pt idx="2">
                  <c:v>0.48492684037534373</c:v>
                </c:pt>
                <c:pt idx="3">
                  <c:v>0.45569989790143745</c:v>
                </c:pt>
                <c:pt idx="4">
                  <c:v>0.42653814058442197</c:v>
                </c:pt>
                <c:pt idx="5">
                  <c:v>0.39972399853107643</c:v>
                </c:pt>
                <c:pt idx="6">
                  <c:v>0.37491374177458603</c:v>
                </c:pt>
                <c:pt idx="7">
                  <c:v>0.3519075469495524</c:v>
                </c:pt>
                <c:pt idx="8">
                  <c:v>0.32994632688050579</c:v>
                </c:pt>
                <c:pt idx="9">
                  <c:v>0.3087755904464482</c:v>
                </c:pt>
                <c:pt idx="10">
                  <c:v>0.28844321311718524</c:v>
                </c:pt>
              </c:numCache>
            </c:numRef>
          </c:val>
        </c:ser>
        <c:ser>
          <c:idx val="2"/>
          <c:order val="2"/>
          <c:tx>
            <c:strRef>
              <c:f>'Working age (Holistic)'!$A$99</c:f>
              <c:strCache>
                <c:ptCount val="1"/>
                <c:pt idx="0">
                  <c:v>Benefit in kind</c:v>
                </c:pt>
              </c:strCache>
            </c:strRef>
          </c:tx>
          <c:spPr>
            <a:solidFill>
              <a:schemeClr val="accent6"/>
            </a:solidFill>
          </c:spPr>
          <c:cat>
            <c:numRef>
              <c:f>'Working age (Holistic)'!$B$95:$L$95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(Holistic)'!$B$99:$L$99</c:f>
              <c:numCache>
                <c:formatCode>0.00</c:formatCode>
                <c:ptCount val="11"/>
                <c:pt idx="0">
                  <c:v>0</c:v>
                </c:pt>
                <c:pt idx="1">
                  <c:v>4.5535315405587284E-3</c:v>
                </c:pt>
                <c:pt idx="2">
                  <c:v>8.7686845212185741E-3</c:v>
                </c:pt>
                <c:pt idx="3">
                  <c:v>8.43569801177841E-3</c:v>
                </c:pt>
                <c:pt idx="4">
                  <c:v>8.1615129276133257E-3</c:v>
                </c:pt>
                <c:pt idx="5">
                  <c:v>7.9555307387896949E-3</c:v>
                </c:pt>
                <c:pt idx="6">
                  <c:v>7.815119330294629E-3</c:v>
                </c:pt>
                <c:pt idx="7">
                  <c:v>7.7199045045047276E-3</c:v>
                </c:pt>
                <c:pt idx="8">
                  <c:v>7.6558898682084131E-3</c:v>
                </c:pt>
                <c:pt idx="9">
                  <c:v>7.6209628558273927E-3</c:v>
                </c:pt>
                <c:pt idx="10">
                  <c:v>7.615798226439369E-3</c:v>
                </c:pt>
              </c:numCache>
            </c:numRef>
          </c:val>
        </c:ser>
        <c:overlap val="100"/>
        <c:axId val="138994432"/>
        <c:axId val="138995968"/>
      </c:barChart>
      <c:catAx>
        <c:axId val="138994432"/>
        <c:scaling>
          <c:orientation val="minMax"/>
        </c:scaling>
        <c:axPos val="b"/>
        <c:numFmt formatCode="0" sourceLinked="1"/>
        <c:tickLblPos val="nextTo"/>
        <c:txPr>
          <a:bodyPr rot="-5400000" vert="horz"/>
          <a:lstStyle/>
          <a:p>
            <a:pPr>
              <a:defRPr lang="en-GB"/>
            </a:pPr>
            <a:endParaRPr lang="en-US"/>
          </a:p>
        </c:txPr>
        <c:crossAx val="138995968"/>
        <c:crosses val="autoZero"/>
        <c:auto val="1"/>
        <c:lblAlgn val="ctr"/>
        <c:lblOffset val="100"/>
      </c:catAx>
      <c:valAx>
        <c:axId val="138995968"/>
        <c:scaling>
          <c:orientation val="minMax"/>
        </c:scaling>
        <c:axPos val="l"/>
        <c:majorGridlines/>
        <c:title>
          <c:tx>
            <c:rich>
              <a:bodyPr rot="-5400000" vert="horz"/>
              <a:lstStyle/>
              <a:p>
                <a:pPr>
                  <a:defRPr lang="en-GB"/>
                </a:pPr>
                <a:r>
                  <a:rPr lang="en-US"/>
                  <a:t>Total child benefit cost as percentage of GDP</a:t>
                </a:r>
              </a:p>
            </c:rich>
          </c:tx>
          <c:layout>
            <c:manualLayout>
              <c:xMode val="edge"/>
              <c:yMode val="edge"/>
              <c:x val="1.5912573708555571E-2"/>
              <c:y val="8.8437651175955936E-2"/>
            </c:manualLayout>
          </c:layout>
          <c:spPr>
            <a:noFill/>
            <a:ln w="25400">
              <a:noFill/>
            </a:ln>
          </c:spPr>
        </c:title>
        <c:numFmt formatCode="0.0" sourceLinked="0"/>
        <c:tickLblPos val="nextTo"/>
        <c:txPr>
          <a:bodyPr/>
          <a:lstStyle/>
          <a:p>
            <a:pPr>
              <a:defRPr lang="en-GB"/>
            </a:pPr>
            <a:endParaRPr lang="en-US"/>
          </a:p>
        </c:txPr>
        <c:crossAx val="138994432"/>
        <c:crosses val="autoZero"/>
        <c:crossBetween val="between"/>
      </c:valAx>
    </c:plotArea>
    <c:legend>
      <c:legendPos val="r"/>
      <c:layout>
        <c:manualLayout>
          <c:xMode val="edge"/>
          <c:yMode val="edge"/>
          <c:x val="0.70693512304250561"/>
          <c:y val="0.33333333333333331"/>
          <c:w val="0.23937360178970918"/>
          <c:h val="0.39215686274509975"/>
        </c:manualLayout>
      </c:layout>
      <c:txPr>
        <a:bodyPr/>
        <a:lstStyle/>
        <a:p>
          <a:pPr>
            <a:defRPr lang="en-GB"/>
          </a:pPr>
          <a:endParaRPr lang="en-US"/>
        </a:p>
      </c:txPr>
    </c:legend>
    <c:plotVisOnly val="1"/>
    <c:dispBlanksAs val="gap"/>
  </c:chart>
  <c:printSettings>
    <c:headerFooter/>
    <c:pageMargins b="0.75000000000000866" l="0.70000000000000062" r="0.70000000000000062" t="0.75000000000000866"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100"/>
            </a:pPr>
            <a:r>
              <a:rPr lang="en-GB" sz="1100"/>
              <a:t>Total cost and components of the "holistic" benefit for the working age as a percentage of general government expenditure</a:t>
            </a:r>
          </a:p>
        </c:rich>
      </c:tx>
      <c:layout>
        <c:manualLayout>
          <c:xMode val="edge"/>
          <c:yMode val="edge"/>
          <c:x val="0.11973204485802973"/>
          <c:y val="3.2520115313454681E-2"/>
        </c:manualLayout>
      </c:layout>
      <c:overlay val="1"/>
      <c:spPr>
        <a:noFill/>
        <a:ln w="25400">
          <a:noFill/>
        </a:ln>
      </c:spPr>
    </c:title>
    <c:plotArea>
      <c:layout>
        <c:manualLayout>
          <c:layoutTarget val="inner"/>
          <c:xMode val="edge"/>
          <c:yMode val="edge"/>
          <c:x val="0.19397363465160075"/>
          <c:y val="0.19473817297228091"/>
          <c:w val="0.5250845017751411"/>
          <c:h val="0.61900550540939359"/>
        </c:manualLayout>
      </c:layout>
      <c:barChart>
        <c:barDir val="col"/>
        <c:grouping val="stacked"/>
        <c:ser>
          <c:idx val="1"/>
          <c:order val="0"/>
          <c:tx>
            <c:strRef>
              <c:f>'Working age (Holistic)'!$A$105</c:f>
              <c:strCache>
                <c:ptCount val="1"/>
                <c:pt idx="0">
                  <c:v>Wage (household basis)</c:v>
                </c:pt>
              </c:strCache>
            </c:strRef>
          </c:tx>
          <c:spPr>
            <a:solidFill>
              <a:schemeClr val="tx2">
                <a:lumMod val="60000"/>
                <a:lumOff val="40000"/>
              </a:schemeClr>
            </a:solidFill>
          </c:spPr>
          <c:cat>
            <c:numRef>
              <c:f>'Working age (Holistic)'!$B$103:$L$103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(Holistic)'!$B$105:$L$105</c:f>
              <c:numCache>
                <c:formatCode>0.00</c:formatCode>
                <c:ptCount val="11"/>
                <c:pt idx="0">
                  <c:v>0</c:v>
                </c:pt>
                <c:pt idx="1">
                  <c:v>0.51714315514890941</c:v>
                </c:pt>
                <c:pt idx="2">
                  <c:v>1.157696718273302</c:v>
                </c:pt>
                <c:pt idx="3">
                  <c:v>1.7061522953750599</c:v>
                </c:pt>
                <c:pt idx="4">
                  <c:v>2.2254939456150704</c:v>
                </c:pt>
                <c:pt idx="5">
                  <c:v>2.2055766461097637</c:v>
                </c:pt>
                <c:pt idx="6">
                  <c:v>2.2132866428788192</c:v>
                </c:pt>
                <c:pt idx="7">
                  <c:v>2.2201596811625048</c:v>
                </c:pt>
                <c:pt idx="8">
                  <c:v>2.232924916838912</c:v>
                </c:pt>
                <c:pt idx="9">
                  <c:v>2.2474368289268396</c:v>
                </c:pt>
                <c:pt idx="10">
                  <c:v>2.2655619767693316</c:v>
                </c:pt>
              </c:numCache>
            </c:numRef>
          </c:val>
        </c:ser>
        <c:ser>
          <c:idx val="2"/>
          <c:order val="1"/>
          <c:tx>
            <c:strRef>
              <c:f>'Working age (Holistic)'!$A$106</c:f>
              <c:strCache>
                <c:ptCount val="1"/>
                <c:pt idx="0">
                  <c:v>Disability social assistance</c:v>
                </c:pt>
              </c:strCache>
            </c:strRef>
          </c:tx>
          <c:spPr>
            <a:solidFill>
              <a:schemeClr val="accent2">
                <a:lumMod val="75000"/>
              </a:schemeClr>
            </a:solidFill>
          </c:spPr>
          <c:cat>
            <c:numRef>
              <c:f>'Working age (Holistic)'!$B$103:$L$103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(Holistic)'!$B$106:$L$106</c:f>
              <c:numCache>
                <c:formatCode>0.00</c:formatCode>
                <c:ptCount val="11"/>
                <c:pt idx="0">
                  <c:v>0</c:v>
                </c:pt>
                <c:pt idx="1">
                  <c:v>0.80479893628850674</c:v>
                </c:pt>
                <c:pt idx="2">
                  <c:v>1.5223230337810831</c:v>
                </c:pt>
                <c:pt idx="3">
                  <c:v>1.4378912712654286</c:v>
                </c:pt>
                <c:pt idx="4">
                  <c:v>1.3497464719249985</c:v>
                </c:pt>
                <c:pt idx="5">
                  <c:v>1.2688488646258482</c:v>
                </c:pt>
                <c:pt idx="6">
                  <c:v>1.1957548778599092</c:v>
                </c:pt>
                <c:pt idx="7">
                  <c:v>1.1251826980821287</c:v>
                </c:pt>
                <c:pt idx="8">
                  <c:v>1.0601521967659344</c:v>
                </c:pt>
                <c:pt idx="9">
                  <c:v>0.99679306080084573</c:v>
                </c:pt>
                <c:pt idx="10">
                  <c:v>0.93547927695924027</c:v>
                </c:pt>
              </c:numCache>
            </c:numRef>
          </c:val>
        </c:ser>
        <c:ser>
          <c:idx val="3"/>
          <c:order val="2"/>
          <c:tx>
            <c:strRef>
              <c:f>'Working age (Holistic)'!$A$107</c:f>
              <c:strCache>
                <c:ptCount val="1"/>
                <c:pt idx="0">
                  <c:v>Benefit in kind</c:v>
                </c:pt>
              </c:strCache>
            </c:strRef>
          </c:tx>
          <c:spPr>
            <a:solidFill>
              <a:schemeClr val="accent6"/>
            </a:solidFill>
          </c:spPr>
          <c:cat>
            <c:numRef>
              <c:f>'Working age (Holistic)'!$B$103:$L$103</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'Working age (Holistic)'!$B$107:$L$107</c:f>
              <c:numCache>
                <c:formatCode>0.00</c:formatCode>
                <c:ptCount val="11"/>
                <c:pt idx="0">
                  <c:v>0</c:v>
                </c:pt>
                <c:pt idx="1">
                  <c:v>1.4354250964684385E-2</c:v>
                </c:pt>
                <c:pt idx="2">
                  <c:v>2.7527390342589515E-2</c:v>
                </c:pt>
                <c:pt idx="3">
                  <c:v>2.661755377612746E-2</c:v>
                </c:pt>
                <c:pt idx="4">
                  <c:v>2.5826467158418229E-2</c:v>
                </c:pt>
                <c:pt idx="5">
                  <c:v>2.5253340261041531E-2</c:v>
                </c:pt>
                <c:pt idx="6">
                  <c:v>2.4925645605904882E-2</c:v>
                </c:pt>
                <c:pt idx="7">
                  <c:v>2.4683480233972446E-2</c:v>
                </c:pt>
                <c:pt idx="8">
                  <c:v>2.4599178110925504E-2</c:v>
                </c:pt>
                <c:pt idx="9">
                  <c:v>2.4602083604880115E-2</c:v>
                </c:pt>
                <c:pt idx="10">
                  <c:v>2.469956336064854E-2</c:v>
                </c:pt>
              </c:numCache>
            </c:numRef>
          </c:val>
        </c:ser>
        <c:overlap val="100"/>
        <c:axId val="138919936"/>
        <c:axId val="138921472"/>
      </c:barChart>
      <c:catAx>
        <c:axId val="138919936"/>
        <c:scaling>
          <c:orientation val="minMax"/>
        </c:scaling>
        <c:axPos val="b"/>
        <c:numFmt formatCode="0" sourceLinked="1"/>
        <c:tickLblPos val="nextTo"/>
        <c:txPr>
          <a:bodyPr rot="-5400000" vert="horz"/>
          <a:lstStyle/>
          <a:p>
            <a:pPr>
              <a:defRPr lang="en-GB"/>
            </a:pPr>
            <a:endParaRPr lang="en-US"/>
          </a:p>
        </c:txPr>
        <c:crossAx val="138921472"/>
        <c:crosses val="autoZero"/>
        <c:auto val="1"/>
        <c:lblAlgn val="ctr"/>
        <c:lblOffset val="100"/>
      </c:catAx>
      <c:valAx>
        <c:axId val="138921472"/>
        <c:scaling>
          <c:orientation val="minMax"/>
        </c:scaling>
        <c:axPos val="l"/>
        <c:majorGridlines/>
        <c:title>
          <c:tx>
            <c:rich>
              <a:bodyPr/>
              <a:lstStyle/>
              <a:p>
                <a:pPr>
                  <a:defRPr lang="en-GB"/>
                </a:pPr>
                <a:r>
                  <a:rPr lang="en-GB"/>
                  <a:t>Total child benefit cost as percentage of general government expenditure</a:t>
                </a:r>
              </a:p>
            </c:rich>
          </c:tx>
          <c:layout>
            <c:manualLayout>
              <c:xMode val="edge"/>
              <c:yMode val="edge"/>
              <c:x val="1.5912431400620382E-2"/>
              <c:y val="8.8437674798847066E-2"/>
            </c:manualLayout>
          </c:layout>
          <c:spPr>
            <a:noFill/>
            <a:ln w="25400">
              <a:noFill/>
            </a:ln>
          </c:spPr>
        </c:title>
        <c:numFmt formatCode="0.0" sourceLinked="0"/>
        <c:tickLblPos val="nextTo"/>
        <c:txPr>
          <a:bodyPr/>
          <a:lstStyle/>
          <a:p>
            <a:pPr>
              <a:defRPr lang="en-GB"/>
            </a:pPr>
            <a:endParaRPr lang="en-US"/>
          </a:p>
        </c:txPr>
        <c:crossAx val="138919936"/>
        <c:crosses val="autoZero"/>
        <c:crossBetween val="between"/>
      </c:valAx>
    </c:plotArea>
    <c:legend>
      <c:legendPos val="r"/>
      <c:layout>
        <c:manualLayout>
          <c:xMode val="edge"/>
          <c:yMode val="edge"/>
          <c:x val="0.70681818181818179"/>
          <c:y val="0.25409836065573771"/>
          <c:w val="0.23636363636363636"/>
          <c:h val="0.37704918032787088"/>
        </c:manualLayout>
      </c:layout>
      <c:txPr>
        <a:bodyPr/>
        <a:lstStyle/>
        <a:p>
          <a:pPr>
            <a:defRPr lang="en-GB"/>
          </a:pPr>
          <a:endParaRPr lang="en-US"/>
        </a:p>
      </c:txPr>
    </c:legend>
    <c:plotVisOnly val="1"/>
    <c:dispBlanksAs val="gap"/>
  </c:chart>
  <c:printSettings>
    <c:headerFooter/>
    <c:pageMargins b="0.98425196899999956" l="0.78740157499999996" r="0.78740157499999996" t="0.98425196899999956" header="0.4921259845000035" footer="0.492125984500003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200" b="0"/>
            </a:pPr>
            <a:r>
              <a:rPr lang="en-US" sz="1200" b="0"/>
              <a:t>Total cost of the SP strategy and additional SP provision to fill the gap towards the SPF four guarantees</a:t>
            </a:r>
          </a:p>
        </c:rich>
      </c:tx>
      <c:overlay val="1"/>
      <c:spPr>
        <a:noFill/>
        <a:ln w="25400">
          <a:noFill/>
        </a:ln>
      </c:spPr>
    </c:title>
    <c:plotArea>
      <c:layout>
        <c:manualLayout>
          <c:layoutTarget val="inner"/>
          <c:xMode val="edge"/>
          <c:yMode val="edge"/>
          <c:x val="0.12070759625390219"/>
          <c:y val="8.2352941176470726E-2"/>
          <c:w val="0.50780437044745053"/>
          <c:h val="0.84705882352942152"/>
        </c:manualLayout>
      </c:layout>
      <c:areaChart>
        <c:grouping val="stacked"/>
        <c:ser>
          <c:idx val="0"/>
          <c:order val="0"/>
          <c:tx>
            <c:strRef>
              <c:f>'GGO(SQ) (SQ and Post SPF)'!$B$612</c:f>
              <c:strCache>
                <c:ptCount val="1"/>
                <c:pt idx="0">
                  <c:v>Labour market policies</c:v>
                </c:pt>
              </c:strCache>
            </c:strRef>
          </c:tx>
          <c:spPr>
            <a:solidFill>
              <a:schemeClr val="accent2">
                <a:lumMod val="50000"/>
              </a:schemeClr>
            </a:solidFill>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SPF)'!$C$612:$R$612</c:f>
              <c:numCache>
                <c:formatCode>0</c:formatCode>
                <c:ptCount val="16"/>
                <c:pt idx="0">
                  <c:v>1346000</c:v>
                </c:pt>
                <c:pt idx="1">
                  <c:v>1660000</c:v>
                </c:pt>
                <c:pt idx="2">
                  <c:v>2090000</c:v>
                </c:pt>
                <c:pt idx="3">
                  <c:v>2367000</c:v>
                </c:pt>
                <c:pt idx="4">
                  <c:v>2522216.3186679631</c:v>
                </c:pt>
                <c:pt idx="5" formatCode="#,###,###,###">
                  <c:v>2677432.6373359263</c:v>
                </c:pt>
                <c:pt idx="6" formatCode="#,###,###,###">
                  <c:v>4025896.7386713047</c:v>
                </c:pt>
                <c:pt idx="7" formatCode="#,###,###,###">
                  <c:v>4530017.454655475</c:v>
                </c:pt>
                <c:pt idx="8" formatCode="#,###,###,###">
                  <c:v>4947430.4672634797</c:v>
                </c:pt>
                <c:pt idx="9" formatCode="#,###,###,###">
                  <c:v>5252347.5301963659</c:v>
                </c:pt>
                <c:pt idx="10" formatCode="#,###,###,###">
                  <c:v>5621249.0330140423</c:v>
                </c:pt>
                <c:pt idx="11" formatCode="#,###,###,###">
                  <c:v>6112398.895697996</c:v>
                </c:pt>
                <c:pt idx="12" formatCode="#,###,###,###">
                  <c:v>6695044.5935450876</c:v>
                </c:pt>
                <c:pt idx="13" formatCode="#,###,###,###">
                  <c:v>7340483.3889486352</c:v>
                </c:pt>
                <c:pt idx="14" formatCode="#,###,###,###">
                  <c:v>8072300.3749502599</c:v>
                </c:pt>
                <c:pt idx="15" formatCode="#,###,###,###">
                  <c:v>8957413.5110518802</c:v>
                </c:pt>
              </c:numCache>
            </c:numRef>
          </c:val>
        </c:ser>
        <c:ser>
          <c:idx val="1"/>
          <c:order val="1"/>
          <c:tx>
            <c:strRef>
              <c:f>'GGO(SQ) (SQ and Post SPF)'!$B$613</c:f>
              <c:strCache>
                <c:ptCount val="1"/>
                <c:pt idx="0">
                  <c:v>Health insurance</c:v>
                </c:pt>
              </c:strCache>
            </c:strRef>
          </c:tx>
          <c:spPr>
            <a:solidFill>
              <a:srgbClr val="C86664"/>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SPF)'!$C$613:$R$613</c:f>
              <c:numCache>
                <c:formatCode>0</c:formatCode>
                <c:ptCount val="16"/>
                <c:pt idx="0">
                  <c:v>2281508.578317143</c:v>
                </c:pt>
                <c:pt idx="1">
                  <c:v>3248899.0706407144</c:v>
                </c:pt>
                <c:pt idx="2">
                  <c:v>4373944.4122067848</c:v>
                </c:pt>
                <c:pt idx="3">
                  <c:v>11211492.359865446</c:v>
                </c:pt>
                <c:pt idx="4">
                  <c:v>11896931.866342239</c:v>
                </c:pt>
                <c:pt idx="5" formatCode="#,###,###,###">
                  <c:v>18868676.680722032</c:v>
                </c:pt>
                <c:pt idx="6" formatCode="#,###,###,###">
                  <c:v>23813782.969712131</c:v>
                </c:pt>
                <c:pt idx="7" formatCode="#,###,###,###">
                  <c:v>27292965.734593503</c:v>
                </c:pt>
                <c:pt idx="8" formatCode="#,###,###,###">
                  <c:v>32988543.262433078</c:v>
                </c:pt>
                <c:pt idx="9" formatCode="#,###,###,###">
                  <c:v>60002258.536777332</c:v>
                </c:pt>
                <c:pt idx="10" formatCode="#,###,###,###">
                  <c:v>69039909.299002528</c:v>
                </c:pt>
                <c:pt idx="11" formatCode="#,###,###,###">
                  <c:v>68303580.805536553</c:v>
                </c:pt>
                <c:pt idx="12" formatCode="#,###,###,###">
                  <c:v>74247992.798612714</c:v>
                </c:pt>
                <c:pt idx="13" formatCode="#,###,###,###">
                  <c:v>73825326.350810617</c:v>
                </c:pt>
                <c:pt idx="14" formatCode="#,###,###,###">
                  <c:v>83367385.972463772</c:v>
                </c:pt>
                <c:pt idx="15" formatCode="#,###,###,###">
                  <c:v>88020049.200731501</c:v>
                </c:pt>
              </c:numCache>
            </c:numRef>
          </c:val>
        </c:ser>
        <c:ser>
          <c:idx val="2"/>
          <c:order val="2"/>
          <c:tx>
            <c:strRef>
              <c:f>'GGO(SQ) (SQ and Post SPF)'!$B$614</c:f>
              <c:strCache>
                <c:ptCount val="1"/>
                <c:pt idx="0">
                  <c:v>Social insurance</c:v>
                </c:pt>
              </c:strCache>
            </c:strRef>
          </c:tx>
          <c:spPr>
            <a:solidFill>
              <a:schemeClr val="accent2">
                <a:lumMod val="60000"/>
                <a:lumOff val="4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SPF)'!$C$614:$R$614</c:f>
              <c:numCache>
                <c:formatCode>0</c:formatCode>
                <c:ptCount val="16"/>
                <c:pt idx="0">
                  <c:v>8699318.2177933995</c:v>
                </c:pt>
                <c:pt idx="1">
                  <c:v>9640212.1451956015</c:v>
                </c:pt>
                <c:pt idx="2">
                  <c:v>10581106.0725978</c:v>
                </c:pt>
                <c:pt idx="3">
                  <c:v>11522000</c:v>
                </c:pt>
                <c:pt idx="4">
                  <c:v>11800000</c:v>
                </c:pt>
                <c:pt idx="5" formatCode="#,###,###,###">
                  <c:v>17955735.297508691</c:v>
                </c:pt>
                <c:pt idx="6" formatCode="#,###,###,###">
                  <c:v>20139356.723616127</c:v>
                </c:pt>
                <c:pt idx="7" formatCode="#,###,###,###">
                  <c:v>20917685.774070401</c:v>
                </c:pt>
                <c:pt idx="8" formatCode="#,###,###,###">
                  <c:v>23511588.814841092</c:v>
                </c:pt>
                <c:pt idx="9" formatCode="#,###,###,###">
                  <c:v>21701624.722572394</c:v>
                </c:pt>
                <c:pt idx="10" formatCode="#,###,###,###">
                  <c:v>24770393.607921034</c:v>
                </c:pt>
                <c:pt idx="11" formatCode="#,###,###,###">
                  <c:v>24295512.799180284</c:v>
                </c:pt>
                <c:pt idx="12" formatCode="#,###,###,###">
                  <c:v>26055758.471762639</c:v>
                </c:pt>
                <c:pt idx="13" formatCode="#,###,###,###">
                  <c:v>25196934.918942787</c:v>
                </c:pt>
                <c:pt idx="14" formatCode="#,###,###,###">
                  <c:v>29005545.279253755</c:v>
                </c:pt>
                <c:pt idx="15" formatCode="#,###,###,###">
                  <c:v>31422392.982009817</c:v>
                </c:pt>
              </c:numCache>
            </c:numRef>
          </c:val>
        </c:ser>
        <c:ser>
          <c:idx val="3"/>
          <c:order val="3"/>
          <c:tx>
            <c:strRef>
              <c:f>'GGO(SQ) (SQ and Post SPF)'!$B$616</c:f>
              <c:strCache>
                <c:ptCount val="1"/>
                <c:pt idx="0">
                  <c:v>Regular social assistance in accordance with Decree No. 67</c:v>
                </c:pt>
              </c:strCache>
            </c:strRef>
          </c:tx>
          <c:spPr>
            <a:solidFill>
              <a:schemeClr val="accent1">
                <a:lumMod val="40000"/>
                <a:lumOff val="6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SPF)'!$C$616:$R$616</c:f>
              <c:numCache>
                <c:formatCode>0</c:formatCode>
                <c:ptCount val="16"/>
                <c:pt idx="0">
                  <c:v>250000</c:v>
                </c:pt>
                <c:pt idx="1">
                  <c:v>400000</c:v>
                </c:pt>
                <c:pt idx="2">
                  <c:v>550000</c:v>
                </c:pt>
                <c:pt idx="3">
                  <c:v>2035600</c:v>
                </c:pt>
                <c:pt idx="4">
                  <c:v>1402200.7073603226</c:v>
                </c:pt>
                <c:pt idx="5" formatCode="#,###,###,###">
                  <c:v>2919960.5759999999</c:v>
                </c:pt>
                <c:pt idx="6" formatCode="#,###,###,###">
                  <c:v>3245428.9129934786</c:v>
                </c:pt>
                <c:pt idx="7" formatCode="#,###,###,###">
                  <c:v>3607175.0132060801</c:v>
                </c:pt>
                <c:pt idx="8" formatCode="#,###,###,###">
                  <c:v>4009242.5145423082</c:v>
                </c:pt>
                <c:pt idx="9" formatCode="#,###,###,###">
                  <c:v>4456125.7719865479</c:v>
                </c:pt>
                <c:pt idx="10" formatCode="#,###,###,###">
                  <c:v>4952820.0959999999</c:v>
                </c:pt>
                <c:pt idx="11" formatCode="#,###,###,###">
                  <c:v>5440130.7552849939</c:v>
                </c:pt>
                <c:pt idx="12" formatCode="#,###,###,###">
                  <c:v>5975388.1750114914</c:v>
                </c:pt>
                <c:pt idx="13" formatCode="#,###,###,###">
                  <c:v>6563309.8629807942</c:v>
                </c:pt>
                <c:pt idx="14" formatCode="#,###,###,###">
                  <c:v>7209077.4851490101</c:v>
                </c:pt>
                <c:pt idx="15" formatCode="#,###,###,###">
                  <c:v>7918382.5344000002</c:v>
                </c:pt>
              </c:numCache>
            </c:numRef>
          </c:val>
        </c:ser>
        <c:ser>
          <c:idx val="4"/>
          <c:order val="4"/>
          <c:tx>
            <c:strRef>
              <c:f>'GGO(SQ) (SQ and Post SPF)'!$B$617</c:f>
              <c:strCache>
                <c:ptCount val="1"/>
                <c:pt idx="0">
                  <c:v>Emergency social relief in accordance with Decree No. 67</c:v>
                </c:pt>
              </c:strCache>
            </c:strRef>
          </c:tx>
          <c:spPr>
            <a:solidFill>
              <a:schemeClr val="accent1">
                <a:lumMod val="60000"/>
                <a:lumOff val="4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SPF)'!$C$617:$R$617</c:f>
              <c:numCache>
                <c:formatCode>0</c:formatCode>
                <c:ptCount val="16"/>
                <c:pt idx="0">
                  <c:v>4471000</c:v>
                </c:pt>
                <c:pt idx="1">
                  <c:v>3136000</c:v>
                </c:pt>
                <c:pt idx="2">
                  <c:v>2608000</c:v>
                </c:pt>
                <c:pt idx="3">
                  <c:v>3333214.2857142859</c:v>
                </c:pt>
                <c:pt idx="4">
                  <c:v>2296048.0591531266</c:v>
                </c:pt>
                <c:pt idx="5" formatCode="#,###,###,###">
                  <c:v>3500000</c:v>
                </c:pt>
                <c:pt idx="6" formatCode="#,###,###,###">
                  <c:v>3758793.2332502278</c:v>
                </c:pt>
                <c:pt idx="7" formatCode="#,###,###,###">
                  <c:v>4036721.8772364859</c:v>
                </c:pt>
                <c:pt idx="8" formatCode="#,###,###,###">
                  <c:v>4335200.8219056167</c:v>
                </c:pt>
                <c:pt idx="9" formatCode="#,###,###,###">
                  <c:v>4655749.5754741877</c:v>
                </c:pt>
                <c:pt idx="10" formatCode="#,###,###,###">
                  <c:v>5000000</c:v>
                </c:pt>
                <c:pt idx="11" formatCode="#,###,###,###">
                  <c:v>5348051.8786253436</c:v>
                </c:pt>
                <c:pt idx="12" formatCode="#,###,###,###">
                  <c:v>5720331.7792936135</c:v>
                </c:pt>
                <c:pt idx="13" formatCode="#,###,###,###">
                  <c:v>6118526.223722293</c:v>
                </c:pt>
                <c:pt idx="14" formatCode="#,###,###,###">
                  <c:v>6544439.1330392882</c:v>
                </c:pt>
                <c:pt idx="15" formatCode="#,###,###,###">
                  <c:v>7000000</c:v>
                </c:pt>
              </c:numCache>
            </c:numRef>
          </c:val>
        </c:ser>
        <c:ser>
          <c:idx val="5"/>
          <c:order val="5"/>
          <c:tx>
            <c:strRef>
              <c:f>'GGO(SQ) (SQ and Post SPF)'!$B$618</c:f>
              <c:strCache>
                <c:ptCount val="1"/>
                <c:pt idx="0">
                  <c:v>Other types of social assistance</c:v>
                </c:pt>
              </c:strCache>
            </c:strRef>
          </c:tx>
          <c:spPr>
            <a:solidFill>
              <a:schemeClr val="accent1">
                <a:lumMod val="75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SPF)'!$C$618:$R$618</c:f>
              <c:numCache>
                <c:formatCode>0</c:formatCode>
                <c:ptCount val="16"/>
                <c:pt idx="0">
                  <c:v>5816690.9589929506</c:v>
                </c:pt>
                <c:pt idx="1">
                  <c:v>9304304.4951124322</c:v>
                </c:pt>
                <c:pt idx="2">
                  <c:v>10491233.959844299</c:v>
                </c:pt>
                <c:pt idx="3">
                  <c:v>12844665.669761578</c:v>
                </c:pt>
                <c:pt idx="4">
                  <c:v>8847906.9011330996</c:v>
                </c:pt>
                <c:pt idx="5" formatCode="#,###,###,###">
                  <c:v>16849052.289206043</c:v>
                </c:pt>
                <c:pt idx="6" formatCode="#,###,###,###">
                  <c:v>17734339.820004925</c:v>
                </c:pt>
                <c:pt idx="7" formatCode="#,###,###,###">
                  <c:v>18666142.371277098</c:v>
                </c:pt>
                <c:pt idx="8" formatCode="#,###,###,###">
                  <c:v>19646903.947997622</c:v>
                </c:pt>
                <c:pt idx="9" formatCode="#,###,###,###">
                  <c:v>20679196.968721889</c:v>
                </c:pt>
                <c:pt idx="10" formatCode="#,###,###,###">
                  <c:v>21765729.012727205</c:v>
                </c:pt>
                <c:pt idx="11" formatCode="#,###,###,###">
                  <c:v>22985250.630303726</c:v>
                </c:pt>
                <c:pt idx="12" formatCode="#,###,###,###">
                  <c:v>24273101.361730132</c:v>
                </c:pt>
                <c:pt idx="13" formatCode="#,###,###,###">
                  <c:v>25633109.649021905</c:v>
                </c:pt>
                <c:pt idx="14" formatCode="#,###,###,###">
                  <c:v>27069318.439658441</c:v>
                </c:pt>
                <c:pt idx="15" formatCode="#,###,###,###">
                  <c:v>28585997.205204185</c:v>
                </c:pt>
              </c:numCache>
            </c:numRef>
          </c:val>
        </c:ser>
        <c:ser>
          <c:idx val="6"/>
          <c:order val="6"/>
          <c:tx>
            <c:strRef>
              <c:f>'GGO(SQ) (SQ and Post SPF)'!$B$619</c:f>
              <c:strCache>
                <c:ptCount val="1"/>
                <c:pt idx="0">
                  <c:v>Monitoring and evaluation</c:v>
                </c:pt>
              </c:strCache>
            </c:strRef>
          </c:tx>
          <c:spPr>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SPF)'!$C$619:$R$619</c:f>
              <c:numCache>
                <c:formatCode>0</c:formatCode>
                <c:ptCount val="16"/>
                <c:pt idx="0">
                  <c:v>91357.082256044843</c:v>
                </c:pt>
                <c:pt idx="1">
                  <c:v>91611.140079323231</c:v>
                </c:pt>
                <c:pt idx="2">
                  <c:v>105964.82229010947</c:v>
                </c:pt>
                <c:pt idx="3">
                  <c:v>166621.12127141652</c:v>
                </c:pt>
                <c:pt idx="4">
                  <c:v>181069</c:v>
                </c:pt>
                <c:pt idx="5" formatCode="#,###,###,###">
                  <c:v>195516.85978093391</c:v>
                </c:pt>
                <c:pt idx="6" formatCode="#,###,###,###">
                  <c:v>243681.52546332707</c:v>
                </c:pt>
                <c:pt idx="7" formatCode="#,###,###,###">
                  <c:v>291846.19114572025</c:v>
                </c:pt>
                <c:pt idx="8" formatCode="#,###,###,###">
                  <c:v>315928.52398691687</c:v>
                </c:pt>
                <c:pt idx="9" formatCode="#,###,###,###">
                  <c:v>352052.02324871178</c:v>
                </c:pt>
                <c:pt idx="10" formatCode="#,###,###,###">
                  <c:v>388175.52251050662</c:v>
                </c:pt>
                <c:pt idx="11" formatCode="#,###,###,###">
                  <c:v>449205.63983044273</c:v>
                </c:pt>
                <c:pt idx="12" formatCode="#,###,###,###">
                  <c:v>510235.75715037883</c:v>
                </c:pt>
                <c:pt idx="13" formatCode="#,###,###,###">
                  <c:v>540750.81581034698</c:v>
                </c:pt>
                <c:pt idx="14" formatCode="#,###,###,###">
                  <c:v>586523.40380029904</c:v>
                </c:pt>
                <c:pt idx="15" formatCode="#,###,###,###">
                  <c:v>632295.99179025122</c:v>
                </c:pt>
              </c:numCache>
            </c:numRef>
          </c:val>
        </c:ser>
        <c:ser>
          <c:idx val="7"/>
          <c:order val="7"/>
          <c:tx>
            <c:strRef>
              <c:f>'GGO(SQ) (SQ and Post SPF)'!$B$622</c:f>
              <c:strCache>
                <c:ptCount val="1"/>
                <c:pt idx="0">
                  <c:v>1a. Old age  pension for uncovered (65+ as an objective in 2020)</c:v>
                </c:pt>
              </c:strCache>
            </c:strRef>
          </c:tx>
          <c:spPr>
            <a:solidFill>
              <a:schemeClr val="accent3">
                <a:lumMod val="20000"/>
                <a:lumOff val="8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SPF)'!$C$622:$R$622</c:f>
              <c:numCache>
                <c:formatCode>0</c:formatCode>
                <c:ptCount val="16"/>
                <c:pt idx="4">
                  <c:v>0</c:v>
                </c:pt>
                <c:pt idx="5" formatCode="#,###,###,###">
                  <c:v>0</c:v>
                </c:pt>
                <c:pt idx="6" formatCode="#,###,###,###">
                  <c:v>1841497.6255015361</c:v>
                </c:pt>
                <c:pt idx="7" formatCode="#,###,###,###">
                  <c:v>4744815.2147565279</c:v>
                </c:pt>
                <c:pt idx="8" formatCode="#,###,###,###">
                  <c:v>6992105.5243119467</c:v>
                </c:pt>
                <c:pt idx="9" formatCode="#,###,###,###">
                  <c:v>10035108.447804973</c:v>
                </c:pt>
                <c:pt idx="10" formatCode="#,###,###,###">
                  <c:v>13277472.376117788</c:v>
                </c:pt>
                <c:pt idx="11" formatCode="#,###,###,###">
                  <c:v>17780996.344951216</c:v>
                </c:pt>
                <c:pt idx="12" formatCode="#,###,###,###">
                  <c:v>23389747.840026889</c:v>
                </c:pt>
                <c:pt idx="13" formatCode="#,###,###,###">
                  <c:v>29392157.362494815</c:v>
                </c:pt>
                <c:pt idx="14" formatCode="#,###,###,###">
                  <c:v>38318906.057010323</c:v>
                </c:pt>
                <c:pt idx="15" formatCode="#,###,###,###">
                  <c:v>46642906.694756396</c:v>
                </c:pt>
              </c:numCache>
            </c:numRef>
          </c:val>
        </c:ser>
        <c:ser>
          <c:idx val="8"/>
          <c:order val="8"/>
          <c:tx>
            <c:strRef>
              <c:f>'GGO(SQ) (SQ and Post SPF)'!$B$625</c:f>
              <c:strCache>
                <c:ptCount val="1"/>
                <c:pt idx="0">
                  <c:v>2. Child benefit (scenario 2c - targeted cash and kind) - limited to 2 children</c:v>
                </c:pt>
              </c:strCache>
            </c:strRef>
          </c:tx>
          <c:spPr>
            <a:solidFill>
              <a:schemeClr val="accent3">
                <a:lumMod val="60000"/>
                <a:lumOff val="40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SPF)'!$C$625:$R$625</c:f>
              <c:numCache>
                <c:formatCode>0</c:formatCode>
                <c:ptCount val="16"/>
                <c:pt idx="4">
                  <c:v>0</c:v>
                </c:pt>
                <c:pt idx="5" formatCode="#,###,###,###">
                  <c:v>0</c:v>
                </c:pt>
                <c:pt idx="6" formatCode="#,###,###,###">
                  <c:v>3090309.2269442333</c:v>
                </c:pt>
                <c:pt idx="7" formatCode="#,###,###,###">
                  <c:v>7025170.640098583</c:v>
                </c:pt>
                <c:pt idx="8" formatCode="#,###,###,###">
                  <c:v>9258125.339878086</c:v>
                </c:pt>
                <c:pt idx="9" formatCode="#,###,###,###">
                  <c:v>11755280.389370345</c:v>
                </c:pt>
                <c:pt idx="10" formatCode="#,###,###,###">
                  <c:v>16636493.037618093</c:v>
                </c:pt>
                <c:pt idx="11" formatCode="#,###,###,###">
                  <c:v>22155108.889478397</c:v>
                </c:pt>
                <c:pt idx="12" formatCode="#,###,###,###">
                  <c:v>23714562.612932697</c:v>
                </c:pt>
                <c:pt idx="13" formatCode="#,###,###,###">
                  <c:v>25504668.678619366</c:v>
                </c:pt>
                <c:pt idx="14" formatCode="#,###,###,###">
                  <c:v>27563554.705675583</c:v>
                </c:pt>
                <c:pt idx="15" formatCode="#,###,###,###">
                  <c:v>29936888.293879248</c:v>
                </c:pt>
              </c:numCache>
            </c:numRef>
          </c:val>
        </c:ser>
        <c:ser>
          <c:idx val="9"/>
          <c:order val="9"/>
          <c:tx>
            <c:strRef>
              <c:f>'GGO(SQ) (SQ and Post SPF)'!$B$626</c:f>
              <c:strCache>
                <c:ptCount val="1"/>
                <c:pt idx="0">
                  <c:v>3. Working age income security (scenario 1 - high cost )</c:v>
                </c:pt>
              </c:strCache>
            </c:strRef>
          </c:tx>
          <c:spPr>
            <a:solidFill>
              <a:schemeClr val="accent3">
                <a:lumMod val="75000"/>
              </a:schemeClr>
            </a:solidFill>
            <a:ln w="25400">
              <a:noFill/>
            </a:ln>
          </c:spPr>
          <c:cat>
            <c:numRef>
              <c:f>'GGO(SQ) (SQ and Post SPF)'!$C$611:$R$611</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SPF)'!$C$626:$R$626</c:f>
              <c:numCache>
                <c:formatCode>0</c:formatCode>
                <c:ptCount val="16"/>
                <c:pt idx="4">
                  <c:v>0</c:v>
                </c:pt>
                <c:pt idx="5" formatCode="#,###,###,###">
                  <c:v>0</c:v>
                </c:pt>
                <c:pt idx="6" formatCode="#,###,###,###">
                  <c:v>10206666.023815591</c:v>
                </c:pt>
                <c:pt idx="7" formatCode="#,###,###,###">
                  <c:v>23755290.289387222</c:v>
                </c:pt>
                <c:pt idx="8" formatCode="#,###,###,###">
                  <c:v>31782358.70678306</c:v>
                </c:pt>
                <c:pt idx="9" formatCode="#,###,###,###">
                  <c:v>41220559.280590154</c:v>
                </c:pt>
                <c:pt idx="10" formatCode="#,###,###,###">
                  <c:v>45525613.198203348</c:v>
                </c:pt>
                <c:pt idx="11" formatCode="#,###,###,###">
                  <c:v>50475726.867386967</c:v>
                </c:pt>
                <c:pt idx="12" formatCode="#,###,###,###">
                  <c:v>56000165.035670698</c:v>
                </c:pt>
                <c:pt idx="13" formatCode="#,###,###,###">
                  <c:v>62174223.313388757</c:v>
                </c:pt>
                <c:pt idx="14" formatCode="#,###,###,###">
                  <c:v>69122853.848475769</c:v>
                </c:pt>
                <c:pt idx="15" formatCode="#,###,###,###">
                  <c:v>76998510.037461609</c:v>
                </c:pt>
              </c:numCache>
            </c:numRef>
          </c:val>
        </c:ser>
        <c:axId val="139195520"/>
        <c:axId val="139197056"/>
      </c:areaChart>
      <c:catAx>
        <c:axId val="139195520"/>
        <c:scaling>
          <c:orientation val="minMax"/>
        </c:scaling>
        <c:axPos val="b"/>
        <c:numFmt formatCode="General" sourceLinked="1"/>
        <c:tickLblPos val="nextTo"/>
        <c:txPr>
          <a:bodyPr/>
          <a:lstStyle/>
          <a:p>
            <a:pPr>
              <a:defRPr lang="en-GB"/>
            </a:pPr>
            <a:endParaRPr lang="en-US"/>
          </a:p>
        </c:txPr>
        <c:crossAx val="139197056"/>
        <c:crosses val="autoZero"/>
        <c:auto val="1"/>
        <c:lblAlgn val="ctr"/>
        <c:lblOffset val="100"/>
      </c:catAx>
      <c:valAx>
        <c:axId val="139197056"/>
        <c:scaling>
          <c:orientation val="minMax"/>
        </c:scaling>
        <c:axPos val="l"/>
        <c:majorGridlines/>
        <c:numFmt formatCode="#,##0.00;[Red]#,##0.00" sourceLinked="0"/>
        <c:tickLblPos val="nextTo"/>
        <c:txPr>
          <a:bodyPr/>
          <a:lstStyle/>
          <a:p>
            <a:pPr>
              <a:defRPr lang="en-GB"/>
            </a:pPr>
            <a:endParaRPr lang="en-US"/>
          </a:p>
        </c:txPr>
        <c:crossAx val="139195520"/>
        <c:crosses val="autoZero"/>
        <c:crossBetween val="midCat"/>
      </c:valAx>
    </c:plotArea>
    <c:legend>
      <c:legendPos val="r"/>
      <c:layout>
        <c:manualLayout>
          <c:xMode val="edge"/>
          <c:yMode val="edge"/>
          <c:x val="0.7055150884495317"/>
          <c:y val="0.12773109243697536"/>
          <c:w val="0.26326742976066642"/>
          <c:h val="0.84033613445378164"/>
        </c:manualLayout>
      </c:layout>
      <c:txPr>
        <a:bodyPr/>
        <a:lstStyle/>
        <a:p>
          <a:pPr>
            <a:defRPr lang="en-GB"/>
          </a:pPr>
          <a:endParaRPr lang="en-US"/>
        </a:p>
      </c:txPr>
    </c:legend>
    <c:plotVisOnly val="1"/>
    <c:dispBlanksAs val="zero"/>
  </c:chart>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b="0" i="0" u="none" strike="noStrike" baseline="0">
                <a:solidFill>
                  <a:srgbClr val="000000"/>
                </a:solidFill>
                <a:latin typeface="Calibri"/>
                <a:ea typeface="Calibri"/>
                <a:cs typeface="Calibri"/>
              </a:defRPr>
            </a:pPr>
            <a:r>
              <a:rPr lang="fr-FR" sz="1200" b="1" i="0" u="none" strike="noStrike" baseline="0">
                <a:solidFill>
                  <a:srgbClr val="000000"/>
                </a:solidFill>
                <a:latin typeface="Calibri"/>
              </a:rPr>
              <a:t>The impact of filling the SPF gap on the General Government deficit </a:t>
            </a:r>
            <a:r>
              <a:rPr lang="fr-FR" sz="1200" b="0" i="0" u="none" strike="noStrike" baseline="0">
                <a:solidFill>
                  <a:srgbClr val="000000"/>
                </a:solidFill>
                <a:latin typeface="Calibri"/>
              </a:rPr>
              <a:t>as a percentage of GDP</a:t>
            </a:r>
          </a:p>
        </c:rich>
      </c:tx>
      <c:layout>
        <c:manualLayout>
          <c:xMode val="edge"/>
          <c:yMode val="edge"/>
          <c:x val="0.19589743589743755"/>
          <c:y val="1.4150943396226414E-2"/>
        </c:manualLayout>
      </c:layout>
      <c:overlay val="1"/>
      <c:spPr>
        <a:noFill/>
        <a:ln w="25400">
          <a:noFill/>
        </a:ln>
      </c:spPr>
    </c:title>
    <c:plotArea>
      <c:layout>
        <c:manualLayout>
          <c:layoutTarget val="inner"/>
          <c:xMode val="edge"/>
          <c:yMode val="edge"/>
          <c:x val="0.10461538461538461"/>
          <c:y val="0.14150943396226551"/>
          <c:w val="0.8666666666666667"/>
          <c:h val="0.61792452830188993"/>
        </c:manualLayout>
      </c:layout>
      <c:barChart>
        <c:barDir val="col"/>
        <c:grouping val="stacked"/>
        <c:ser>
          <c:idx val="0"/>
          <c:order val="0"/>
          <c:tx>
            <c:strRef>
              <c:f>'GGO(SQ) (SQ and Post SPF)'!$B$469</c:f>
              <c:strCache>
                <c:ptCount val="1"/>
                <c:pt idx="0">
                  <c:v>General government fiscal balance (IMF) - status quo</c:v>
                </c:pt>
              </c:strCache>
            </c:strRef>
          </c:tx>
          <c:spPr>
            <a:solidFill>
              <a:schemeClr val="accent1">
                <a:lumMod val="75000"/>
              </a:schemeClr>
            </a:solidFill>
          </c:spPr>
          <c:dLbls>
            <c:spPr>
              <a:noFill/>
              <a:ln w="25400">
                <a:noFill/>
              </a:ln>
            </c:spPr>
            <c:txPr>
              <a:bodyPr/>
              <a:lstStyle/>
              <a:p>
                <a:pPr>
                  <a:defRPr lang="en-GB">
                    <a:solidFill>
                      <a:schemeClr val="bg1">
                        <a:lumMod val="95000"/>
                      </a:schemeClr>
                    </a:solidFill>
                  </a:defRPr>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SPF)'!$C$469:$R$469</c:f>
              <c:numCache>
                <c:formatCode>0.0</c:formatCode>
                <c:ptCount val="16"/>
                <c:pt idx="0">
                  <c:v>-3.2910044031340679</c:v>
                </c:pt>
                <c:pt idx="1">
                  <c:v>-0.20466710802502394</c:v>
                </c:pt>
                <c:pt idx="2">
                  <c:v>-2.5373952194550626</c:v>
                </c:pt>
                <c:pt idx="3">
                  <c:v>-1.1953755041958576</c:v>
                </c:pt>
                <c:pt idx="4">
                  <c:v>-8.9926307428474317</c:v>
                </c:pt>
                <c:pt idx="5">
                  <c:v>-6.4139757811575144</c:v>
                </c:pt>
                <c:pt idx="6">
                  <c:v>-3.9371596114726799</c:v>
                </c:pt>
                <c:pt idx="7">
                  <c:v>-3.7570230896071366</c:v>
                </c:pt>
                <c:pt idx="8">
                  <c:v>-3.5645143922856395</c:v>
                </c:pt>
                <c:pt idx="9">
                  <c:v>-3.349645554534781</c:v>
                </c:pt>
                <c:pt idx="10">
                  <c:v>-3.0380957966810649</c:v>
                </c:pt>
                <c:pt idx="11">
                  <c:v>-2.9388151720636637</c:v>
                </c:pt>
                <c:pt idx="12">
                  <c:v>-3.0294302497309267</c:v>
                </c:pt>
                <c:pt idx="13">
                  <c:v>-2.9901966590619695</c:v>
                </c:pt>
                <c:pt idx="14">
                  <c:v>-2.9789377438899174</c:v>
                </c:pt>
                <c:pt idx="15">
                  <c:v>-2.9757775686240375</c:v>
                </c:pt>
              </c:numCache>
            </c:numRef>
          </c:val>
        </c:ser>
        <c:ser>
          <c:idx val="1"/>
          <c:order val="1"/>
          <c:tx>
            <c:strRef>
              <c:f>'GGO(SQ) (SQ and Post SPF)'!$B$471</c:f>
              <c:strCache>
                <c:ptCount val="1"/>
                <c:pt idx="0">
                  <c:v>Scenario 2. Old-age universal pension (65+ as an objective in 2020)</c:v>
                </c:pt>
              </c:strCache>
            </c:strRef>
          </c:tx>
          <c:dLbls>
            <c:spPr>
              <a:noFill/>
              <a:ln w="25400">
                <a:noFill/>
              </a:ln>
            </c:spPr>
            <c:txPr>
              <a:bodyPr/>
              <a:lstStyle/>
              <a:p>
                <a:pPr>
                  <a:defRPr lang="en-GB"/>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SPF)'!$C$471:$R$471</c:f>
              <c:numCache>
                <c:formatCode>0.0</c:formatCode>
                <c:ptCount val="16"/>
                <c:pt idx="5">
                  <c:v>0</c:v>
                </c:pt>
                <c:pt idx="6">
                  <c:v>-9.8761085462372819E-2</c:v>
                </c:pt>
                <c:pt idx="7">
                  <c:v>-0.2310217328188236</c:v>
                </c:pt>
                <c:pt idx="8">
                  <c:v>-0.29001509507730311</c:v>
                </c:pt>
                <c:pt idx="9">
                  <c:v>-0.34484086873381609</c:v>
                </c:pt>
                <c:pt idx="10">
                  <c:v>-0.39882102290283655</c:v>
                </c:pt>
                <c:pt idx="11">
                  <c:v>-0.46914078369009687</c:v>
                </c:pt>
                <c:pt idx="12">
                  <c:v>-0.51119079212710039</c:v>
                </c:pt>
                <c:pt idx="13">
                  <c:v>-0.56402756459667358</c:v>
                </c:pt>
                <c:pt idx="14">
                  <c:v>-0.64109530194321163</c:v>
                </c:pt>
                <c:pt idx="15">
                  <c:v>-0.75516828554998428</c:v>
                </c:pt>
              </c:numCache>
            </c:numRef>
          </c:val>
        </c:ser>
        <c:ser>
          <c:idx val="2"/>
          <c:order val="2"/>
          <c:tx>
            <c:strRef>
              <c:f>'GGO(SQ) (SQ and Post SPF)'!$B$472</c:f>
              <c:strCache>
                <c:ptCount val="1"/>
                <c:pt idx="0">
                  <c:v>Scenario 2a. Child benefit (targeted for all poor children cash and kind )</c:v>
                </c:pt>
              </c:strCache>
            </c:strRef>
          </c:tx>
          <c:dLbls>
            <c:spPr>
              <a:noFill/>
              <a:ln w="25400">
                <a:noFill/>
              </a:ln>
            </c:spPr>
            <c:txPr>
              <a:bodyPr/>
              <a:lstStyle/>
              <a:p>
                <a:pPr>
                  <a:defRPr lang="en-GB"/>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SPF)'!$C$472:$R$472</c:f>
              <c:numCache>
                <c:formatCode>0.0</c:formatCode>
                <c:ptCount val="16"/>
                <c:pt idx="5">
                  <c:v>0</c:v>
                </c:pt>
                <c:pt idx="6">
                  <c:v>-0.23656098230020253</c:v>
                </c:pt>
                <c:pt idx="7">
                  <c:v>-0.47317831008327838</c:v>
                </c:pt>
                <c:pt idx="8">
                  <c:v>-0.54195122982304422</c:v>
                </c:pt>
                <c:pt idx="9">
                  <c:v>-0.59958036507729484</c:v>
                </c:pt>
                <c:pt idx="10">
                  <c:v>-0.74269096813190105</c:v>
                </c:pt>
                <c:pt idx="11">
                  <c:v>-0.8691432344746427</c:v>
                </c:pt>
                <c:pt idx="12">
                  <c:v>-0.8189414057595944</c:v>
                </c:pt>
                <c:pt idx="13">
                  <c:v>-0.77529649586100569</c:v>
                </c:pt>
                <c:pt idx="14">
                  <c:v>-0.73730811594077217</c:v>
                </c:pt>
                <c:pt idx="15">
                  <c:v>-0.70443414467270349</c:v>
                </c:pt>
              </c:numCache>
            </c:numRef>
          </c:val>
        </c:ser>
        <c:ser>
          <c:idx val="3"/>
          <c:order val="3"/>
          <c:tx>
            <c:strRef>
              <c:f>'GGO(SQ) (SQ and Post SPF)'!$B$474</c:f>
              <c:strCache>
                <c:ptCount val="1"/>
                <c:pt idx="0">
                  <c:v>Working-age income security</c:v>
                </c:pt>
              </c:strCache>
            </c:strRef>
          </c:tx>
          <c:dLbls>
            <c:spPr>
              <a:noFill/>
              <a:ln w="25400">
                <a:noFill/>
              </a:ln>
            </c:spPr>
            <c:txPr>
              <a:bodyPr/>
              <a:lstStyle/>
              <a:p>
                <a:pPr>
                  <a:defRPr lang="en-GB"/>
                </a:pPr>
                <a:endParaRPr lang="en-US"/>
              </a:p>
            </c:txPr>
            <c:showVal val="1"/>
          </c:dLbls>
          <c:cat>
            <c:numRef>
              <c:f>'GGO(SQ) (SQ and Post SPF)'!$C$468:$R$468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SPF)'!$C$474:$R$474</c:f>
              <c:numCache>
                <c:formatCode>0.0</c:formatCode>
                <c:ptCount val="16"/>
                <c:pt idx="5">
                  <c:v>0</c:v>
                </c:pt>
                <c:pt idx="6">
                  <c:v>-0.42390700550183824</c:v>
                </c:pt>
                <c:pt idx="7">
                  <c:v>-0.86247284695467974</c:v>
                </c:pt>
                <c:pt idx="8">
                  <c:v>-1.0048534111917509</c:v>
                </c:pt>
                <c:pt idx="9">
                  <c:v>-1.1379858403547507</c:v>
                </c:pt>
                <c:pt idx="10">
                  <c:v>-1.1024998034793752</c:v>
                </c:pt>
                <c:pt idx="11">
                  <c:v>-1.0766767531565706</c:v>
                </c:pt>
                <c:pt idx="12">
                  <c:v>-1.0539955292479177</c:v>
                </c:pt>
                <c:pt idx="13">
                  <c:v>-1.0325452416827277</c:v>
                </c:pt>
                <c:pt idx="14">
                  <c:v>-1.0125828141550952</c:v>
                </c:pt>
                <c:pt idx="15">
                  <c:v>-0.99461641629182718</c:v>
                </c:pt>
              </c:numCache>
            </c:numRef>
          </c:val>
        </c:ser>
        <c:gapWidth val="70"/>
        <c:overlap val="100"/>
        <c:axId val="139394432"/>
        <c:axId val="139273344"/>
      </c:barChart>
      <c:catAx>
        <c:axId val="139394432"/>
        <c:scaling>
          <c:orientation val="minMax"/>
        </c:scaling>
        <c:axPos val="b"/>
        <c:numFmt formatCode="General" sourceLinked="1"/>
        <c:tickLblPos val="high"/>
        <c:txPr>
          <a:bodyPr/>
          <a:lstStyle/>
          <a:p>
            <a:pPr>
              <a:defRPr lang="en-GB"/>
            </a:pPr>
            <a:endParaRPr lang="en-US"/>
          </a:p>
        </c:txPr>
        <c:crossAx val="139273344"/>
        <c:crosses val="autoZero"/>
        <c:auto val="1"/>
        <c:lblAlgn val="ctr"/>
        <c:lblOffset val="100"/>
      </c:catAx>
      <c:valAx>
        <c:axId val="139273344"/>
        <c:scaling>
          <c:orientation val="minMax"/>
        </c:scaling>
        <c:axPos val="l"/>
        <c:majorGridlines/>
        <c:title>
          <c:tx>
            <c:rich>
              <a:bodyPr/>
              <a:lstStyle/>
              <a:p>
                <a:pPr>
                  <a:defRPr lang="en-GB" sz="1000" b="1" i="0" u="none" strike="noStrike" baseline="0">
                    <a:solidFill>
                      <a:srgbClr val="000000"/>
                    </a:solidFill>
                    <a:latin typeface="Calibri"/>
                    <a:ea typeface="Calibri"/>
                    <a:cs typeface="Calibri"/>
                  </a:defRPr>
                </a:pPr>
                <a:r>
                  <a:t>As a percentage of GDP</a:t>
                </a:r>
              </a:p>
            </c:rich>
          </c:tx>
          <c:layout>
            <c:manualLayout>
              <c:xMode val="edge"/>
              <c:yMode val="edge"/>
              <c:x val="3.3703802409314441E-2"/>
              <c:y val="0.3136752009772375"/>
            </c:manualLayout>
          </c:layout>
          <c:spPr>
            <a:noFill/>
            <a:ln w="25400">
              <a:noFill/>
            </a:ln>
          </c:spPr>
        </c:title>
        <c:numFmt formatCode="0.0" sourceLinked="1"/>
        <c:tickLblPos val="nextTo"/>
        <c:spPr>
          <a:ln>
            <a:noFill/>
          </a:ln>
        </c:spPr>
        <c:txPr>
          <a:bodyPr/>
          <a:lstStyle/>
          <a:p>
            <a:pPr>
              <a:defRPr lang="en-GB"/>
            </a:pPr>
            <a:endParaRPr lang="en-US"/>
          </a:p>
        </c:txPr>
        <c:crossAx val="139394432"/>
        <c:crosses val="autoZero"/>
        <c:crossBetween val="between"/>
      </c:valAx>
    </c:plotArea>
    <c:legend>
      <c:legendPos val="r"/>
      <c:layout>
        <c:manualLayout>
          <c:xMode val="edge"/>
          <c:yMode val="edge"/>
          <c:x val="6.666666666666668E-2"/>
          <c:y val="0.83176100628931104"/>
          <c:w val="0.90974358974358971"/>
          <c:h val="0.12578616352201274"/>
        </c:manualLayout>
      </c:layout>
      <c:txPr>
        <a:bodyPr/>
        <a:lstStyle/>
        <a:p>
          <a:pPr>
            <a:defRPr lang="en-GB"/>
          </a:pPr>
          <a:endParaRPr lang="en-US"/>
        </a:p>
      </c:txPr>
    </c:legend>
    <c:plotVisOnly val="1"/>
    <c:dispBlanksAs val="gap"/>
  </c:chart>
</c:chartSpace>
</file>

<file path=xl/charts/chart67.xml><?xml version="1.0" encoding="utf-8"?>
<c:chartSpace xmlns:c="http://schemas.openxmlformats.org/drawingml/2006/chart" xmlns:a="http://schemas.openxmlformats.org/drawingml/2006/main" xmlns:r="http://schemas.openxmlformats.org/officeDocument/2006/relationships">
  <c:lang val="en-GB"/>
  <c:style val="4"/>
  <c:chart>
    <c:title>
      <c:tx>
        <c:rich>
          <a:bodyPr/>
          <a:lstStyle/>
          <a:p>
            <a:pPr>
              <a:defRPr lang="en-GB" sz="1000"/>
            </a:pPr>
            <a:r>
              <a:rPr lang="en-US" sz="1000"/>
              <a:t>General government fiscal balance (IMF) - from the STATUS QUO scenario to SP provision to fill the gaps regarding the SPF guarantees  </a:t>
            </a:r>
            <a:r>
              <a:rPr lang="en-US" sz="1000" b="0"/>
              <a:t>as a percentage of Government</a:t>
            </a:r>
            <a:r>
              <a:rPr lang="en-US" sz="1000" b="0" baseline="0"/>
              <a:t> expenditure (including new provisions)</a:t>
            </a:r>
            <a:endParaRPr lang="en-US" sz="1000" b="0"/>
          </a:p>
          <a:p>
            <a:pPr>
              <a:defRPr lang="en-GB" sz="1000"/>
            </a:pPr>
            <a:r>
              <a:rPr lang="en-US" sz="1000"/>
              <a:t>if status quo included in IMF data -- to be confirme</a:t>
            </a:r>
          </a:p>
        </c:rich>
      </c:tx>
      <c:layout>
        <c:manualLayout>
          <c:xMode val="edge"/>
          <c:yMode val="edge"/>
          <c:x val="0.11454725082441618"/>
          <c:y val="8.6957526535598548E-3"/>
        </c:manualLayout>
      </c:layout>
      <c:overlay val="1"/>
      <c:spPr>
        <a:noFill/>
        <a:ln w="25400">
          <a:noFill/>
        </a:ln>
      </c:spPr>
    </c:title>
    <c:plotArea>
      <c:layout>
        <c:manualLayout>
          <c:layoutTarget val="inner"/>
          <c:xMode val="edge"/>
          <c:yMode val="edge"/>
          <c:x val="0.10632797273967129"/>
          <c:y val="0.23917440717714064"/>
          <c:w val="0.86688405707529215"/>
          <c:h val="0.52099991334524565"/>
        </c:manualLayout>
      </c:layout>
      <c:barChart>
        <c:barDir val="col"/>
        <c:grouping val="stacked"/>
        <c:ser>
          <c:idx val="0"/>
          <c:order val="0"/>
          <c:tx>
            <c:strRef>
              <c:f>'GGO(SQ) (SQ and Post SPF)'!$B$485</c:f>
              <c:strCache>
                <c:ptCount val="1"/>
                <c:pt idx="0">
                  <c:v>General government fiscal balance (IMF) - STATUS QUO</c:v>
                </c:pt>
              </c:strCache>
            </c:strRef>
          </c:tx>
          <c:spPr>
            <a:solidFill>
              <a:schemeClr val="accent1">
                <a:lumMod val="75000"/>
              </a:schemeClr>
            </a:solidFill>
          </c:spPr>
          <c:dLbls>
            <c:numFmt formatCode="#,##0.0" sourceLinked="0"/>
            <c:spPr>
              <a:noFill/>
              <a:ln w="25400">
                <a:noFill/>
              </a:ln>
            </c:spPr>
            <c:txPr>
              <a:bodyPr rot="-5400000" vert="horz"/>
              <a:lstStyle/>
              <a:p>
                <a:pPr>
                  <a:defRPr lang="en-GB" b="1">
                    <a:solidFill>
                      <a:schemeClr val="accent1">
                        <a:lumMod val="20000"/>
                        <a:lumOff val="80000"/>
                      </a:schemeClr>
                    </a:solidFill>
                  </a:defRPr>
                </a:pPr>
                <a:endParaRPr lang="en-US"/>
              </a:p>
            </c:txPr>
            <c:showVal val="1"/>
          </c:dLbls>
          <c:cat>
            <c:numRef>
              <c:f>'GGO(SQ) (SQ and Post SPF)'!$C$484:$R$484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SPF)'!$C$485:$R$485</c:f>
              <c:numCache>
                <c:formatCode>0.0</c:formatCode>
                <c:ptCount val="16"/>
                <c:pt idx="0">
                  <c:v>-10.79236917967382</c:v>
                </c:pt>
                <c:pt idx="1">
                  <c:v>-0.70843370069564349</c:v>
                </c:pt>
                <c:pt idx="2">
                  <c:v>-8.1305810868753969</c:v>
                </c:pt>
                <c:pt idx="3">
                  <c:v>-3.9599161190951206</c:v>
                </c:pt>
                <c:pt idx="4">
                  <c:v>-25.213762518226641</c:v>
                </c:pt>
                <c:pt idx="5">
                  <c:v>-18.547084492579351</c:v>
                </c:pt>
                <c:pt idx="6">
                  <c:v>-12.411240956104939</c:v>
                </c:pt>
                <c:pt idx="7">
                  <c:v>-11.794362183230312</c:v>
                </c:pt>
                <c:pt idx="8">
                  <c:v>-11.247279524464748</c:v>
                </c:pt>
                <c:pt idx="9">
                  <c:v>-10.599690483101661</c:v>
                </c:pt>
                <c:pt idx="10">
                  <c:v>-9.6438653080861592</c:v>
                </c:pt>
                <c:pt idx="11">
                  <c:v>-9.3730962233885258</c:v>
                </c:pt>
                <c:pt idx="12">
                  <c:v>-9.6862443888778209</c:v>
                </c:pt>
                <c:pt idx="13">
                  <c:v>-9.607815873685368</c:v>
                </c:pt>
                <c:pt idx="14">
                  <c:v>-9.6166425181921387</c:v>
                </c:pt>
                <c:pt idx="15">
                  <c:v>-9.6510443709312757</c:v>
                </c:pt>
              </c:numCache>
            </c:numRef>
          </c:val>
        </c:ser>
        <c:ser>
          <c:idx val="1"/>
          <c:order val="1"/>
          <c:tx>
            <c:strRef>
              <c:f>'GGO(SQ) (SQ and Post SPF)'!$B$486</c:f>
              <c:strCache>
                <c:ptCount val="1"/>
                <c:pt idx="0">
                  <c:v>Scenario 1. Old-age  pension for elderly not covered by contributory scheme (65+ as an objective in 2020)</c:v>
                </c:pt>
              </c:strCache>
            </c:strRef>
          </c:tx>
          <c:dLbls>
            <c:dLbl>
              <c:idx val="0"/>
              <c:delete val="1"/>
            </c:dLbl>
            <c:dLbl>
              <c:idx val="1"/>
              <c:delete val="1"/>
            </c:dLbl>
            <c:dLbl>
              <c:idx val="2"/>
              <c:delete val="1"/>
            </c:dLbl>
            <c:dLbl>
              <c:idx val="3"/>
              <c:delete val="1"/>
            </c:dLbl>
            <c:dLbl>
              <c:idx val="4"/>
              <c:delete val="1"/>
            </c:dLbl>
            <c:dLbl>
              <c:idx val="5"/>
              <c:delete val="1"/>
            </c:dLbl>
            <c:spPr>
              <a:noFill/>
              <a:ln w="25400">
                <a:noFill/>
              </a:ln>
            </c:spPr>
            <c:txPr>
              <a:bodyPr/>
              <a:lstStyle/>
              <a:p>
                <a:pPr>
                  <a:defRPr lang="en-GB" b="1"/>
                </a:pPr>
                <a:endParaRPr lang="en-US"/>
              </a:p>
            </c:txPr>
            <c:showVal val="1"/>
          </c:dLbls>
          <c:cat>
            <c:numRef>
              <c:f>'GGO(SQ) (SQ and Post SPF)'!$C$484:$R$484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SPF)'!$C$486:$R$486</c:f>
              <c:numCache>
                <c:formatCode>0.0</c:formatCode>
                <c:ptCount val="16"/>
                <c:pt idx="0">
                  <c:v>0</c:v>
                </c:pt>
                <c:pt idx="1">
                  <c:v>0</c:v>
                </c:pt>
                <c:pt idx="2">
                  <c:v>0</c:v>
                </c:pt>
                <c:pt idx="3">
                  <c:v>0</c:v>
                </c:pt>
                <c:pt idx="4">
                  <c:v>0</c:v>
                </c:pt>
                <c:pt idx="5">
                  <c:v>0</c:v>
                </c:pt>
                <c:pt idx="6">
                  <c:v>-0.24109601859784685</c:v>
                </c:pt>
                <c:pt idx="7">
                  <c:v>-0.54079789046632254</c:v>
                </c:pt>
                <c:pt idx="8">
                  <c:v>-0.6975441105651683</c:v>
                </c:pt>
                <c:pt idx="9">
                  <c:v>-0.87667652614225133</c:v>
                </c:pt>
                <c:pt idx="10">
                  <c:v>-1.020675747234647</c:v>
                </c:pt>
                <c:pt idx="11">
                  <c:v>-1.2096776296827865</c:v>
                </c:pt>
                <c:pt idx="12">
                  <c:v>-1.4075682637250362</c:v>
                </c:pt>
                <c:pt idx="13">
                  <c:v>-1.5683937562422172</c:v>
                </c:pt>
                <c:pt idx="14">
                  <c:v>-1.8121078388467653</c:v>
                </c:pt>
                <c:pt idx="15">
                  <c:v>-1.9540368752558772</c:v>
                </c:pt>
              </c:numCache>
            </c:numRef>
          </c:val>
        </c:ser>
        <c:ser>
          <c:idx val="2"/>
          <c:order val="2"/>
          <c:tx>
            <c:strRef>
              <c:f>'GGO(SQ) (SQ and Post SPF)'!$B$489</c:f>
              <c:strCache>
                <c:ptCount val="1"/>
                <c:pt idx="0">
                  <c:v>Scenario 2b Child benefit (targeted cash and kind) but limited to 2 children</c:v>
                </c:pt>
              </c:strCache>
            </c:strRef>
          </c:tx>
          <c:dLbls>
            <c:dLbl>
              <c:idx val="0"/>
              <c:delete val="1"/>
            </c:dLbl>
            <c:dLbl>
              <c:idx val="1"/>
              <c:delete val="1"/>
            </c:dLbl>
            <c:dLbl>
              <c:idx val="2"/>
              <c:delete val="1"/>
            </c:dLbl>
            <c:dLbl>
              <c:idx val="3"/>
              <c:delete val="1"/>
            </c:dLbl>
            <c:dLbl>
              <c:idx val="4"/>
              <c:delete val="1"/>
            </c:dLbl>
            <c:dLbl>
              <c:idx val="5"/>
              <c:delete val="1"/>
            </c:dLbl>
            <c:spPr>
              <a:noFill/>
              <a:ln w="25400">
                <a:noFill/>
              </a:ln>
            </c:spPr>
            <c:txPr>
              <a:bodyPr/>
              <a:lstStyle/>
              <a:p>
                <a:pPr>
                  <a:defRPr lang="en-GB" b="1"/>
                </a:pPr>
                <a:endParaRPr lang="en-US"/>
              </a:p>
            </c:txPr>
            <c:showVal val="1"/>
          </c:dLbls>
          <c:cat>
            <c:numRef>
              <c:f>'GGO(SQ) (SQ and Post SPF)'!$C$484:$R$484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SPF)'!$C$489:$R$489</c:f>
              <c:numCache>
                <c:formatCode>0.0</c:formatCode>
                <c:ptCount val="16"/>
                <c:pt idx="0">
                  <c:v>0</c:v>
                </c:pt>
                <c:pt idx="1">
                  <c:v>0</c:v>
                </c:pt>
                <c:pt idx="2">
                  <c:v>0</c:v>
                </c:pt>
                <c:pt idx="3">
                  <c:v>0</c:v>
                </c:pt>
                <c:pt idx="4">
                  <c:v>0</c:v>
                </c:pt>
                <c:pt idx="5">
                  <c:v>0</c:v>
                </c:pt>
                <c:pt idx="6">
                  <c:v>-0.40459528186984522</c:v>
                </c:pt>
                <c:pt idx="7">
                  <c:v>-0.8007050412660186</c:v>
                </c:pt>
                <c:pt idx="8">
                  <c:v>-0.92360602729055585</c:v>
                </c:pt>
                <c:pt idx="9">
                  <c:v>-1.0269523671999294</c:v>
                </c:pt>
                <c:pt idx="10">
                  <c:v>-1.2788928857481672</c:v>
                </c:pt>
                <c:pt idx="11">
                  <c:v>-1.5072574723518279</c:v>
                </c:pt>
                <c:pt idx="12">
                  <c:v>-1.4271152451229658</c:v>
                </c:pt>
                <c:pt idx="13">
                  <c:v>-1.3609536250515546</c:v>
                </c:pt>
                <c:pt idx="14">
                  <c:v>-1.3034853728424356</c:v>
                </c:pt>
                <c:pt idx="15">
                  <c:v>-1.2541624826145834</c:v>
                </c:pt>
              </c:numCache>
            </c:numRef>
          </c:val>
        </c:ser>
        <c:ser>
          <c:idx val="3"/>
          <c:order val="3"/>
          <c:tx>
            <c:strRef>
              <c:f>'GGO(SQ) (SQ and Post SPF)'!$B$490</c:f>
              <c:strCache>
                <c:ptCount val="1"/>
                <c:pt idx="0">
                  <c:v>Working age income security (scenario 1 - high cost )</c:v>
                </c:pt>
              </c:strCache>
            </c:strRef>
          </c:tx>
          <c:dLbls>
            <c:dLbl>
              <c:idx val="0"/>
              <c:delete val="1"/>
            </c:dLbl>
            <c:dLbl>
              <c:idx val="1"/>
              <c:delete val="1"/>
            </c:dLbl>
            <c:dLbl>
              <c:idx val="2"/>
              <c:delete val="1"/>
            </c:dLbl>
            <c:dLbl>
              <c:idx val="3"/>
              <c:delete val="1"/>
            </c:dLbl>
            <c:dLbl>
              <c:idx val="4"/>
              <c:delete val="1"/>
            </c:dLbl>
            <c:dLbl>
              <c:idx val="5"/>
              <c:delete val="1"/>
            </c:dLbl>
            <c:spPr>
              <a:noFill/>
              <a:ln w="25400">
                <a:noFill/>
              </a:ln>
            </c:spPr>
            <c:txPr>
              <a:bodyPr/>
              <a:lstStyle/>
              <a:p>
                <a:pPr>
                  <a:defRPr lang="en-GB" b="1"/>
                </a:pPr>
                <a:endParaRPr lang="en-US"/>
              </a:p>
            </c:txPr>
            <c:showVal val="1"/>
          </c:dLbls>
          <c:cat>
            <c:numRef>
              <c:f>'GGO(SQ) (SQ and Post SPF)'!$C$484:$R$484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'GGO(SQ) (SQ and Post SPF)'!$C$490:$R$490</c:f>
              <c:numCache>
                <c:formatCode>0.0</c:formatCode>
                <c:ptCount val="16"/>
                <c:pt idx="0">
                  <c:v>0</c:v>
                </c:pt>
                <c:pt idx="1">
                  <c:v>0</c:v>
                </c:pt>
                <c:pt idx="2">
                  <c:v>0</c:v>
                </c:pt>
                <c:pt idx="3">
                  <c:v>0</c:v>
                </c:pt>
                <c:pt idx="4">
                  <c:v>0</c:v>
                </c:pt>
                <c:pt idx="5">
                  <c:v>0</c:v>
                </c:pt>
                <c:pt idx="6">
                  <c:v>-1.3362963424021002</c:v>
                </c:pt>
                <c:pt idx="7">
                  <c:v>-2.707547142396975</c:v>
                </c:pt>
                <c:pt idx="8">
                  <c:v>-3.1706611204166153</c:v>
                </c:pt>
                <c:pt idx="9">
                  <c:v>-3.6010668846984868</c:v>
                </c:pt>
                <c:pt idx="10">
                  <c:v>-3.4996788509966543</c:v>
                </c:pt>
                <c:pt idx="11">
                  <c:v>-3.4339671663446336</c:v>
                </c:pt>
                <c:pt idx="12">
                  <c:v>-3.3700258594786057</c:v>
                </c:pt>
                <c:pt idx="13">
                  <c:v>-3.3176762917157725</c:v>
                </c:pt>
                <c:pt idx="14">
                  <c:v>-3.2688319733325653</c:v>
                </c:pt>
                <c:pt idx="15">
                  <c:v>-3.2257408170892203</c:v>
                </c:pt>
              </c:numCache>
            </c:numRef>
          </c:val>
        </c:ser>
        <c:gapWidth val="49"/>
        <c:overlap val="100"/>
        <c:axId val="139409280"/>
        <c:axId val="139410816"/>
      </c:barChart>
      <c:catAx>
        <c:axId val="139409280"/>
        <c:scaling>
          <c:orientation val="minMax"/>
        </c:scaling>
        <c:axPos val="b"/>
        <c:numFmt formatCode="General" sourceLinked="1"/>
        <c:tickLblPos val="high"/>
        <c:txPr>
          <a:bodyPr/>
          <a:lstStyle/>
          <a:p>
            <a:pPr>
              <a:defRPr lang="en-GB"/>
            </a:pPr>
            <a:endParaRPr lang="en-US"/>
          </a:p>
        </c:txPr>
        <c:crossAx val="139410816"/>
        <c:crosses val="autoZero"/>
        <c:auto val="1"/>
        <c:lblAlgn val="ctr"/>
        <c:lblOffset val="100"/>
      </c:catAx>
      <c:valAx>
        <c:axId val="139410816"/>
        <c:scaling>
          <c:orientation val="minMax"/>
        </c:scaling>
        <c:axPos val="l"/>
        <c:majorGridlines/>
        <c:title>
          <c:tx>
            <c:rich>
              <a:bodyPr/>
              <a:lstStyle/>
              <a:p>
                <a:pPr>
                  <a:defRPr lang="en-GB" sz="1000" b="1" i="0" u="none" strike="noStrike" baseline="0">
                    <a:solidFill>
                      <a:srgbClr val="000000"/>
                    </a:solidFill>
                    <a:latin typeface="Calibri"/>
                    <a:ea typeface="Calibri"/>
                    <a:cs typeface="Calibri"/>
                  </a:defRPr>
                </a:pPr>
                <a:r>
                  <a:t>As a percentage of General government expenditure</a:t>
                </a:r>
              </a:p>
            </c:rich>
          </c:tx>
          <c:layout>
            <c:manualLayout>
              <c:xMode val="edge"/>
              <c:yMode val="edge"/>
              <c:x val="1.046573793660408E-2"/>
              <c:y val="0.3136752009772375"/>
            </c:manualLayout>
          </c:layout>
          <c:spPr>
            <a:noFill/>
            <a:ln w="25400">
              <a:noFill/>
            </a:ln>
          </c:spPr>
        </c:title>
        <c:numFmt formatCode="0.0" sourceLinked="1"/>
        <c:tickLblPos val="nextTo"/>
        <c:spPr>
          <a:ln>
            <a:noFill/>
          </a:ln>
        </c:spPr>
        <c:txPr>
          <a:bodyPr/>
          <a:lstStyle/>
          <a:p>
            <a:pPr>
              <a:defRPr lang="en-GB"/>
            </a:pPr>
            <a:endParaRPr lang="en-US"/>
          </a:p>
        </c:txPr>
        <c:crossAx val="139409280"/>
        <c:crosses val="autoZero"/>
        <c:crossBetween val="between"/>
      </c:valAx>
    </c:plotArea>
    <c:legend>
      <c:legendPos val="r"/>
      <c:layout>
        <c:manualLayout>
          <c:xMode val="edge"/>
          <c:yMode val="edge"/>
          <c:x val="7.179487179487179E-2"/>
          <c:y val="0.83018867924528361"/>
          <c:w val="0.90974358974358971"/>
          <c:h val="0.12578616352201274"/>
        </c:manualLayout>
      </c:layout>
      <c:txPr>
        <a:bodyPr/>
        <a:lstStyle/>
        <a:p>
          <a:pPr>
            <a:defRPr lang="en-GB"/>
          </a:pPr>
          <a:endParaRPr lang="en-US"/>
        </a:p>
      </c:txPr>
    </c:legend>
    <c:plotVisOnly val="1"/>
    <c:dispBlanksAs val="gap"/>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tabColor theme="3" tint="-0.249977111117893"/>
  </sheetPr>
  <sheetViews>
    <sheetView zoomScale="12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3" tint="-0.249977111117893"/>
  </sheetPr>
  <sheetViews>
    <sheetView zoomScale="122" workbookViewId="0"/>
  </sheetViews>
  <pageMargins left="0.7" right="0.7" top="0.75" bottom="0.75" header="0.3" footer="0.3"/>
  <pageSetup paperSize="9" orientation="landscape" verticalDpi="1200" r:id="rId1"/>
  <drawing r:id="rId2"/>
</chartsheet>
</file>

<file path=xl/chartsheets/sheet3.xml><?xml version="1.0" encoding="utf-8"?>
<chartsheet xmlns="http://schemas.openxmlformats.org/spreadsheetml/2006/main" xmlns:r="http://schemas.openxmlformats.org/officeDocument/2006/relationships">
  <sheetPr>
    <tabColor theme="3" tint="-0.249977111117893"/>
  </sheetPr>
  <sheetViews>
    <sheetView zoomScale="122" workbookViewId="0"/>
  </sheetViews>
  <pageMargins left="0.7" right="0.7" top="0.75" bottom="0.75" header="0.3" footer="0.3"/>
  <pageSetup paperSize="9" orientation="landscape" verticalDpi="1200" r:id="rId1"/>
  <drawing r:id="rId2"/>
</chartsheet>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chart" Target="../charts/chart34.xml"/><Relationship Id="rId26" Type="http://schemas.openxmlformats.org/officeDocument/2006/relationships/chart" Target="../charts/chart42.xml"/><Relationship Id="rId3" Type="http://schemas.openxmlformats.org/officeDocument/2006/relationships/chart" Target="../charts/chart19.xml"/><Relationship Id="rId21" Type="http://schemas.openxmlformats.org/officeDocument/2006/relationships/chart" Target="../charts/chart37.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chart" Target="../charts/chart33.xml"/><Relationship Id="rId25" Type="http://schemas.openxmlformats.org/officeDocument/2006/relationships/chart" Target="../charts/chart41.xml"/><Relationship Id="rId2" Type="http://schemas.openxmlformats.org/officeDocument/2006/relationships/chart" Target="../charts/chart18.xml"/><Relationship Id="rId16" Type="http://schemas.openxmlformats.org/officeDocument/2006/relationships/chart" Target="../charts/chart32.xml"/><Relationship Id="rId20" Type="http://schemas.openxmlformats.org/officeDocument/2006/relationships/chart" Target="../charts/chart36.xml"/><Relationship Id="rId29" Type="http://schemas.openxmlformats.org/officeDocument/2006/relationships/chart" Target="../charts/chart45.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24" Type="http://schemas.openxmlformats.org/officeDocument/2006/relationships/chart" Target="../charts/chart40.xml"/><Relationship Id="rId5" Type="http://schemas.openxmlformats.org/officeDocument/2006/relationships/chart" Target="../charts/chart21.xml"/><Relationship Id="rId15" Type="http://schemas.openxmlformats.org/officeDocument/2006/relationships/chart" Target="../charts/chart31.xml"/><Relationship Id="rId23" Type="http://schemas.openxmlformats.org/officeDocument/2006/relationships/chart" Target="../charts/chart39.xml"/><Relationship Id="rId28" Type="http://schemas.openxmlformats.org/officeDocument/2006/relationships/chart" Target="../charts/chart44.xml"/><Relationship Id="rId10" Type="http://schemas.openxmlformats.org/officeDocument/2006/relationships/chart" Target="../charts/chart26.xml"/><Relationship Id="rId19" Type="http://schemas.openxmlformats.org/officeDocument/2006/relationships/chart" Target="../charts/chart35.xml"/><Relationship Id="rId31" Type="http://schemas.openxmlformats.org/officeDocument/2006/relationships/chart" Target="../charts/chart47.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 Id="rId22" Type="http://schemas.openxmlformats.org/officeDocument/2006/relationships/chart" Target="../charts/chart38.xml"/><Relationship Id="rId27" Type="http://schemas.openxmlformats.org/officeDocument/2006/relationships/chart" Target="../charts/chart43.xml"/><Relationship Id="rId30" Type="http://schemas.openxmlformats.org/officeDocument/2006/relationships/chart" Target="../charts/chart46.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55.xml"/><Relationship Id="rId3" Type="http://schemas.openxmlformats.org/officeDocument/2006/relationships/chart" Target="../charts/chart50.xml"/><Relationship Id="rId7" Type="http://schemas.openxmlformats.org/officeDocument/2006/relationships/chart" Target="../charts/chart54.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5" Type="http://schemas.openxmlformats.org/officeDocument/2006/relationships/chart" Target="../charts/chart52.xml"/><Relationship Id="rId4" Type="http://schemas.openxmlformats.org/officeDocument/2006/relationships/chart" Target="../charts/chart51.xml"/><Relationship Id="rId9" Type="http://schemas.openxmlformats.org/officeDocument/2006/relationships/chart" Target="../charts/chart5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chart" Target="../charts/chart62.xml"/><Relationship Id="rId5" Type="http://schemas.openxmlformats.org/officeDocument/2006/relationships/chart" Target="../charts/chart61.xml"/><Relationship Id="rId4" Type="http://schemas.openxmlformats.org/officeDocument/2006/relationships/chart" Target="../charts/chart6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67.xml"/></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66675</xdr:rowOff>
    </xdr:from>
    <xdr:to>
      <xdr:col>1</xdr:col>
      <xdr:colOff>447675</xdr:colOff>
      <xdr:row>3</xdr:row>
      <xdr:rowOff>0</xdr:rowOff>
    </xdr:to>
    <xdr:pic>
      <xdr:nvPicPr>
        <xdr:cNvPr id="1228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80975" y="66675"/>
          <a:ext cx="914400" cy="771525"/>
        </a:xfrm>
        <a:prstGeom prst="rect">
          <a:avLst/>
        </a:prstGeom>
        <a:noFill/>
        <a:ln w="1">
          <a:noFill/>
          <a:miter lim="800000"/>
          <a:headEnd/>
          <a:tailEnd/>
        </a:ln>
      </xdr:spPr>
    </xdr:pic>
    <xdr:clientData/>
  </xdr:twoCellAnchor>
  <xdr:twoCellAnchor editAs="oneCell">
    <xdr:from>
      <xdr:col>2</xdr:col>
      <xdr:colOff>57150</xdr:colOff>
      <xdr:row>177</xdr:row>
      <xdr:rowOff>95250</xdr:rowOff>
    </xdr:from>
    <xdr:to>
      <xdr:col>6</xdr:col>
      <xdr:colOff>400050</xdr:colOff>
      <xdr:row>178</xdr:row>
      <xdr:rowOff>0</xdr:rowOff>
    </xdr:to>
    <xdr:pic>
      <xdr:nvPicPr>
        <xdr:cNvPr id="1229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52550" y="46224825"/>
          <a:ext cx="2933700" cy="219075"/>
        </a:xfrm>
        <a:prstGeom prst="rect">
          <a:avLst/>
        </a:prstGeom>
        <a:noFill/>
        <a:ln w="9525">
          <a:noFill/>
          <a:miter lim="800000"/>
          <a:headEnd/>
          <a:tailEnd/>
        </a:ln>
      </xdr:spPr>
    </xdr:pic>
    <xdr:clientData/>
  </xdr:twoCellAnchor>
  <xdr:twoCellAnchor editAs="oneCell">
    <xdr:from>
      <xdr:col>2</xdr:col>
      <xdr:colOff>238125</xdr:colOff>
      <xdr:row>182</xdr:row>
      <xdr:rowOff>114300</xdr:rowOff>
    </xdr:from>
    <xdr:to>
      <xdr:col>6</xdr:col>
      <xdr:colOff>409575</xdr:colOff>
      <xdr:row>183</xdr:row>
      <xdr:rowOff>0</xdr:rowOff>
    </xdr:to>
    <xdr:pic>
      <xdr:nvPicPr>
        <xdr:cNvPr id="12291"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1533525" y="47634525"/>
          <a:ext cx="2762250" cy="266700"/>
        </a:xfrm>
        <a:prstGeom prst="rect">
          <a:avLst/>
        </a:prstGeom>
        <a:noFill/>
        <a:ln w="9525">
          <a:noFill/>
          <a:miter lim="800000"/>
          <a:headEnd/>
          <a:tailEnd/>
        </a:ln>
      </xdr:spPr>
    </xdr:pic>
    <xdr:clientData/>
  </xdr:twoCellAnchor>
  <xdr:twoCellAnchor editAs="oneCell">
    <xdr:from>
      <xdr:col>2</xdr:col>
      <xdr:colOff>295275</xdr:colOff>
      <xdr:row>186</xdr:row>
      <xdr:rowOff>133350</xdr:rowOff>
    </xdr:from>
    <xdr:to>
      <xdr:col>6</xdr:col>
      <xdr:colOff>419100</xdr:colOff>
      <xdr:row>187</xdr:row>
      <xdr:rowOff>0</xdr:rowOff>
    </xdr:to>
    <xdr:pic>
      <xdr:nvPicPr>
        <xdr:cNvPr id="12292"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1590675" y="49110900"/>
          <a:ext cx="2714625" cy="247650"/>
        </a:xfrm>
        <a:prstGeom prst="rect">
          <a:avLst/>
        </a:prstGeom>
        <a:noFill/>
        <a:ln w="9525">
          <a:noFill/>
          <a:miter lim="800000"/>
          <a:headEnd/>
          <a:tailEnd/>
        </a:ln>
      </xdr:spPr>
    </xdr:pic>
    <xdr:clientData/>
  </xdr:twoCellAnchor>
  <xdr:twoCellAnchor editAs="oneCell">
    <xdr:from>
      <xdr:col>1</xdr:col>
      <xdr:colOff>590550</xdr:colOff>
      <xdr:row>190</xdr:row>
      <xdr:rowOff>133350</xdr:rowOff>
    </xdr:from>
    <xdr:to>
      <xdr:col>6</xdr:col>
      <xdr:colOff>400050</xdr:colOff>
      <xdr:row>191</xdr:row>
      <xdr:rowOff>0</xdr:rowOff>
    </xdr:to>
    <xdr:pic>
      <xdr:nvPicPr>
        <xdr:cNvPr id="12293"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1238250" y="50758725"/>
          <a:ext cx="3048000" cy="247650"/>
        </a:xfrm>
        <a:prstGeom prst="rect">
          <a:avLst/>
        </a:prstGeom>
        <a:noFill/>
        <a:ln w="9525">
          <a:noFill/>
          <a:miter lim="800000"/>
          <a:headEnd/>
          <a:tailEnd/>
        </a:ln>
      </xdr:spPr>
    </xdr:pic>
    <xdr:clientData/>
  </xdr:twoCellAnchor>
  <xdr:twoCellAnchor editAs="oneCell">
    <xdr:from>
      <xdr:col>1</xdr:col>
      <xdr:colOff>552450</xdr:colOff>
      <xdr:row>194</xdr:row>
      <xdr:rowOff>85725</xdr:rowOff>
    </xdr:from>
    <xdr:to>
      <xdr:col>6</xdr:col>
      <xdr:colOff>390525</xdr:colOff>
      <xdr:row>194</xdr:row>
      <xdr:rowOff>895350</xdr:rowOff>
    </xdr:to>
    <xdr:pic>
      <xdr:nvPicPr>
        <xdr:cNvPr id="12294"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1200150" y="52739925"/>
          <a:ext cx="3076575" cy="809625"/>
        </a:xfrm>
        <a:prstGeom prst="rect">
          <a:avLst/>
        </a:prstGeom>
        <a:noFill/>
        <a:ln w="9525">
          <a:noFill/>
          <a:miter lim="800000"/>
          <a:headEnd/>
          <a:tailEnd/>
        </a:ln>
      </xdr:spPr>
    </xdr:pic>
    <xdr:clientData/>
  </xdr:twoCellAnchor>
  <xdr:twoCellAnchor editAs="oneCell">
    <xdr:from>
      <xdr:col>0</xdr:col>
      <xdr:colOff>609600</xdr:colOff>
      <xdr:row>104</xdr:row>
      <xdr:rowOff>104775</xdr:rowOff>
    </xdr:from>
    <xdr:to>
      <xdr:col>7</xdr:col>
      <xdr:colOff>209550</xdr:colOff>
      <xdr:row>123</xdr:row>
      <xdr:rowOff>47625</xdr:rowOff>
    </xdr:to>
    <xdr:pic>
      <xdr:nvPicPr>
        <xdr:cNvPr id="12295"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609600" y="29632275"/>
          <a:ext cx="4133850" cy="3562350"/>
        </a:xfrm>
        <a:prstGeom prst="rect">
          <a:avLst/>
        </a:prstGeom>
        <a:noFill/>
        <a:ln w="9525">
          <a:noFill/>
          <a:miter lim="800000"/>
          <a:headEnd/>
          <a:tailEnd/>
        </a:ln>
      </xdr:spPr>
    </xdr:pic>
    <xdr:clientData/>
  </xdr:twoCellAnchor>
  <xdr:twoCellAnchor editAs="oneCell">
    <xdr:from>
      <xdr:col>0</xdr:col>
      <xdr:colOff>57150</xdr:colOff>
      <xdr:row>81</xdr:row>
      <xdr:rowOff>28575</xdr:rowOff>
    </xdr:from>
    <xdr:to>
      <xdr:col>9</xdr:col>
      <xdr:colOff>0</xdr:colOff>
      <xdr:row>100</xdr:row>
      <xdr:rowOff>76200</xdr:rowOff>
    </xdr:to>
    <xdr:pic>
      <xdr:nvPicPr>
        <xdr:cNvPr id="12296" name="Picture 5"/>
        <xdr:cNvPicPr>
          <a:picLocks noChangeAspect="1" noChangeArrowheads="1"/>
        </xdr:cNvPicPr>
      </xdr:nvPicPr>
      <xdr:blipFill>
        <a:blip xmlns:r="http://schemas.openxmlformats.org/officeDocument/2006/relationships" r:embed="rId8" cstate="print"/>
        <a:srcRect/>
        <a:stretch>
          <a:fillRect/>
        </a:stretch>
      </xdr:blipFill>
      <xdr:spPr bwMode="auto">
        <a:xfrm>
          <a:off x="57150" y="23460075"/>
          <a:ext cx="5772150" cy="3667125"/>
        </a:xfrm>
        <a:prstGeom prst="rect">
          <a:avLst/>
        </a:prstGeom>
        <a:noFill/>
        <a:ln w="9525">
          <a:noFill/>
          <a:miter lim="800000"/>
          <a:headEnd/>
          <a:tailEnd/>
        </a:ln>
      </xdr:spPr>
    </xdr:pic>
    <xdr:clientData/>
  </xdr:twoCellAnchor>
  <xdr:twoCellAnchor editAs="oneCell">
    <xdr:from>
      <xdr:col>0</xdr:col>
      <xdr:colOff>314325</xdr:colOff>
      <xdr:row>60</xdr:row>
      <xdr:rowOff>104775</xdr:rowOff>
    </xdr:from>
    <xdr:to>
      <xdr:col>7</xdr:col>
      <xdr:colOff>590550</xdr:colOff>
      <xdr:row>75</xdr:row>
      <xdr:rowOff>171450</xdr:rowOff>
    </xdr:to>
    <xdr:pic>
      <xdr:nvPicPr>
        <xdr:cNvPr id="12297" name="Picture 6"/>
        <xdr:cNvPicPr>
          <a:picLocks noChangeAspect="1" noChangeArrowheads="1"/>
        </xdr:cNvPicPr>
      </xdr:nvPicPr>
      <xdr:blipFill>
        <a:blip xmlns:r="http://schemas.openxmlformats.org/officeDocument/2006/relationships" r:embed="rId9" cstate="print"/>
        <a:srcRect/>
        <a:stretch>
          <a:fillRect/>
        </a:stretch>
      </xdr:blipFill>
      <xdr:spPr bwMode="auto">
        <a:xfrm>
          <a:off x="314325" y="19535775"/>
          <a:ext cx="4810125" cy="2924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19</xdr:row>
      <xdr:rowOff>19050</xdr:rowOff>
    </xdr:from>
    <xdr:to>
      <xdr:col>7</xdr:col>
      <xdr:colOff>38100</xdr:colOff>
      <xdr:row>33</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133350</xdr:colOff>
      <xdr:row>195</xdr:row>
      <xdr:rowOff>133350</xdr:rowOff>
    </xdr:from>
    <xdr:to>
      <xdr:col>21</xdr:col>
      <xdr:colOff>238125</xdr:colOff>
      <xdr:row>214</xdr:row>
      <xdr:rowOff>133350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628650</xdr:colOff>
      <xdr:row>225</xdr:row>
      <xdr:rowOff>180975</xdr:rowOff>
    </xdr:from>
    <xdr:to>
      <xdr:col>27</xdr:col>
      <xdr:colOff>371475</xdr:colOff>
      <xdr:row>240</xdr:row>
      <xdr:rowOff>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133350</xdr:colOff>
      <xdr:row>65</xdr:row>
      <xdr:rowOff>0</xdr:rowOff>
    </xdr:from>
    <xdr:to>
      <xdr:col>20</xdr:col>
      <xdr:colOff>381000</xdr:colOff>
      <xdr:row>78</xdr:row>
      <xdr:rowOff>38100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2409825</xdr:colOff>
      <xdr:row>414</xdr:row>
      <xdr:rowOff>38100</xdr:rowOff>
    </xdr:from>
    <xdr:to>
      <xdr:col>23</xdr:col>
      <xdr:colOff>285750</xdr:colOff>
      <xdr:row>440</xdr:row>
      <xdr:rowOff>9525</xdr:rowOff>
    </xdr:to>
    <xdr:graphicFrame macro="">
      <xdr:nvGraphicFramePr>
        <xdr:cNvPr id="1031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133350</xdr:colOff>
      <xdr:row>172</xdr:row>
      <xdr:rowOff>133350</xdr:rowOff>
    </xdr:from>
    <xdr:to>
      <xdr:col>21</xdr:col>
      <xdr:colOff>238125</xdr:colOff>
      <xdr:row>191</xdr:row>
      <xdr:rowOff>133350</xdr:rowOff>
    </xdr:to>
    <xdr:graphicFrame macro="">
      <xdr:nvGraphicFramePr>
        <xdr:cNvPr id="1031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400050</xdr:colOff>
      <xdr:row>669</xdr:row>
      <xdr:rowOff>361950</xdr:rowOff>
    </xdr:from>
    <xdr:to>
      <xdr:col>21</xdr:col>
      <xdr:colOff>561975</xdr:colOff>
      <xdr:row>686</xdr:row>
      <xdr:rowOff>228600</xdr:rowOff>
    </xdr:to>
    <xdr:graphicFrame macro="">
      <xdr:nvGraphicFramePr>
        <xdr:cNvPr id="103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2457450</xdr:colOff>
      <xdr:row>441</xdr:row>
      <xdr:rowOff>123825</xdr:rowOff>
    </xdr:from>
    <xdr:to>
      <xdr:col>23</xdr:col>
      <xdr:colOff>333375</xdr:colOff>
      <xdr:row>461</xdr:row>
      <xdr:rowOff>104775</xdr:rowOff>
    </xdr:to>
    <xdr:graphicFrame macro="">
      <xdr:nvGraphicFramePr>
        <xdr:cNvPr id="103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628650</xdr:colOff>
      <xdr:row>202</xdr:row>
      <xdr:rowOff>180975</xdr:rowOff>
    </xdr:from>
    <xdr:to>
      <xdr:col>27</xdr:col>
      <xdr:colOff>371475</xdr:colOff>
      <xdr:row>217</xdr:row>
      <xdr:rowOff>0</xdr:rowOff>
    </xdr:to>
    <xdr:graphicFrame macro="">
      <xdr:nvGraphicFramePr>
        <xdr:cNvPr id="1031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133350</xdr:colOff>
      <xdr:row>65</xdr:row>
      <xdr:rowOff>0</xdr:rowOff>
    </xdr:from>
    <xdr:to>
      <xdr:col>20</xdr:col>
      <xdr:colOff>381000</xdr:colOff>
      <xdr:row>78</xdr:row>
      <xdr:rowOff>38100</xdr:rowOff>
    </xdr:to>
    <xdr:graphicFrame macro="">
      <xdr:nvGraphicFramePr>
        <xdr:cNvPr id="1032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0</xdr:colOff>
      <xdr:row>441</xdr:row>
      <xdr:rowOff>0</xdr:rowOff>
    </xdr:from>
    <xdr:to>
      <xdr:col>33</xdr:col>
      <xdr:colOff>361950</xdr:colOff>
      <xdr:row>458</xdr:row>
      <xdr:rowOff>85725</xdr:rowOff>
    </xdr:to>
    <xdr:graphicFrame macro="">
      <xdr:nvGraphicFramePr>
        <xdr:cNvPr id="10321"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0</xdr:colOff>
      <xdr:row>414</xdr:row>
      <xdr:rowOff>0</xdr:rowOff>
    </xdr:from>
    <xdr:to>
      <xdr:col>32</xdr:col>
      <xdr:colOff>600075</xdr:colOff>
      <xdr:row>434</xdr:row>
      <xdr:rowOff>19050</xdr:rowOff>
    </xdr:to>
    <xdr:graphicFrame macro="">
      <xdr:nvGraphicFramePr>
        <xdr:cNvPr id="10322" name="Chart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0</xdr:colOff>
      <xdr:row>396</xdr:row>
      <xdr:rowOff>0</xdr:rowOff>
    </xdr:from>
    <xdr:to>
      <xdr:col>24</xdr:col>
      <xdr:colOff>485775</xdr:colOff>
      <xdr:row>411</xdr:row>
      <xdr:rowOff>466725</xdr:rowOff>
    </xdr:to>
    <xdr:graphicFrame macro="">
      <xdr:nvGraphicFramePr>
        <xdr:cNvPr id="10323" name="Chart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0</xdr:colOff>
      <xdr:row>396</xdr:row>
      <xdr:rowOff>0</xdr:rowOff>
    </xdr:from>
    <xdr:to>
      <xdr:col>33</xdr:col>
      <xdr:colOff>276225</xdr:colOff>
      <xdr:row>409</xdr:row>
      <xdr:rowOff>123825</xdr:rowOff>
    </xdr:to>
    <xdr:graphicFrame macro="">
      <xdr:nvGraphicFramePr>
        <xdr:cNvPr id="10324" name="Chart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467</xdr:row>
      <xdr:rowOff>0</xdr:rowOff>
    </xdr:from>
    <xdr:to>
      <xdr:col>22</xdr:col>
      <xdr:colOff>561975</xdr:colOff>
      <xdr:row>487</xdr:row>
      <xdr:rowOff>161925</xdr:rowOff>
    </xdr:to>
    <xdr:graphicFrame macro="">
      <xdr:nvGraphicFramePr>
        <xdr:cNvPr id="10325" name="Chart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0</xdr:colOff>
      <xdr:row>467</xdr:row>
      <xdr:rowOff>0</xdr:rowOff>
    </xdr:from>
    <xdr:to>
      <xdr:col>32</xdr:col>
      <xdr:colOff>457200</xdr:colOff>
      <xdr:row>487</xdr:row>
      <xdr:rowOff>57150</xdr:rowOff>
    </xdr:to>
    <xdr:graphicFrame macro="">
      <xdr:nvGraphicFramePr>
        <xdr:cNvPr id="10326"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0.6855</cdr:x>
      <cdr:y>0.5303</cdr:y>
    </cdr:from>
    <cdr:to>
      <cdr:x>0.73034</cdr:x>
      <cdr:y>0.98404</cdr:y>
    </cdr:to>
    <cdr:sp macro="" textlink="">
      <cdr:nvSpPr>
        <cdr:cNvPr id="4" name="TextBox 1"/>
        <cdr:cNvSpPr txBox="1"/>
      </cdr:nvSpPr>
      <cdr:spPr>
        <a:xfrm xmlns:a="http://schemas.openxmlformats.org/drawingml/2006/main" rot="5400000">
          <a:off x="3824006" y="2596968"/>
          <a:ext cx="1748121" cy="296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1" baseline="0"/>
            <a:t>State social protection budget </a:t>
          </a:r>
          <a:endParaRPr lang="en-GB" sz="1100" b="1"/>
        </a:p>
      </cdr:txBody>
    </cdr:sp>
  </cdr:relSizeAnchor>
  <cdr:relSizeAnchor xmlns:cdr="http://schemas.openxmlformats.org/drawingml/2006/chartDrawing">
    <cdr:from>
      <cdr:x>0.67993</cdr:x>
      <cdr:y>0.06778</cdr:y>
    </cdr:from>
    <cdr:to>
      <cdr:x>0.72477</cdr:x>
      <cdr:y>0.54385</cdr:y>
    </cdr:to>
    <cdr:sp macro="" textlink="">
      <cdr:nvSpPr>
        <cdr:cNvPr id="5" name="TextBox 1"/>
        <cdr:cNvSpPr txBox="1"/>
      </cdr:nvSpPr>
      <cdr:spPr>
        <a:xfrm xmlns:a="http://schemas.openxmlformats.org/drawingml/2006/main" rot="5400000">
          <a:off x="3812800" y="927289"/>
          <a:ext cx="1703297" cy="296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b="1" baseline="0"/>
            <a:t>NON-State social protection budget </a:t>
          </a:r>
          <a:endParaRPr lang="en-GB" sz="1100" b="1"/>
        </a:p>
      </cdr:txBody>
    </cdr:sp>
  </cdr:relSizeAnchor>
  <cdr:relSizeAnchor xmlns:cdr="http://schemas.openxmlformats.org/drawingml/2006/chartDrawing">
    <cdr:from>
      <cdr:x>0.65525</cdr:x>
      <cdr:y>0.51031</cdr:y>
    </cdr:from>
    <cdr:to>
      <cdr:x>0.96812</cdr:x>
      <cdr:y>0.51031</cdr:y>
    </cdr:to>
    <cdr:sp macro="" textlink="">
      <cdr:nvSpPr>
        <cdr:cNvPr id="7" name="Straight Connector 6"/>
        <cdr:cNvSpPr/>
      </cdr:nvSpPr>
      <cdr:spPr>
        <a:xfrm xmlns:a="http://schemas.openxmlformats.org/drawingml/2006/main">
          <a:off x="4359089" y="1804147"/>
          <a:ext cx="2039471"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0.64026</cdr:x>
      <cdr:y>0.69536</cdr:y>
    </cdr:from>
    <cdr:to>
      <cdr:x>0.64716</cdr:x>
      <cdr:y>0.84538</cdr:y>
    </cdr:to>
    <cdr:sp macro="" textlink="">
      <cdr:nvSpPr>
        <cdr:cNvPr id="8" name="Right Brace 7"/>
        <cdr:cNvSpPr/>
      </cdr:nvSpPr>
      <cdr:spPr>
        <a:xfrm xmlns:a="http://schemas.openxmlformats.org/drawingml/2006/main">
          <a:off x="4269442" y="2431676"/>
          <a:ext cx="45719" cy="537882"/>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0.63683</cdr:x>
      <cdr:y>0.28678</cdr:y>
    </cdr:from>
    <cdr:to>
      <cdr:x>0.64498</cdr:x>
      <cdr:y>0.67393</cdr:y>
    </cdr:to>
    <cdr:sp macro="" textlink="">
      <cdr:nvSpPr>
        <cdr:cNvPr id="9" name="Right Brace 8"/>
        <cdr:cNvSpPr/>
      </cdr:nvSpPr>
      <cdr:spPr>
        <a:xfrm xmlns:a="http://schemas.openxmlformats.org/drawingml/2006/main">
          <a:off x="4258236" y="1008529"/>
          <a:ext cx="45719" cy="1355912"/>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0</xdr:colOff>
      <xdr:row>6</xdr:row>
      <xdr:rowOff>76200</xdr:rowOff>
    </xdr:from>
    <xdr:to>
      <xdr:col>9</xdr:col>
      <xdr:colOff>0</xdr:colOff>
      <xdr:row>20</xdr:row>
      <xdr:rowOff>123825</xdr:rowOff>
    </xdr:to>
    <xdr:graphicFrame macro="">
      <xdr:nvGraphicFramePr>
        <xdr:cNvPr id="112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6</xdr:row>
      <xdr:rowOff>57150</xdr:rowOff>
    </xdr:from>
    <xdr:to>
      <xdr:col>15</xdr:col>
      <xdr:colOff>600075</xdr:colOff>
      <xdr:row>20</xdr:row>
      <xdr:rowOff>123825</xdr:rowOff>
    </xdr:to>
    <xdr:graphicFrame macro="">
      <xdr:nvGraphicFramePr>
        <xdr:cNvPr id="1126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85</xdr:row>
      <xdr:rowOff>171450</xdr:rowOff>
    </xdr:from>
    <xdr:to>
      <xdr:col>9</xdr:col>
      <xdr:colOff>123825</xdr:colOff>
      <xdr:row>100</xdr:row>
      <xdr:rowOff>161925</xdr:rowOff>
    </xdr:to>
    <xdr:graphicFrame macro="">
      <xdr:nvGraphicFramePr>
        <xdr:cNvPr id="11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352425</xdr:colOff>
      <xdr:row>85</xdr:row>
      <xdr:rowOff>161925</xdr:rowOff>
    </xdr:from>
    <xdr:to>
      <xdr:col>15</xdr:col>
      <xdr:colOff>704850</xdr:colOff>
      <xdr:row>100</xdr:row>
      <xdr:rowOff>171450</xdr:rowOff>
    </xdr:to>
    <xdr:graphicFrame macro="">
      <xdr:nvGraphicFramePr>
        <xdr:cNvPr id="112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342900</xdr:colOff>
      <xdr:row>300</xdr:row>
      <xdr:rowOff>114300</xdr:rowOff>
    </xdr:from>
    <xdr:to>
      <xdr:col>15</xdr:col>
      <xdr:colOff>628650</xdr:colOff>
      <xdr:row>321</xdr:row>
      <xdr:rowOff>28575</xdr:rowOff>
    </xdr:to>
    <xdr:graphicFrame macro="">
      <xdr:nvGraphicFramePr>
        <xdr:cNvPr id="1127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400050</xdr:colOff>
      <xdr:row>329</xdr:row>
      <xdr:rowOff>104775</xdr:rowOff>
    </xdr:from>
    <xdr:to>
      <xdr:col>14</xdr:col>
      <xdr:colOff>19050</xdr:colOff>
      <xdr:row>347</xdr:row>
      <xdr:rowOff>152400</xdr:rowOff>
    </xdr:to>
    <xdr:graphicFrame macro="">
      <xdr:nvGraphicFramePr>
        <xdr:cNvPr id="11272"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476250</xdr:colOff>
      <xdr:row>350</xdr:row>
      <xdr:rowOff>104775</xdr:rowOff>
    </xdr:from>
    <xdr:to>
      <xdr:col>14</xdr:col>
      <xdr:colOff>95250</xdr:colOff>
      <xdr:row>366</xdr:row>
      <xdr:rowOff>85725</xdr:rowOff>
    </xdr:to>
    <xdr:graphicFrame macro="">
      <xdr:nvGraphicFramePr>
        <xdr:cNvPr id="1127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247651</xdr:colOff>
      <xdr:row>436</xdr:row>
      <xdr:rowOff>19050</xdr:rowOff>
    </xdr:from>
    <xdr:to>
      <xdr:col>11</xdr:col>
      <xdr:colOff>371475</xdr:colOff>
      <xdr:row>454</xdr:row>
      <xdr:rowOff>28575</xdr:rowOff>
    </xdr:to>
    <xdr:graphicFrame macro="">
      <xdr:nvGraphicFramePr>
        <xdr:cNvPr id="11274" name="Chart 3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xdr:col>
      <xdr:colOff>323850</xdr:colOff>
      <xdr:row>456</xdr:row>
      <xdr:rowOff>152400</xdr:rowOff>
    </xdr:from>
    <xdr:to>
      <xdr:col>15</xdr:col>
      <xdr:colOff>352425</xdr:colOff>
      <xdr:row>477</xdr:row>
      <xdr:rowOff>180975</xdr:rowOff>
    </xdr:to>
    <xdr:graphicFrame macro="">
      <xdr:nvGraphicFramePr>
        <xdr:cNvPr id="11275" name="Chart 3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xdr:col>
      <xdr:colOff>57150</xdr:colOff>
      <xdr:row>348</xdr:row>
      <xdr:rowOff>38100</xdr:rowOff>
    </xdr:from>
    <xdr:to>
      <xdr:col>15</xdr:col>
      <xdr:colOff>657225</xdr:colOff>
      <xdr:row>368</xdr:row>
      <xdr:rowOff>171450</xdr:rowOff>
    </xdr:to>
    <xdr:graphicFrame macro="">
      <xdr:nvGraphicFramePr>
        <xdr:cNvPr id="11276" name="Chart 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19050</xdr:colOff>
      <xdr:row>256</xdr:row>
      <xdr:rowOff>85725</xdr:rowOff>
    </xdr:from>
    <xdr:to>
      <xdr:col>15</xdr:col>
      <xdr:colOff>581025</xdr:colOff>
      <xdr:row>273</xdr:row>
      <xdr:rowOff>38100</xdr:rowOff>
    </xdr:to>
    <xdr:graphicFrame macro="">
      <xdr:nvGraphicFramePr>
        <xdr:cNvPr id="11277"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57150</xdr:colOff>
      <xdr:row>275</xdr:row>
      <xdr:rowOff>47625</xdr:rowOff>
    </xdr:from>
    <xdr:to>
      <xdr:col>15</xdr:col>
      <xdr:colOff>533400</xdr:colOff>
      <xdr:row>295</xdr:row>
      <xdr:rowOff>161925</xdr:rowOff>
    </xdr:to>
    <xdr:graphicFrame macro="">
      <xdr:nvGraphicFramePr>
        <xdr:cNvPr id="11278"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485775</xdr:colOff>
      <xdr:row>387</xdr:row>
      <xdr:rowOff>123825</xdr:rowOff>
    </xdr:from>
    <xdr:to>
      <xdr:col>14</xdr:col>
      <xdr:colOff>47625</xdr:colOff>
      <xdr:row>405</xdr:row>
      <xdr:rowOff>161925</xdr:rowOff>
    </xdr:to>
    <xdr:graphicFrame macro="">
      <xdr:nvGraphicFramePr>
        <xdr:cNvPr id="11279"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476250</xdr:colOff>
      <xdr:row>368</xdr:row>
      <xdr:rowOff>114300</xdr:rowOff>
    </xdr:from>
    <xdr:to>
      <xdr:col>14</xdr:col>
      <xdr:colOff>47625</xdr:colOff>
      <xdr:row>385</xdr:row>
      <xdr:rowOff>19050</xdr:rowOff>
    </xdr:to>
    <xdr:graphicFrame macro="">
      <xdr:nvGraphicFramePr>
        <xdr:cNvPr id="11280"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0</xdr:colOff>
      <xdr:row>40</xdr:row>
      <xdr:rowOff>0</xdr:rowOff>
    </xdr:from>
    <xdr:to>
      <xdr:col>9</xdr:col>
      <xdr:colOff>133350</xdr:colOff>
      <xdr:row>53</xdr:row>
      <xdr:rowOff>104775</xdr:rowOff>
    </xdr:to>
    <xdr:graphicFrame macro="">
      <xdr:nvGraphicFramePr>
        <xdr:cNvPr id="112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361950</xdr:colOff>
      <xdr:row>40</xdr:row>
      <xdr:rowOff>47625</xdr:rowOff>
    </xdr:from>
    <xdr:to>
      <xdr:col>15</xdr:col>
      <xdr:colOff>933450</xdr:colOff>
      <xdr:row>54</xdr:row>
      <xdr:rowOff>0</xdr:rowOff>
    </xdr:to>
    <xdr:graphicFrame macro="">
      <xdr:nvGraphicFramePr>
        <xdr:cNvPr id="1128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71</xdr:row>
      <xdr:rowOff>0</xdr:rowOff>
    </xdr:from>
    <xdr:to>
      <xdr:col>9</xdr:col>
      <xdr:colOff>133350</xdr:colOff>
      <xdr:row>84</xdr:row>
      <xdr:rowOff>104775</xdr:rowOff>
    </xdr:to>
    <xdr:graphicFrame macro="">
      <xdr:nvGraphicFramePr>
        <xdr:cNvPr id="112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409575</xdr:colOff>
      <xdr:row>71</xdr:row>
      <xdr:rowOff>0</xdr:rowOff>
    </xdr:from>
    <xdr:to>
      <xdr:col>15</xdr:col>
      <xdr:colOff>981075</xdr:colOff>
      <xdr:row>84</xdr:row>
      <xdr:rowOff>142875</xdr:rowOff>
    </xdr:to>
    <xdr:graphicFrame macro="">
      <xdr:nvGraphicFramePr>
        <xdr:cNvPr id="1128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22</xdr:row>
      <xdr:rowOff>0</xdr:rowOff>
    </xdr:from>
    <xdr:to>
      <xdr:col>9</xdr:col>
      <xdr:colOff>9525</xdr:colOff>
      <xdr:row>37</xdr:row>
      <xdr:rowOff>133350</xdr:rowOff>
    </xdr:to>
    <xdr:graphicFrame macro="">
      <xdr:nvGraphicFramePr>
        <xdr:cNvPr id="11285"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219075</xdr:colOff>
      <xdr:row>22</xdr:row>
      <xdr:rowOff>9525</xdr:rowOff>
    </xdr:from>
    <xdr:to>
      <xdr:col>15</xdr:col>
      <xdr:colOff>847725</xdr:colOff>
      <xdr:row>37</xdr:row>
      <xdr:rowOff>95250</xdr:rowOff>
    </xdr:to>
    <xdr:graphicFrame macro="">
      <xdr:nvGraphicFramePr>
        <xdr:cNvPr id="11286"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55</xdr:row>
      <xdr:rowOff>0</xdr:rowOff>
    </xdr:from>
    <xdr:to>
      <xdr:col>8</xdr:col>
      <xdr:colOff>495300</xdr:colOff>
      <xdr:row>68</xdr:row>
      <xdr:rowOff>142875</xdr:rowOff>
    </xdr:to>
    <xdr:graphicFrame macro="">
      <xdr:nvGraphicFramePr>
        <xdr:cNvPr id="11287"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323850</xdr:colOff>
      <xdr:row>55</xdr:row>
      <xdr:rowOff>0</xdr:rowOff>
    </xdr:from>
    <xdr:to>
      <xdr:col>15</xdr:col>
      <xdr:colOff>447675</xdr:colOff>
      <xdr:row>69</xdr:row>
      <xdr:rowOff>161925</xdr:rowOff>
    </xdr:to>
    <xdr:graphicFrame macro="">
      <xdr:nvGraphicFramePr>
        <xdr:cNvPr id="11288"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285749</xdr:colOff>
      <xdr:row>153</xdr:row>
      <xdr:rowOff>95249</xdr:rowOff>
    </xdr:from>
    <xdr:to>
      <xdr:col>12</xdr:col>
      <xdr:colOff>171449</xdr:colOff>
      <xdr:row>171</xdr:row>
      <xdr:rowOff>123824</xdr:rowOff>
    </xdr:to>
    <xdr:graphicFrame macro="">
      <xdr:nvGraphicFramePr>
        <xdr:cNvPr id="1128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76200</xdr:colOff>
      <xdr:row>172</xdr:row>
      <xdr:rowOff>66675</xdr:rowOff>
    </xdr:from>
    <xdr:to>
      <xdr:col>11</xdr:col>
      <xdr:colOff>238125</xdr:colOff>
      <xdr:row>188</xdr:row>
      <xdr:rowOff>123825</xdr:rowOff>
    </xdr:to>
    <xdr:graphicFrame macro="">
      <xdr:nvGraphicFramePr>
        <xdr:cNvPr id="11290"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194</xdr:row>
      <xdr:rowOff>19050</xdr:rowOff>
    </xdr:from>
    <xdr:to>
      <xdr:col>11</xdr:col>
      <xdr:colOff>95251</xdr:colOff>
      <xdr:row>210</xdr:row>
      <xdr:rowOff>95249</xdr:rowOff>
    </xdr:to>
    <xdr:graphicFrame macro="">
      <xdr:nvGraphicFramePr>
        <xdr:cNvPr id="11291"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285750</xdr:colOff>
      <xdr:row>211</xdr:row>
      <xdr:rowOff>142876</xdr:rowOff>
    </xdr:from>
    <xdr:to>
      <xdr:col>11</xdr:col>
      <xdr:colOff>304800</xdr:colOff>
      <xdr:row>248</xdr:row>
      <xdr:rowOff>9526</xdr:rowOff>
    </xdr:to>
    <xdr:graphicFrame macro="">
      <xdr:nvGraphicFramePr>
        <xdr:cNvPr id="1129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285749</xdr:colOff>
      <xdr:row>125</xdr:row>
      <xdr:rowOff>95250</xdr:rowOff>
    </xdr:from>
    <xdr:to>
      <xdr:col>12</xdr:col>
      <xdr:colOff>247650</xdr:colOff>
      <xdr:row>142</xdr:row>
      <xdr:rowOff>95250</xdr:rowOff>
    </xdr:to>
    <xdr:graphicFrame macro="">
      <xdr:nvGraphicFramePr>
        <xdr:cNvPr id="1129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352424</xdr:colOff>
      <xdr:row>106</xdr:row>
      <xdr:rowOff>0</xdr:rowOff>
    </xdr:from>
    <xdr:to>
      <xdr:col>11</xdr:col>
      <xdr:colOff>485775</xdr:colOff>
      <xdr:row>123</xdr:row>
      <xdr:rowOff>161925</xdr:rowOff>
    </xdr:to>
    <xdr:graphicFrame macro="">
      <xdr:nvGraphicFramePr>
        <xdr:cNvPr id="112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228</xdr:row>
      <xdr:rowOff>0</xdr:rowOff>
    </xdr:from>
    <xdr:to>
      <xdr:col>11</xdr:col>
      <xdr:colOff>95251</xdr:colOff>
      <xdr:row>244</xdr:row>
      <xdr:rowOff>76199</xdr:rowOff>
    </xdr:to>
    <xdr:graphicFrame macro="">
      <xdr:nvGraphicFramePr>
        <xdr:cNvPr id="30"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absolute">
    <xdr:from>
      <xdr:col>2</xdr:col>
      <xdr:colOff>0</xdr:colOff>
      <xdr:row>481</xdr:row>
      <xdr:rowOff>0</xdr:rowOff>
    </xdr:from>
    <xdr:to>
      <xdr:col>12</xdr:col>
      <xdr:colOff>276225</xdr:colOff>
      <xdr:row>503</xdr:row>
      <xdr:rowOff>104775</xdr:rowOff>
    </xdr:to>
    <xdr:graphicFrame macro="">
      <xdr:nvGraphicFramePr>
        <xdr:cNvPr id="31" name="Chart 3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absolute">
    <xdr:from>
      <xdr:col>2</xdr:col>
      <xdr:colOff>1</xdr:colOff>
      <xdr:row>506</xdr:row>
      <xdr:rowOff>0</xdr:rowOff>
    </xdr:from>
    <xdr:to>
      <xdr:col>12</xdr:col>
      <xdr:colOff>247651</xdr:colOff>
      <xdr:row>527</xdr:row>
      <xdr:rowOff>133350</xdr:rowOff>
    </xdr:to>
    <xdr:graphicFrame macro="">
      <xdr:nvGraphicFramePr>
        <xdr:cNvPr id="32" name="Chart 3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0.66073</cdr:x>
      <cdr:y>0.61071</cdr:y>
    </cdr:from>
    <cdr:to>
      <cdr:x>0.67964</cdr:x>
      <cdr:y>0.76886</cdr:y>
    </cdr:to>
    <cdr:sp macro="" textlink="">
      <cdr:nvSpPr>
        <cdr:cNvPr id="3" name="Right Brace 2"/>
        <cdr:cNvSpPr/>
      </cdr:nvSpPr>
      <cdr:spPr>
        <a:xfrm xmlns:a="http://schemas.openxmlformats.org/drawingml/2006/main">
          <a:off x="5657850" y="2390774"/>
          <a:ext cx="161890" cy="619139"/>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0.68687</cdr:x>
      <cdr:y>0.58151</cdr:y>
    </cdr:from>
    <cdr:to>
      <cdr:x>0.71635</cdr:x>
      <cdr:y>0.8017</cdr:y>
    </cdr:to>
    <cdr:sp macro="" textlink="">
      <cdr:nvSpPr>
        <cdr:cNvPr id="4" name="TextBox 3"/>
        <cdr:cNvSpPr txBox="1"/>
      </cdr:nvSpPr>
      <cdr:spPr>
        <a:xfrm xmlns:a="http://schemas.openxmlformats.org/drawingml/2006/main" rot="5400000">
          <a:off x="5576889" y="2581276"/>
          <a:ext cx="862010" cy="2524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Social services</a:t>
          </a:r>
        </a:p>
      </cdr:txBody>
    </cdr:sp>
  </cdr:relSizeAnchor>
</c:userShapes>
</file>

<file path=xl/drawings/drawing8.xml><?xml version="1.0" encoding="utf-8"?>
<c:userShapes xmlns:c="http://schemas.openxmlformats.org/drawingml/2006/chart">
  <cdr:relSizeAnchor xmlns:cdr="http://schemas.openxmlformats.org/drawingml/2006/chartDrawing">
    <cdr:from>
      <cdr:x>0.68697</cdr:x>
      <cdr:y>0.50915</cdr:y>
    </cdr:from>
    <cdr:to>
      <cdr:x>0.73181</cdr:x>
      <cdr:y>0.98476</cdr:y>
    </cdr:to>
    <cdr:sp macro="" textlink="">
      <cdr:nvSpPr>
        <cdr:cNvPr id="4" name="TextBox 1"/>
        <cdr:cNvSpPr txBox="1"/>
      </cdr:nvSpPr>
      <cdr:spPr>
        <a:xfrm xmlns:a="http://schemas.openxmlformats.org/drawingml/2006/main" rot="5400000">
          <a:off x="3824006" y="2596968"/>
          <a:ext cx="1748121" cy="296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b="1" baseline="0"/>
            <a:t>State social protection budget </a:t>
          </a:r>
          <a:endParaRPr lang="en-GB" sz="1100" b="1"/>
        </a:p>
      </cdr:txBody>
    </cdr:sp>
  </cdr:relSizeAnchor>
  <cdr:relSizeAnchor xmlns:cdr="http://schemas.openxmlformats.org/drawingml/2006/chartDrawing">
    <cdr:from>
      <cdr:x>0.68189</cdr:x>
      <cdr:y>0.06098</cdr:y>
    </cdr:from>
    <cdr:to>
      <cdr:x>0.72673</cdr:x>
      <cdr:y>0.52439</cdr:y>
    </cdr:to>
    <cdr:sp macro="" textlink="">
      <cdr:nvSpPr>
        <cdr:cNvPr id="5" name="TextBox 1"/>
        <cdr:cNvSpPr txBox="1"/>
      </cdr:nvSpPr>
      <cdr:spPr>
        <a:xfrm xmlns:a="http://schemas.openxmlformats.org/drawingml/2006/main" rot="5400000">
          <a:off x="3812800" y="927289"/>
          <a:ext cx="1703297" cy="296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b="1" baseline="0"/>
            <a:t>Non-state social </a:t>
          </a:r>
          <a:r>
            <a:rPr lang="en-GB" sz="1000" b="1" baseline="0"/>
            <a:t>protection</a:t>
          </a:r>
          <a:r>
            <a:rPr lang="en-GB" sz="1100" b="1" baseline="0"/>
            <a:t> budget </a:t>
          </a:r>
          <a:endParaRPr lang="en-GB" sz="1100" b="1"/>
        </a:p>
      </cdr:txBody>
    </cdr:sp>
  </cdr:relSizeAnchor>
  <cdr:relSizeAnchor xmlns:cdr="http://schemas.openxmlformats.org/drawingml/2006/chartDrawing">
    <cdr:from>
      <cdr:x>0.65821</cdr:x>
      <cdr:y>0.49085</cdr:y>
    </cdr:from>
    <cdr:to>
      <cdr:x>0.96616</cdr:x>
      <cdr:y>0.49085</cdr:y>
    </cdr:to>
    <cdr:sp macro="" textlink="">
      <cdr:nvSpPr>
        <cdr:cNvPr id="7" name="Straight Connector 6"/>
        <cdr:cNvSpPr/>
      </cdr:nvSpPr>
      <cdr:spPr>
        <a:xfrm xmlns:a="http://schemas.openxmlformats.org/drawingml/2006/main">
          <a:off x="4359089" y="1804147"/>
          <a:ext cx="2039471"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0.64467</cdr:x>
      <cdr:y>0.66159</cdr:y>
    </cdr:from>
    <cdr:to>
      <cdr:x>0.65157</cdr:x>
      <cdr:y>0.80793</cdr:y>
    </cdr:to>
    <cdr:sp macro="" textlink="">
      <cdr:nvSpPr>
        <cdr:cNvPr id="8" name="Right Brace 7"/>
        <cdr:cNvSpPr/>
      </cdr:nvSpPr>
      <cdr:spPr>
        <a:xfrm xmlns:a="http://schemas.openxmlformats.org/drawingml/2006/main">
          <a:off x="4269442" y="2431676"/>
          <a:ext cx="45719" cy="537882"/>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0.63714</cdr:x>
      <cdr:y>0.19695</cdr:y>
    </cdr:from>
    <cdr:to>
      <cdr:x>0.66015</cdr:x>
      <cdr:y>0.64329</cdr:y>
    </cdr:to>
    <cdr:sp macro="" textlink="">
      <cdr:nvSpPr>
        <cdr:cNvPr id="9" name="Right Brace 8"/>
        <cdr:cNvSpPr/>
      </cdr:nvSpPr>
      <cdr:spPr>
        <a:xfrm xmlns:a="http://schemas.openxmlformats.org/drawingml/2006/main">
          <a:off x="4219575" y="723900"/>
          <a:ext cx="152400" cy="1640531"/>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0.64004</cdr:x>
      <cdr:y>0.12871</cdr:y>
    </cdr:from>
    <cdr:to>
      <cdr:x>0.64693</cdr:x>
      <cdr:y>0.48309</cdr:y>
    </cdr:to>
    <cdr:sp macro="" textlink="">
      <cdr:nvSpPr>
        <cdr:cNvPr id="2" name="Right Brace 1"/>
        <cdr:cNvSpPr/>
      </cdr:nvSpPr>
      <cdr:spPr>
        <a:xfrm xmlns:a="http://schemas.openxmlformats.org/drawingml/2006/main">
          <a:off x="5456301" y="507556"/>
          <a:ext cx="58674" cy="1397444"/>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0.6458</cdr:x>
      <cdr:y>0.17848</cdr:y>
    </cdr:from>
    <cdr:to>
      <cdr:x>0.70126</cdr:x>
      <cdr:y>0.5116</cdr:y>
    </cdr:to>
    <cdr:sp macro="" textlink="">
      <cdr:nvSpPr>
        <cdr:cNvPr id="3" name="TextBox 2"/>
        <cdr:cNvSpPr txBox="1"/>
      </cdr:nvSpPr>
      <cdr:spPr>
        <a:xfrm xmlns:a="http://schemas.openxmlformats.org/drawingml/2006/main" rot="5400000">
          <a:off x="5248508" y="1832783"/>
          <a:ext cx="2018210" cy="5152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t>Fillin</a:t>
          </a:r>
          <a:r>
            <a:rPr lang="en-GB" sz="1000" baseline="0"/>
            <a:t>g the gaps towards the SPF guarantees</a:t>
          </a:r>
          <a:endParaRPr lang="en-GB" sz="1000"/>
        </a:p>
      </cdr:txBody>
    </cdr:sp>
  </cdr:relSizeAnchor>
  <cdr:relSizeAnchor xmlns:cdr="http://schemas.openxmlformats.org/drawingml/2006/chartDrawing">
    <cdr:from>
      <cdr:x>0.64172</cdr:x>
      <cdr:y>0.49936</cdr:y>
    </cdr:from>
    <cdr:to>
      <cdr:x>0.64708</cdr:x>
      <cdr:y>0.8744</cdr:y>
    </cdr:to>
    <cdr:sp macro="" textlink="">
      <cdr:nvSpPr>
        <cdr:cNvPr id="4" name="Right Brace 3"/>
        <cdr:cNvSpPr/>
      </cdr:nvSpPr>
      <cdr:spPr>
        <a:xfrm xmlns:a="http://schemas.openxmlformats.org/drawingml/2006/main">
          <a:off x="5470554" y="1969169"/>
          <a:ext cx="45719" cy="1478881"/>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0.65796</cdr:x>
      <cdr:y>0.55026</cdr:y>
    </cdr:from>
    <cdr:to>
      <cdr:x>0.68821</cdr:x>
      <cdr:y>0.93557</cdr:y>
    </cdr:to>
    <cdr:sp macro="" textlink="">
      <cdr:nvSpPr>
        <cdr:cNvPr id="5" name="TextBox 1"/>
        <cdr:cNvSpPr txBox="1"/>
      </cdr:nvSpPr>
      <cdr:spPr>
        <a:xfrm xmlns:a="http://schemas.openxmlformats.org/drawingml/2006/main" rot="5400000">
          <a:off x="4978294" y="2800636"/>
          <a:ext cx="1519412" cy="2578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Existing and planned</a:t>
          </a:r>
          <a:r>
            <a:rPr lang="en-GB" sz="1000" baseline="0"/>
            <a:t> SP provision</a:t>
          </a:r>
          <a:endParaRPr lang="en-GB" sz="1000"/>
        </a:p>
      </cdr:txBody>
    </cdr:sp>
  </cdr:relSizeAnchor>
</c:userShapes>
</file>

<file path=xl/drawings/drawing10.xml><?xml version="1.0" encoding="utf-8"?>
<xdr:wsDr xmlns:xdr="http://schemas.openxmlformats.org/drawingml/2006/spreadsheetDrawing" xmlns:a="http://schemas.openxmlformats.org/drawingml/2006/main">
  <xdr:twoCellAnchor>
    <xdr:from>
      <xdr:col>12</xdr:col>
      <xdr:colOff>333375</xdr:colOff>
      <xdr:row>129</xdr:row>
      <xdr:rowOff>104775</xdr:rowOff>
    </xdr:from>
    <xdr:to>
      <xdr:col>12</xdr:col>
      <xdr:colOff>4476750</xdr:colOff>
      <xdr:row>142</xdr:row>
      <xdr:rowOff>152400</xdr:rowOff>
    </xdr:to>
    <xdr:graphicFrame macro="">
      <xdr:nvGraphicFramePr>
        <xdr:cNvPr id="5632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153</xdr:row>
      <xdr:rowOff>171450</xdr:rowOff>
    </xdr:from>
    <xdr:to>
      <xdr:col>12</xdr:col>
      <xdr:colOff>3981450</xdr:colOff>
      <xdr:row>166</xdr:row>
      <xdr:rowOff>47625</xdr:rowOff>
    </xdr:to>
    <xdr:graphicFrame macro="">
      <xdr:nvGraphicFramePr>
        <xdr:cNvPr id="5632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152400</xdr:colOff>
      <xdr:row>180</xdr:row>
      <xdr:rowOff>142875</xdr:rowOff>
    </xdr:from>
    <xdr:to>
      <xdr:col>12</xdr:col>
      <xdr:colOff>4191000</xdr:colOff>
      <xdr:row>191</xdr:row>
      <xdr:rowOff>123825</xdr:rowOff>
    </xdr:to>
    <xdr:graphicFrame macro="">
      <xdr:nvGraphicFramePr>
        <xdr:cNvPr id="563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571500</xdr:colOff>
      <xdr:row>202</xdr:row>
      <xdr:rowOff>171450</xdr:rowOff>
    </xdr:from>
    <xdr:to>
      <xdr:col>12</xdr:col>
      <xdr:colOff>3990975</xdr:colOff>
      <xdr:row>216</xdr:row>
      <xdr:rowOff>38100</xdr:rowOff>
    </xdr:to>
    <xdr:graphicFrame macro="">
      <xdr:nvGraphicFramePr>
        <xdr:cNvPr id="5632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542925</xdr:colOff>
      <xdr:row>217</xdr:row>
      <xdr:rowOff>133350</xdr:rowOff>
    </xdr:from>
    <xdr:to>
      <xdr:col>12</xdr:col>
      <xdr:colOff>3857625</xdr:colOff>
      <xdr:row>232</xdr:row>
      <xdr:rowOff>57150</xdr:rowOff>
    </xdr:to>
    <xdr:graphicFrame macro="">
      <xdr:nvGraphicFramePr>
        <xdr:cNvPr id="563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1819275</xdr:colOff>
      <xdr:row>272</xdr:row>
      <xdr:rowOff>104775</xdr:rowOff>
    </xdr:from>
    <xdr:to>
      <xdr:col>15</xdr:col>
      <xdr:colOff>561975</xdr:colOff>
      <xdr:row>288</xdr:row>
      <xdr:rowOff>247650</xdr:rowOff>
    </xdr:to>
    <xdr:graphicFrame macro="">
      <xdr:nvGraphicFramePr>
        <xdr:cNvPr id="5632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1838325</xdr:colOff>
      <xdr:row>289</xdr:row>
      <xdr:rowOff>66675</xdr:rowOff>
    </xdr:from>
    <xdr:to>
      <xdr:col>16</xdr:col>
      <xdr:colOff>38100</xdr:colOff>
      <xdr:row>304</xdr:row>
      <xdr:rowOff>114300</xdr:rowOff>
    </xdr:to>
    <xdr:graphicFrame macro="">
      <xdr:nvGraphicFramePr>
        <xdr:cNvPr id="5632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438150</xdr:colOff>
      <xdr:row>236</xdr:row>
      <xdr:rowOff>0</xdr:rowOff>
    </xdr:from>
    <xdr:to>
      <xdr:col>13</xdr:col>
      <xdr:colOff>409575</xdr:colOff>
      <xdr:row>250</xdr:row>
      <xdr:rowOff>28575</xdr:rowOff>
    </xdr:to>
    <xdr:graphicFrame macro="">
      <xdr:nvGraphicFramePr>
        <xdr:cNvPr id="5632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485775</xdr:colOff>
      <xdr:row>250</xdr:row>
      <xdr:rowOff>180975</xdr:rowOff>
    </xdr:from>
    <xdr:to>
      <xdr:col>15</xdr:col>
      <xdr:colOff>0</xdr:colOff>
      <xdr:row>264</xdr:row>
      <xdr:rowOff>180975</xdr:rowOff>
    </xdr:to>
    <xdr:graphicFrame macro="">
      <xdr:nvGraphicFramePr>
        <xdr:cNvPr id="5632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28575</xdr:colOff>
      <xdr:row>139</xdr:row>
      <xdr:rowOff>123824</xdr:rowOff>
    </xdr:from>
    <xdr:to>
      <xdr:col>15</xdr:col>
      <xdr:colOff>38100</xdr:colOff>
      <xdr:row>155</xdr:row>
      <xdr:rowOff>88899</xdr:rowOff>
    </xdr:to>
    <xdr:graphicFrame macro="">
      <xdr:nvGraphicFramePr>
        <xdr:cNvPr id="665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57150</xdr:colOff>
      <xdr:row>157</xdr:row>
      <xdr:rowOff>152400</xdr:rowOff>
    </xdr:from>
    <xdr:to>
      <xdr:col>12</xdr:col>
      <xdr:colOff>4191000</xdr:colOff>
      <xdr:row>202</xdr:row>
      <xdr:rowOff>152400</xdr:rowOff>
    </xdr:to>
    <xdr:graphicFrame macro="">
      <xdr:nvGraphicFramePr>
        <xdr:cNvPr id="6656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261</xdr:row>
      <xdr:rowOff>0</xdr:rowOff>
    </xdr:from>
    <xdr:to>
      <xdr:col>17</xdr:col>
      <xdr:colOff>371475</xdr:colOff>
      <xdr:row>292</xdr:row>
      <xdr:rowOff>104775</xdr:rowOff>
    </xdr:to>
    <xdr:graphicFrame macro="">
      <xdr:nvGraphicFramePr>
        <xdr:cNvPr id="665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293</xdr:row>
      <xdr:rowOff>0</xdr:rowOff>
    </xdr:from>
    <xdr:to>
      <xdr:col>17</xdr:col>
      <xdr:colOff>381000</xdr:colOff>
      <xdr:row>307</xdr:row>
      <xdr:rowOff>123825</xdr:rowOff>
    </xdr:to>
    <xdr:graphicFrame macro="">
      <xdr:nvGraphicFramePr>
        <xdr:cNvPr id="665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337</xdr:row>
      <xdr:rowOff>0</xdr:rowOff>
    </xdr:from>
    <xdr:to>
      <xdr:col>17</xdr:col>
      <xdr:colOff>371475</xdr:colOff>
      <xdr:row>371</xdr:row>
      <xdr:rowOff>142875</xdr:rowOff>
    </xdr:to>
    <xdr:graphicFrame macro="">
      <xdr:nvGraphicFramePr>
        <xdr:cNvPr id="665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372</xdr:row>
      <xdr:rowOff>38100</xdr:rowOff>
    </xdr:from>
    <xdr:to>
      <xdr:col>17</xdr:col>
      <xdr:colOff>381000</xdr:colOff>
      <xdr:row>390</xdr:row>
      <xdr:rowOff>47625</xdr:rowOff>
    </xdr:to>
    <xdr:graphicFrame macro="">
      <xdr:nvGraphicFramePr>
        <xdr:cNvPr id="6656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1000125</xdr:colOff>
      <xdr:row>78</xdr:row>
      <xdr:rowOff>314325</xdr:rowOff>
    </xdr:from>
    <xdr:to>
      <xdr:col>12</xdr:col>
      <xdr:colOff>4238625</xdr:colOff>
      <xdr:row>89</xdr:row>
      <xdr:rowOff>266700</xdr:rowOff>
    </xdr:to>
    <xdr:graphicFrame macro="">
      <xdr:nvGraphicFramePr>
        <xdr:cNvPr id="737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66675</xdr:colOff>
      <xdr:row>95</xdr:row>
      <xdr:rowOff>85725</xdr:rowOff>
    </xdr:from>
    <xdr:to>
      <xdr:col>12</xdr:col>
      <xdr:colOff>4257675</xdr:colOff>
      <xdr:row>105</xdr:row>
      <xdr:rowOff>123825</xdr:rowOff>
    </xdr:to>
    <xdr:graphicFrame macro="">
      <xdr:nvGraphicFramePr>
        <xdr:cNvPr id="737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absoluteAnchor>
    <xdr:pos x="0" y="0"/>
    <xdr:ext cx="9153525" cy="5667375"/>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0.63756</cdr:x>
      <cdr:y>0.16537</cdr:y>
    </cdr:from>
    <cdr:to>
      <cdr:x>0.64615</cdr:x>
      <cdr:y>0.47489</cdr:y>
    </cdr:to>
    <cdr:sp macro="" textlink="">
      <cdr:nvSpPr>
        <cdr:cNvPr id="2" name="Right Brace 1"/>
        <cdr:cNvSpPr/>
      </cdr:nvSpPr>
      <cdr:spPr>
        <a:xfrm xmlns:a="http://schemas.openxmlformats.org/drawingml/2006/main">
          <a:off x="5925768" y="882231"/>
          <a:ext cx="93720" cy="2225105"/>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0.6555</cdr:x>
      <cdr:y>0.191</cdr:y>
    </cdr:from>
    <cdr:to>
      <cdr:x>0.71175</cdr:x>
      <cdr:y>0.54675</cdr:y>
    </cdr:to>
    <cdr:sp macro="" textlink="">
      <cdr:nvSpPr>
        <cdr:cNvPr id="11266" name="TextBox 2"/>
        <cdr:cNvSpPr txBox="1">
          <a:spLocks xmlns:a="http://schemas.openxmlformats.org/drawingml/2006/main" noChangeArrowheads="1"/>
        </cdr:cNvSpPr>
      </cdr:nvSpPr>
      <cdr:spPr bwMode="auto">
        <a:xfrm xmlns:a="http://schemas.openxmlformats.org/drawingml/2006/main" rot="5400000">
          <a:off x="5249495" y="1833110"/>
          <a:ext cx="2016168" cy="5148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22860" rIns="27432" bIns="0" anchor="ctr" upright="1"/>
        <a:lstStyle xmlns:a="http://schemas.openxmlformats.org/drawingml/2006/main"/>
        <a:p xmlns:a="http://schemas.openxmlformats.org/drawingml/2006/main">
          <a:pPr algn="r" rtl="0">
            <a:defRPr sz="1000"/>
          </a:pPr>
          <a:r>
            <a:rPr lang="fr-FR" sz="1000" b="0" i="0" u="none" strike="noStrike" baseline="0">
              <a:solidFill>
                <a:srgbClr val="000000"/>
              </a:solidFill>
              <a:latin typeface="Calibri"/>
            </a:rPr>
            <a:t>Filling the gaps towards the SPF guarantees</a:t>
          </a:r>
        </a:p>
      </cdr:txBody>
    </cdr:sp>
  </cdr:relSizeAnchor>
  <cdr:relSizeAnchor xmlns:cdr="http://schemas.openxmlformats.org/drawingml/2006/chartDrawing">
    <cdr:from>
      <cdr:x>0.63613</cdr:x>
      <cdr:y>0.4836</cdr:y>
    </cdr:from>
    <cdr:to>
      <cdr:x>0.64093</cdr:x>
      <cdr:y>0.92891</cdr:y>
    </cdr:to>
    <cdr:sp macro="" textlink="">
      <cdr:nvSpPr>
        <cdr:cNvPr id="4" name="Right Brace 3"/>
        <cdr:cNvSpPr/>
      </cdr:nvSpPr>
      <cdr:spPr>
        <a:xfrm xmlns:a="http://schemas.openxmlformats.org/drawingml/2006/main">
          <a:off x="5910143" y="3201025"/>
          <a:ext cx="46886" cy="2435887"/>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0.66075</cdr:x>
      <cdr:y>0.588</cdr:y>
    </cdr:from>
    <cdr:to>
      <cdr:x>0.69175</cdr:x>
      <cdr:y>1</cdr:y>
    </cdr:to>
    <cdr:sp macro="" textlink="">
      <cdr:nvSpPr>
        <cdr:cNvPr id="11268" name="TextBox 1"/>
        <cdr:cNvSpPr txBox="1">
          <a:spLocks xmlns:a="http://schemas.openxmlformats.org/drawingml/2006/main" noChangeArrowheads="1"/>
        </cdr:cNvSpPr>
      </cdr:nvSpPr>
      <cdr:spPr bwMode="auto">
        <a:xfrm xmlns:a="http://schemas.openxmlformats.org/drawingml/2006/main" rot="5400000">
          <a:off x="5022592" y="4359433"/>
          <a:ext cx="2334959" cy="2837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22860" rIns="27432" bIns="0" anchor="ctr" upright="1"/>
        <a:lstStyle xmlns:a="http://schemas.openxmlformats.org/drawingml/2006/main"/>
        <a:p xmlns:a="http://schemas.openxmlformats.org/drawingml/2006/main">
          <a:pPr algn="r" rtl="0">
            <a:defRPr sz="1000"/>
          </a:pPr>
          <a:r>
            <a:rPr lang="fr-FR" sz="1000" b="0" i="0" u="none" strike="noStrike" baseline="0">
              <a:solidFill>
                <a:srgbClr val="000000"/>
              </a:solidFill>
              <a:latin typeface="Calibri"/>
            </a:rPr>
            <a:t>Existing and planned SP provision</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86875" cy="605790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86875" cy="605790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o/AppData/Roaming/Microsoft/Excel/RAP_VietNam_v16%20without%20poverty%20gap.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POP"/>
      <sheetName val="AR"/>
      <sheetName val="EAP"/>
      <sheetName val="ECO"/>
      <sheetName val="Social Budget"/>
      <sheetName val="GGO(SQ) (SQ and Post SPF)"/>
      <sheetName val="Basic set of graphs"/>
      <sheetName val="CHILD (Holistic benefit)"/>
      <sheetName val="PENS (Universal)"/>
      <sheetName val="Working age (Holistic)"/>
      <sheetName val="G_SP state budget (1)"/>
      <sheetName val="Graph Post_Deficit % of GDP"/>
      <sheetName val="Graph Post_Deficit % of Gov"/>
    </sheetNames>
    <sheetDataSet>
      <sheetData sheetId="0"/>
      <sheetData sheetId="1"/>
      <sheetData sheetId="2"/>
      <sheetData sheetId="3"/>
      <sheetData sheetId="4"/>
      <sheetData sheetId="5"/>
      <sheetData sheetId="6">
        <row r="14">
          <cell r="C14">
            <v>2005</v>
          </cell>
          <cell r="D14">
            <v>2006</v>
          </cell>
          <cell r="E14">
            <v>2007</v>
          </cell>
          <cell r="F14">
            <v>2008</v>
          </cell>
          <cell r="G14">
            <v>2009</v>
          </cell>
          <cell r="H14">
            <v>2010</v>
          </cell>
          <cell r="I14">
            <v>2011</v>
          </cell>
          <cell r="J14">
            <v>2012</v>
          </cell>
          <cell r="K14">
            <v>2013</v>
          </cell>
          <cell r="L14">
            <v>2014</v>
          </cell>
          <cell r="M14">
            <v>2015</v>
          </cell>
          <cell r="N14">
            <v>2016</v>
          </cell>
          <cell r="O14">
            <v>2017</v>
          </cell>
          <cell r="P14">
            <v>2018</v>
          </cell>
          <cell r="Q14">
            <v>2019</v>
          </cell>
          <cell r="R14">
            <v>2020</v>
          </cell>
        </row>
        <row r="38">
          <cell r="B38" t="str">
            <v>Total revenue IMF (projections from Article IV)</v>
          </cell>
          <cell r="C38">
            <v>0</v>
          </cell>
          <cell r="D38">
            <v>279614342</v>
          </cell>
          <cell r="E38">
            <v>328246205</v>
          </cell>
          <cell r="F38">
            <v>430661020</v>
          </cell>
          <cell r="G38">
            <v>442789863</v>
          </cell>
          <cell r="H38">
            <v>525357000</v>
          </cell>
          <cell r="I38">
            <v>618399169.91999996</v>
          </cell>
          <cell r="J38">
            <v>707212158.17651296</v>
          </cell>
          <cell r="K38">
            <v>799931037.82387066</v>
          </cell>
          <cell r="L38">
            <v>907236986.96171618</v>
          </cell>
          <cell r="M38">
            <v>1034646790.5370665</v>
          </cell>
          <cell r="N38">
            <v>1165595622.5713463</v>
          </cell>
          <cell r="O38">
            <v>1313117836.7182224</v>
          </cell>
          <cell r="P38">
            <v>1479311023.2378218</v>
          </cell>
          <cell r="Q38">
            <v>1666538251.3896384</v>
          </cell>
          <cell r="R38">
            <v>1877461669.4641721</v>
          </cell>
        </row>
        <row r="74">
          <cell r="B74" t="str">
            <v>Total expenditure IMF</v>
          </cell>
          <cell r="C74">
            <v>266300000</v>
          </cell>
          <cell r="D74">
            <v>283511406</v>
          </cell>
          <cell r="E74">
            <v>349976790</v>
          </cell>
          <cell r="F74">
            <v>442541324</v>
          </cell>
          <cell r="G74">
            <v>590386484</v>
          </cell>
          <cell r="H74">
            <v>640583999.99999988</v>
          </cell>
          <cell r="I74">
            <v>716160803.39999998</v>
          </cell>
          <cell r="J74">
            <v>802711610.19304931</v>
          </cell>
          <cell r="K74">
            <v>905416449.40504038</v>
          </cell>
          <cell r="L74">
            <v>1023549421.1875772</v>
          </cell>
          <cell r="M74">
            <v>1159257535.3827715</v>
          </cell>
          <cell r="N74">
            <v>1295118077.3591888</v>
          </cell>
          <cell r="O74">
            <v>1447020528.972203</v>
          </cell>
          <cell r="P74">
            <v>1616738650.3238144</v>
          </cell>
          <cell r="Q74">
            <v>1806360129.1422658</v>
          </cell>
          <cell r="R74">
            <v>2018217029.3485899</v>
          </cell>
        </row>
        <row r="77">
          <cell r="B77" t="str">
            <v>General government fiscal balance</v>
          </cell>
          <cell r="C77">
            <v>-49500000</v>
          </cell>
          <cell r="D77">
            <v>-3897064</v>
          </cell>
          <cell r="E77">
            <v>-21730585</v>
          </cell>
          <cell r="F77">
            <v>-11880304</v>
          </cell>
          <cell r="G77">
            <v>-147596621</v>
          </cell>
          <cell r="H77">
            <v>-115226999.99999988</v>
          </cell>
          <cell r="I77">
            <v>-97761633.480000019</v>
          </cell>
          <cell r="J77">
            <v>-95499452.016536355</v>
          </cell>
          <cell r="K77">
            <v>-105485411.58116972</v>
          </cell>
          <cell r="L77">
            <v>-116312434.22586107</v>
          </cell>
          <cell r="M77">
            <v>-124610744.84570503</v>
          </cell>
          <cell r="N77">
            <v>-129522454.78784251</v>
          </cell>
          <cell r="O77">
            <v>-133902692.25398064</v>
          </cell>
          <cell r="P77">
            <v>-137427627.08599257</v>
          </cell>
          <cell r="Q77">
            <v>-139821877.75262737</v>
          </cell>
          <cell r="R77">
            <v>-140755359.88441777</v>
          </cell>
        </row>
        <row r="78">
          <cell r="B78" t="str">
            <v xml:space="preserve">Balance as a percentage of GDP </v>
          </cell>
          <cell r="C78">
            <v>-5.8983974232940222</v>
          </cell>
          <cell r="D78">
            <v>-0.4</v>
          </cell>
          <cell r="E78">
            <v>-1.9</v>
          </cell>
          <cell r="F78">
            <v>-0.8</v>
          </cell>
          <cell r="G78">
            <v>-8.9</v>
          </cell>
          <cell r="H78">
            <v>-5.8999999999999941</v>
          </cell>
          <cell r="I78">
            <v>-4.3000000000000007</v>
          </cell>
          <cell r="J78">
            <v>-3.6999999999999975</v>
          </cell>
          <cell r="K78">
            <v>-3.5999999999999983</v>
          </cell>
          <cell r="L78">
            <v>-3.5000000000000009</v>
          </cell>
          <cell r="M78">
            <v>-3.299999999999998</v>
          </cell>
          <cell r="N78">
            <v>-3.0558753669051941</v>
          </cell>
          <cell r="O78">
            <v>-2.8145696664417712</v>
          </cell>
          <cell r="P78">
            <v>-2.5735278027909212</v>
          </cell>
          <cell r="Q78">
            <v>-2.3327170833575366</v>
          </cell>
          <cell r="R78">
            <v>-2.0921075371854148</v>
          </cell>
        </row>
      </sheetData>
      <sheetData sheetId="7"/>
      <sheetData sheetId="8"/>
      <sheetData sheetId="9"/>
      <sheetData sheetId="10"/>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lo.org/thesaurus/defaulten.asp" TargetMode="External"/><Relationship Id="rId3" Type="http://schemas.openxmlformats.org/officeDocument/2006/relationships/hyperlink" Target="http://kilm.ilo.org/KILMnetBeta" TargetMode="External"/><Relationship Id="rId7" Type="http://schemas.openxmlformats.org/officeDocument/2006/relationships/hyperlink" Target="http://laborsta.ilo.org/applv8/data/c1e.html" TargetMode="External"/><Relationship Id="rId2" Type="http://schemas.openxmlformats.org/officeDocument/2006/relationships/hyperlink" Target="http://laborsta.ilo.org/" TargetMode="External"/><Relationship Id="rId1" Type="http://schemas.openxmlformats.org/officeDocument/2006/relationships/hyperlink" Target="http://www.socialsecurityextension.org/gimi/gess/RessFileDownload.do?ressourceId=20140" TargetMode="External"/><Relationship Id="rId6" Type="http://schemas.openxmlformats.org/officeDocument/2006/relationships/hyperlink" Target="http://www.imfbookstore.org/ProdDetails.asp?ID=GFEOL" TargetMode="External"/><Relationship Id="rId5" Type="http://schemas.openxmlformats.org/officeDocument/2006/relationships/hyperlink" Target="http://databank.worldbank.org/ddp/home.do" TargetMode="External"/><Relationship Id="rId10" Type="http://schemas.openxmlformats.org/officeDocument/2006/relationships/drawing" Target="../drawings/drawing1.xml"/><Relationship Id="rId4" Type="http://schemas.openxmlformats.org/officeDocument/2006/relationships/hyperlink" Target="http://unstats.un.org/unsd/snaama/"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ecurityextension.org/gimi/gess/RessFileDownload.do?ressourceId=20140" TargetMode="External"/><Relationship Id="rId1" Type="http://schemas.openxmlformats.org/officeDocument/2006/relationships/hyperlink" Target="http://www.socialsecurityextension.org/gimi/gess/RessFileDownload.do?ressourceId=2014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sheetPr codeName="Sheet14">
    <tabColor rgb="FF953735"/>
  </sheetPr>
  <dimension ref="A1:R197"/>
  <sheetViews>
    <sheetView topLeftCell="A58" workbookViewId="0">
      <selection activeCell="K59" sqref="K59"/>
    </sheetView>
  </sheetViews>
  <sheetFormatPr defaultColWidth="9.7109375" defaultRowHeight="15"/>
  <cols>
    <col min="1" max="16384" width="9.7109375" style="147"/>
  </cols>
  <sheetData>
    <row r="1" spans="1:9" ht="26.25">
      <c r="C1" s="810" t="s">
        <v>791</v>
      </c>
    </row>
    <row r="2" spans="1:9" ht="21">
      <c r="C2" s="811" t="s">
        <v>793</v>
      </c>
      <c r="G2" s="812"/>
    </row>
    <row r="3" spans="1:9" ht="18.75">
      <c r="C3" s="813" t="s">
        <v>792</v>
      </c>
    </row>
    <row r="6" spans="1:9">
      <c r="A6" s="146"/>
      <c r="C6" s="814"/>
      <c r="F6" s="387"/>
    </row>
    <row r="7" spans="1:9">
      <c r="A7" s="146"/>
      <c r="C7" s="814"/>
    </row>
    <row r="8" spans="1:9">
      <c r="A8" s="146"/>
      <c r="B8" s="1481"/>
      <c r="C8" s="1481"/>
    </row>
    <row r="9" spans="1:9">
      <c r="A9" s="146"/>
      <c r="B9" s="1481">
        <v>41072.327662037038</v>
      </c>
      <c r="C9" s="1481"/>
      <c r="E9" s="387"/>
    </row>
    <row r="10" spans="1:9">
      <c r="A10" s="146"/>
      <c r="C10" s="814"/>
    </row>
    <row r="11" spans="1:9">
      <c r="A11" s="146"/>
      <c r="C11" s="814"/>
    </row>
    <row r="12" spans="1:9" ht="21">
      <c r="A12" s="1482" t="s">
        <v>839</v>
      </c>
      <c r="B12" s="1482"/>
      <c r="C12" s="1482"/>
      <c r="D12" s="1482"/>
      <c r="E12" s="1482"/>
      <c r="F12" s="1482"/>
      <c r="G12" s="1482"/>
      <c r="H12" s="1482"/>
      <c r="I12" s="1482"/>
    </row>
    <row r="13" spans="1:9">
      <c r="A13" s="146"/>
      <c r="C13" s="814"/>
    </row>
    <row r="14" spans="1:9">
      <c r="A14" s="815" t="s">
        <v>840</v>
      </c>
    </row>
    <row r="15" spans="1:9">
      <c r="A15" s="815" t="s">
        <v>841</v>
      </c>
    </row>
    <row r="16" spans="1:9">
      <c r="A16" s="815" t="s">
        <v>828</v>
      </c>
    </row>
    <row r="17" spans="1:10">
      <c r="A17" s="815" t="s">
        <v>829</v>
      </c>
    </row>
    <row r="18" spans="1:10">
      <c r="A18" s="815" t="s">
        <v>830</v>
      </c>
    </row>
    <row r="19" spans="1:10">
      <c r="A19" s="815" t="s">
        <v>831</v>
      </c>
    </row>
    <row r="20" spans="1:10">
      <c r="A20" s="147" t="s">
        <v>832</v>
      </c>
    </row>
    <row r="21" spans="1:10">
      <c r="A21" s="147" t="s">
        <v>833</v>
      </c>
    </row>
    <row r="23" spans="1:10">
      <c r="A23" s="146" t="s">
        <v>840</v>
      </c>
    </row>
    <row r="24" spans="1:10" ht="75" customHeight="1">
      <c r="A24" s="1476" t="s">
        <v>18</v>
      </c>
      <c r="B24" s="1476"/>
      <c r="C24" s="1476"/>
      <c r="D24" s="1476"/>
      <c r="E24" s="1476"/>
      <c r="F24" s="1476"/>
      <c r="G24" s="1476"/>
      <c r="H24" s="1476"/>
      <c r="I24" s="1476"/>
      <c r="J24" s="346"/>
    </row>
    <row r="25" spans="1:10" ht="15" customHeight="1">
      <c r="A25" s="816"/>
      <c r="B25" s="816"/>
      <c r="C25" s="816"/>
      <c r="D25" s="816"/>
      <c r="E25" s="816"/>
      <c r="F25" s="816"/>
      <c r="G25" s="816"/>
      <c r="H25" s="816"/>
      <c r="I25" s="816"/>
      <c r="J25" s="346"/>
    </row>
    <row r="26" spans="1:10">
      <c r="A26" s="146" t="s">
        <v>841</v>
      </c>
    </row>
    <row r="27" spans="1:10" ht="90" customHeight="1">
      <c r="A27" s="1476" t="s">
        <v>17</v>
      </c>
      <c r="B27" s="1476"/>
      <c r="C27" s="1476"/>
      <c r="D27" s="1476"/>
      <c r="E27" s="1476"/>
      <c r="F27" s="1476"/>
      <c r="G27" s="1476"/>
      <c r="H27" s="1476"/>
      <c r="I27" s="1476"/>
    </row>
    <row r="28" spans="1:10" ht="15" customHeight="1">
      <c r="A28" s="816"/>
      <c r="B28" s="816"/>
      <c r="C28" s="816"/>
      <c r="D28" s="816"/>
      <c r="E28" s="816"/>
      <c r="F28" s="816"/>
      <c r="G28" s="816"/>
      <c r="H28" s="816"/>
      <c r="I28" s="816"/>
    </row>
    <row r="29" spans="1:10">
      <c r="A29" s="146" t="s">
        <v>820</v>
      </c>
    </row>
    <row r="30" spans="1:10">
      <c r="A30" s="1471"/>
      <c r="B30" s="1471"/>
      <c r="C30" s="1471"/>
      <c r="D30" s="1471"/>
      <c r="E30" s="1471"/>
      <c r="F30" s="1471"/>
      <c r="G30" s="1471"/>
      <c r="H30" s="1471"/>
      <c r="I30" s="1471"/>
    </row>
    <row r="31" spans="1:10">
      <c r="A31" s="146" t="s">
        <v>821</v>
      </c>
    </row>
    <row r="32" spans="1:10" ht="75" customHeight="1">
      <c r="A32" s="1476" t="s">
        <v>0</v>
      </c>
      <c r="B32" s="1476"/>
      <c r="C32" s="1476"/>
      <c r="D32" s="1476"/>
      <c r="E32" s="1476"/>
      <c r="F32" s="1476"/>
      <c r="G32" s="1476"/>
      <c r="H32" s="1476"/>
      <c r="I32" s="1476"/>
    </row>
    <row r="33" spans="1:12" ht="9.9499999999999993" customHeight="1">
      <c r="A33" s="817"/>
      <c r="B33" s="817"/>
      <c r="C33" s="817"/>
      <c r="D33" s="817"/>
      <c r="E33" s="817"/>
      <c r="F33" s="817"/>
      <c r="G33" s="817"/>
      <c r="H33" s="817"/>
      <c r="I33" s="817"/>
    </row>
    <row r="34" spans="1:12">
      <c r="A34" s="24" t="s">
        <v>819</v>
      </c>
    </row>
    <row r="35" spans="1:12" ht="45" customHeight="1">
      <c r="A35" s="1478" t="s">
        <v>39</v>
      </c>
      <c r="B35" s="1478"/>
      <c r="C35" s="1478"/>
      <c r="D35" s="1478"/>
      <c r="E35" s="1478"/>
      <c r="F35" s="1478"/>
      <c r="G35" s="1478"/>
      <c r="H35" s="1478"/>
      <c r="I35" s="1478"/>
    </row>
    <row r="36" spans="1:12" ht="30" customHeight="1">
      <c r="A36" s="1478" t="s">
        <v>36</v>
      </c>
      <c r="B36" s="1478"/>
      <c r="C36" s="1478"/>
      <c r="D36" s="1478"/>
      <c r="E36" s="1478"/>
      <c r="F36" s="1478"/>
      <c r="G36" s="1478"/>
      <c r="H36" s="1478"/>
      <c r="I36" s="1478"/>
    </row>
    <row r="37" spans="1:12" ht="30" customHeight="1">
      <c r="A37" s="1478" t="s">
        <v>35</v>
      </c>
      <c r="B37" s="1478"/>
      <c r="C37" s="1478"/>
      <c r="D37" s="1478"/>
      <c r="E37" s="1478"/>
      <c r="F37" s="1478"/>
      <c r="G37" s="1478"/>
      <c r="H37" s="1478"/>
      <c r="I37" s="1478"/>
    </row>
    <row r="38" spans="1:12" ht="30" customHeight="1">
      <c r="A38" s="1478" t="s">
        <v>80</v>
      </c>
      <c r="B38" s="1478"/>
      <c r="C38" s="1478"/>
      <c r="D38" s="1478"/>
      <c r="E38" s="1478"/>
      <c r="F38" s="1478"/>
      <c r="G38" s="1478"/>
      <c r="H38" s="1478"/>
      <c r="I38" s="1478"/>
    </row>
    <row r="39" spans="1:12" ht="30" customHeight="1">
      <c r="A39" s="1477" t="s">
        <v>37</v>
      </c>
      <c r="B39" s="1477"/>
      <c r="C39" s="1477"/>
      <c r="D39" s="1477"/>
      <c r="E39" s="1477"/>
      <c r="F39" s="1477"/>
      <c r="G39" s="1477"/>
      <c r="H39" s="1477"/>
      <c r="I39" s="1477"/>
    </row>
    <row r="40" spans="1:12" ht="75" customHeight="1">
      <c r="A40" s="1476" t="s">
        <v>38</v>
      </c>
      <c r="B40" s="1476"/>
      <c r="C40" s="1476"/>
      <c r="D40" s="1476"/>
      <c r="E40" s="1476"/>
      <c r="F40" s="1476"/>
      <c r="G40" s="1476"/>
      <c r="H40" s="1476"/>
      <c r="I40" s="1476"/>
    </row>
    <row r="41" spans="1:12" ht="45" customHeight="1">
      <c r="A41" s="1480" t="s">
        <v>67</v>
      </c>
      <c r="B41" s="1478"/>
      <c r="C41" s="1478"/>
      <c r="D41" s="1478"/>
      <c r="E41" s="1478"/>
      <c r="F41" s="1478"/>
      <c r="G41" s="1478"/>
      <c r="H41" s="1478"/>
      <c r="I41" s="1478"/>
    </row>
    <row r="42" spans="1:12" ht="45" customHeight="1">
      <c r="A42" s="1479" t="s">
        <v>68</v>
      </c>
      <c r="B42" s="1476"/>
      <c r="C42" s="1476"/>
      <c r="D42" s="1476"/>
      <c r="E42" s="1476"/>
      <c r="F42" s="1476"/>
      <c r="G42" s="1476"/>
      <c r="H42" s="1476"/>
      <c r="I42" s="1476"/>
    </row>
    <row r="43" spans="1:12" ht="75" customHeight="1">
      <c r="A43" s="1479" t="s">
        <v>76</v>
      </c>
      <c r="B43" s="1476"/>
      <c r="C43" s="1476"/>
      <c r="D43" s="1476"/>
      <c r="E43" s="1476"/>
      <c r="F43" s="1476"/>
      <c r="G43" s="1476"/>
      <c r="H43" s="1476"/>
      <c r="I43" s="1476"/>
    </row>
    <row r="44" spans="1:12" ht="9.9499999999999993" customHeight="1">
      <c r="A44" s="146"/>
    </row>
    <row r="45" spans="1:12" s="819" customFormat="1" ht="30.75" customHeight="1">
      <c r="A45" s="1476" t="s">
        <v>77</v>
      </c>
      <c r="B45" s="1476"/>
      <c r="C45" s="1476"/>
      <c r="D45" s="1476"/>
      <c r="E45" s="1476"/>
      <c r="F45" s="1476"/>
      <c r="G45" s="1476"/>
      <c r="H45" s="1476"/>
      <c r="I45" s="1476"/>
      <c r="J45" s="818"/>
      <c r="K45" s="818"/>
    </row>
    <row r="46" spans="1:12" ht="9.9499999999999993" customHeight="1"/>
    <row r="47" spans="1:12" s="819" customFormat="1" ht="50.25" customHeight="1">
      <c r="A47" s="1469" t="s">
        <v>799</v>
      </c>
      <c r="B47" s="1470"/>
      <c r="C47" s="820"/>
      <c r="D47" s="1469" t="s">
        <v>800</v>
      </c>
      <c r="E47" s="1470"/>
      <c r="F47" s="820"/>
      <c r="G47" s="1469" t="s">
        <v>801</v>
      </c>
      <c r="H47" s="1470"/>
      <c r="I47" s="820"/>
      <c r="J47" s="820"/>
      <c r="K47" s="820"/>
      <c r="L47" s="820"/>
    </row>
    <row r="48" spans="1:12" s="819" customFormat="1" ht="123" customHeight="1">
      <c r="A48" s="1473" t="s">
        <v>818</v>
      </c>
      <c r="B48" s="1474"/>
      <c r="D48" s="1473" t="s">
        <v>816</v>
      </c>
      <c r="E48" s="1474"/>
      <c r="G48" s="1473" t="s">
        <v>817</v>
      </c>
      <c r="H48" s="1474"/>
    </row>
    <row r="49" spans="1:1" ht="9.9499999999999993" customHeight="1">
      <c r="A49" s="821"/>
    </row>
    <row r="50" spans="1:1" s="819" customFormat="1" ht="15" customHeight="1">
      <c r="A50" s="822"/>
    </row>
    <row r="51" spans="1:1" s="819" customFormat="1" ht="15" customHeight="1">
      <c r="A51" s="822"/>
    </row>
    <row r="52" spans="1:1" s="819" customFormat="1" ht="15" customHeight="1">
      <c r="A52" s="822"/>
    </row>
    <row r="53" spans="1:1" s="819" customFormat="1" ht="15" customHeight="1">
      <c r="A53" s="822"/>
    </row>
    <row r="54" spans="1:1" s="819" customFormat="1" ht="15" customHeight="1">
      <c r="A54" s="822"/>
    </row>
    <row r="55" spans="1:1" s="819" customFormat="1" ht="15" customHeight="1">
      <c r="A55" s="822"/>
    </row>
    <row r="56" spans="1:1" s="819" customFormat="1" ht="15" customHeight="1">
      <c r="A56" s="822"/>
    </row>
    <row r="57" spans="1:1" s="819" customFormat="1" ht="15" customHeight="1">
      <c r="A57" s="822"/>
    </row>
    <row r="58" spans="1:1" s="819" customFormat="1">
      <c r="A58" s="823" t="s">
        <v>822</v>
      </c>
    </row>
    <row r="59" spans="1:1" s="819" customFormat="1">
      <c r="A59" s="824"/>
    </row>
    <row r="80" spans="1:1">
      <c r="A80" s="146" t="s">
        <v>836</v>
      </c>
    </row>
    <row r="103" spans="1:18">
      <c r="A103" s="146" t="s">
        <v>837</v>
      </c>
    </row>
    <row r="104" spans="1:18" ht="150" customHeight="1">
      <c r="A104" s="1476" t="s">
        <v>79</v>
      </c>
      <c r="B104" s="1476"/>
      <c r="C104" s="1476"/>
      <c r="D104" s="1476"/>
      <c r="E104" s="1476"/>
      <c r="F104" s="1476"/>
      <c r="G104" s="1476"/>
      <c r="H104" s="1476"/>
      <c r="I104" s="1476"/>
    </row>
    <row r="105" spans="1:18">
      <c r="K105" s="825"/>
      <c r="L105" s="825"/>
      <c r="M105" s="825"/>
      <c r="N105" s="825"/>
      <c r="O105" s="825"/>
      <c r="P105" s="825"/>
      <c r="Q105" s="825"/>
      <c r="R105" s="825"/>
    </row>
    <row r="106" spans="1:18">
      <c r="K106" s="825"/>
      <c r="L106" s="825"/>
      <c r="M106" s="825"/>
      <c r="N106" s="825"/>
      <c r="O106" s="825"/>
      <c r="P106" s="825"/>
      <c r="Q106" s="825"/>
      <c r="R106" s="825"/>
    </row>
    <row r="107" spans="1:18">
      <c r="K107" s="825"/>
      <c r="L107" s="825"/>
      <c r="M107" s="825"/>
      <c r="N107" s="825"/>
      <c r="O107" s="825"/>
      <c r="P107" s="825"/>
      <c r="Q107" s="825"/>
      <c r="R107" s="825"/>
    </row>
    <row r="108" spans="1:18">
      <c r="K108" s="825"/>
      <c r="L108" s="825"/>
      <c r="M108" s="825"/>
      <c r="N108" s="825"/>
      <c r="O108" s="825"/>
      <c r="P108" s="825"/>
      <c r="Q108" s="825"/>
      <c r="R108" s="825"/>
    </row>
    <row r="109" spans="1:18">
      <c r="K109" s="825"/>
      <c r="L109" s="825"/>
      <c r="M109" s="825"/>
      <c r="N109" s="825"/>
      <c r="O109" s="825"/>
      <c r="P109" s="825"/>
      <c r="Q109" s="825"/>
      <c r="R109" s="825"/>
    </row>
    <row r="110" spans="1:18">
      <c r="K110" s="825"/>
      <c r="L110" s="825"/>
      <c r="M110" s="825"/>
      <c r="N110" s="825"/>
      <c r="O110" s="825"/>
      <c r="P110" s="825"/>
      <c r="Q110" s="825"/>
      <c r="R110" s="825"/>
    </row>
    <row r="115" spans="1:18">
      <c r="K115" s="825"/>
      <c r="L115" s="825"/>
      <c r="M115" s="825"/>
      <c r="N115" s="825"/>
      <c r="O115" s="825"/>
      <c r="P115" s="825"/>
      <c r="Q115" s="825"/>
      <c r="R115" s="825"/>
    </row>
    <row r="116" spans="1:18">
      <c r="K116" s="825"/>
      <c r="L116" s="825"/>
      <c r="M116" s="825"/>
      <c r="N116" s="825"/>
      <c r="O116" s="825"/>
      <c r="P116" s="825"/>
      <c r="Q116" s="825"/>
      <c r="R116" s="825"/>
    </row>
    <row r="117" spans="1:18">
      <c r="K117" s="825"/>
      <c r="L117" s="825"/>
      <c r="M117" s="825"/>
      <c r="N117" s="825"/>
      <c r="O117" s="825"/>
      <c r="P117" s="825"/>
      <c r="Q117" s="825"/>
      <c r="R117" s="825"/>
    </row>
    <row r="118" spans="1:18">
      <c r="K118" s="825"/>
      <c r="L118" s="825"/>
      <c r="M118" s="825"/>
      <c r="N118" s="825"/>
      <c r="O118" s="825"/>
      <c r="P118" s="825"/>
      <c r="Q118" s="825"/>
      <c r="R118" s="825"/>
    </row>
    <row r="119" spans="1:18">
      <c r="K119" s="825"/>
      <c r="L119" s="825"/>
      <c r="M119" s="825"/>
      <c r="N119" s="825"/>
      <c r="O119" s="825"/>
      <c r="P119" s="825"/>
      <c r="Q119" s="825"/>
      <c r="R119" s="825"/>
    </row>
    <row r="120" spans="1:18">
      <c r="K120" s="825"/>
      <c r="L120" s="825"/>
      <c r="M120" s="825"/>
      <c r="N120" s="825"/>
      <c r="O120" s="825"/>
      <c r="P120" s="825"/>
      <c r="Q120" s="825"/>
      <c r="R120" s="825"/>
    </row>
    <row r="125" spans="1:18">
      <c r="A125" s="146" t="s">
        <v>823</v>
      </c>
    </row>
    <row r="126" spans="1:18" ht="9.9499999999999993" customHeight="1">
      <c r="A126" s="146"/>
    </row>
    <row r="127" spans="1:18">
      <c r="A127" s="826" t="s">
        <v>809</v>
      </c>
      <c r="I127" s="827"/>
    </row>
    <row r="128" spans="1:18">
      <c r="A128" s="24" t="s">
        <v>802</v>
      </c>
      <c r="I128" s="827"/>
    </row>
    <row r="129" spans="1:9" ht="9.9499999999999993" customHeight="1">
      <c r="A129" s="24"/>
      <c r="I129" s="827"/>
    </row>
    <row r="130" spans="1:9" ht="15" customHeight="1">
      <c r="A130" s="828" t="s">
        <v>2</v>
      </c>
      <c r="B130" s="1471" t="s">
        <v>10</v>
      </c>
      <c r="C130" s="1471"/>
      <c r="D130" s="1471"/>
      <c r="E130" s="1471"/>
      <c r="F130" s="1471"/>
      <c r="G130" s="1471"/>
      <c r="H130" s="1471"/>
      <c r="I130" s="827"/>
    </row>
    <row r="131" spans="1:9" ht="30" customHeight="1">
      <c r="A131" s="24"/>
      <c r="B131" s="1475" t="s">
        <v>8</v>
      </c>
      <c r="C131" s="1475"/>
      <c r="D131" s="1475"/>
      <c r="E131" s="1475"/>
      <c r="F131" s="1475"/>
      <c r="G131" s="1475"/>
      <c r="H131" s="1475"/>
      <c r="I131" s="829" t="s">
        <v>4</v>
      </c>
    </row>
    <row r="132" spans="1:9" ht="9.9499999999999993" customHeight="1">
      <c r="A132" s="24"/>
      <c r="I132" s="827"/>
    </row>
    <row r="133" spans="1:9">
      <c r="A133" s="826" t="s">
        <v>810</v>
      </c>
      <c r="I133" s="827"/>
    </row>
    <row r="134" spans="1:9">
      <c r="A134" s="24" t="s">
        <v>69</v>
      </c>
      <c r="I134" s="827"/>
    </row>
    <row r="135" spans="1:9">
      <c r="A135" s="24" t="s">
        <v>812</v>
      </c>
      <c r="I135" s="827"/>
    </row>
    <row r="136" spans="1:9">
      <c r="A136" s="24" t="s">
        <v>806</v>
      </c>
      <c r="I136" s="827"/>
    </row>
    <row r="137" spans="1:9">
      <c r="A137" s="24" t="s">
        <v>807</v>
      </c>
      <c r="I137" s="827"/>
    </row>
    <row r="138" spans="1:9">
      <c r="A138" s="24" t="s">
        <v>808</v>
      </c>
      <c r="I138" s="827"/>
    </row>
    <row r="139" spans="1:9" ht="9.9499999999999993" customHeight="1">
      <c r="A139" s="24"/>
      <c r="I139" s="827"/>
    </row>
    <row r="140" spans="1:9" ht="30" customHeight="1">
      <c r="A140" s="828" t="s">
        <v>3</v>
      </c>
      <c r="B140" s="1471" t="s">
        <v>1</v>
      </c>
      <c r="C140" s="1471"/>
      <c r="D140" s="1471"/>
      <c r="E140" s="1471"/>
      <c r="F140" s="1471"/>
      <c r="G140" s="1471"/>
      <c r="H140" s="1471"/>
      <c r="I140" s="830"/>
    </row>
    <row r="141" spans="1:9" ht="30" customHeight="1">
      <c r="A141" s="24"/>
      <c r="B141" s="1471" t="s">
        <v>70</v>
      </c>
      <c r="C141" s="1471"/>
      <c r="D141" s="1471"/>
      <c r="E141" s="1471"/>
      <c r="F141" s="1471"/>
      <c r="G141" s="1471"/>
      <c r="H141" s="1471"/>
      <c r="I141" s="829" t="s">
        <v>4</v>
      </c>
    </row>
    <row r="142" spans="1:9">
      <c r="A142" s="24"/>
      <c r="B142" s="147" t="s">
        <v>5</v>
      </c>
      <c r="I142" s="829" t="s">
        <v>4</v>
      </c>
    </row>
    <row r="143" spans="1:9" ht="9.9499999999999993" customHeight="1">
      <c r="A143" s="24"/>
      <c r="I143" s="827"/>
    </row>
    <row r="144" spans="1:9">
      <c r="A144" s="826" t="s">
        <v>6</v>
      </c>
      <c r="I144" s="827"/>
    </row>
    <row r="145" spans="1:9">
      <c r="A145" s="24" t="s">
        <v>813</v>
      </c>
      <c r="I145" s="827"/>
    </row>
    <row r="146" spans="1:9">
      <c r="A146" s="24" t="s">
        <v>815</v>
      </c>
      <c r="I146" s="827"/>
    </row>
    <row r="147" spans="1:9">
      <c r="A147" s="24" t="s">
        <v>811</v>
      </c>
      <c r="I147" s="827"/>
    </row>
    <row r="148" spans="1:9">
      <c r="A148" s="24" t="s">
        <v>805</v>
      </c>
      <c r="I148" s="827"/>
    </row>
    <row r="149" spans="1:9">
      <c r="A149" s="831" t="s">
        <v>803</v>
      </c>
      <c r="I149" s="827"/>
    </row>
    <row r="150" spans="1:9">
      <c r="A150" s="24" t="s">
        <v>804</v>
      </c>
      <c r="I150" s="827"/>
    </row>
    <row r="151" spans="1:9" ht="9.9499999999999993" customHeight="1">
      <c r="A151" s="24"/>
      <c r="I151" s="827"/>
    </row>
    <row r="152" spans="1:9" s="832" customFormat="1" ht="15" customHeight="1">
      <c r="A152" s="828" t="s">
        <v>3</v>
      </c>
      <c r="B152" s="1472" t="s">
        <v>9</v>
      </c>
      <c r="C152" s="1472"/>
      <c r="D152" s="1472"/>
      <c r="E152" s="1472"/>
      <c r="F152" s="1472"/>
      <c r="G152" s="1472"/>
      <c r="H152" s="1472"/>
    </row>
    <row r="153" spans="1:9">
      <c r="A153" s="24"/>
      <c r="B153" s="1471" t="s">
        <v>11</v>
      </c>
      <c r="C153" s="1471"/>
      <c r="D153" s="1471"/>
      <c r="E153" s="1471"/>
      <c r="F153" s="1471"/>
      <c r="G153" s="1471"/>
      <c r="H153" s="1471"/>
      <c r="I153" s="829" t="s">
        <v>4</v>
      </c>
    </row>
    <row r="154" spans="1:9">
      <c r="A154" s="24"/>
      <c r="B154" s="147" t="s">
        <v>12</v>
      </c>
      <c r="I154" s="829" t="s">
        <v>4</v>
      </c>
    </row>
    <row r="155" spans="1:9" ht="60" customHeight="1">
      <c r="A155" s="24"/>
      <c r="B155" s="1468" t="s">
        <v>13</v>
      </c>
      <c r="C155" s="1468"/>
      <c r="D155" s="1468"/>
      <c r="E155" s="1468"/>
      <c r="F155" s="1468"/>
      <c r="G155" s="1468"/>
      <c r="H155" s="1468"/>
      <c r="I155" s="827"/>
    </row>
    <row r="156" spans="1:9" ht="9.9499999999999993" customHeight="1">
      <c r="A156" s="24"/>
      <c r="I156" s="827"/>
    </row>
    <row r="157" spans="1:9">
      <c r="A157" s="826" t="s">
        <v>7</v>
      </c>
      <c r="I157" s="827"/>
    </row>
    <row r="158" spans="1:9">
      <c r="A158" s="24" t="s">
        <v>14</v>
      </c>
      <c r="I158" s="827"/>
    </row>
    <row r="159" spans="1:9" ht="9.9499999999999993" customHeight="1">
      <c r="A159" s="24"/>
      <c r="I159" s="827"/>
    </row>
    <row r="160" spans="1:9" ht="30" customHeight="1">
      <c r="A160" s="828" t="s">
        <v>3</v>
      </c>
      <c r="B160" s="1471" t="s">
        <v>15</v>
      </c>
      <c r="C160" s="1471"/>
      <c r="D160" s="1471"/>
      <c r="E160" s="1471"/>
      <c r="F160" s="1471"/>
      <c r="G160" s="1471"/>
      <c r="H160" s="1471"/>
      <c r="I160" s="827"/>
    </row>
    <row r="161" spans="1:9" ht="45" customHeight="1">
      <c r="A161" s="24"/>
      <c r="B161" s="1471" t="s">
        <v>16</v>
      </c>
      <c r="C161" s="1471"/>
      <c r="D161" s="1471"/>
      <c r="E161" s="1471"/>
      <c r="F161" s="1471"/>
      <c r="G161" s="1471"/>
      <c r="H161" s="1471"/>
      <c r="I161" s="829" t="s">
        <v>4</v>
      </c>
    </row>
    <row r="162" spans="1:9" ht="60" customHeight="1">
      <c r="A162" s="24"/>
      <c r="B162" s="1468" t="s">
        <v>13</v>
      </c>
      <c r="C162" s="1468"/>
      <c r="D162" s="1468"/>
      <c r="E162" s="1468"/>
      <c r="F162" s="1468"/>
      <c r="G162" s="1468"/>
      <c r="H162" s="1468"/>
      <c r="I162" s="827"/>
    </row>
    <row r="163" spans="1:9" ht="9.9499999999999993" customHeight="1">
      <c r="A163" s="24"/>
      <c r="I163" s="827"/>
    </row>
    <row r="164" spans="1:9">
      <c r="A164" s="826" t="s">
        <v>19</v>
      </c>
      <c r="I164" s="827"/>
    </row>
    <row r="165" spans="1:9" ht="30" customHeight="1">
      <c r="A165" s="1478" t="s">
        <v>20</v>
      </c>
      <c r="B165" s="1483"/>
      <c r="C165" s="1483"/>
      <c r="D165" s="1483"/>
      <c r="E165" s="1483"/>
      <c r="F165" s="1483"/>
      <c r="G165" s="1483"/>
      <c r="H165" s="1483"/>
      <c r="I165" s="827"/>
    </row>
    <row r="166" spans="1:9" ht="9.9499999999999993" customHeight="1">
      <c r="A166" s="24"/>
      <c r="I166" s="827"/>
    </row>
    <row r="167" spans="1:9" ht="15" customHeight="1">
      <c r="A167" s="24" t="s">
        <v>3</v>
      </c>
      <c r="B167" s="1471" t="s">
        <v>21</v>
      </c>
      <c r="C167" s="1471"/>
      <c r="D167" s="1471"/>
      <c r="E167" s="1471"/>
      <c r="F167" s="1471"/>
      <c r="G167" s="1471"/>
      <c r="H167" s="1471"/>
      <c r="I167" s="819"/>
    </row>
    <row r="168" spans="1:9">
      <c r="B168" s="1487" t="s">
        <v>22</v>
      </c>
      <c r="C168" s="1487"/>
      <c r="D168" s="1487"/>
      <c r="E168" s="1487"/>
      <c r="F168" s="1487"/>
      <c r="G168" s="1487"/>
      <c r="H168" s="1487"/>
      <c r="I168" s="827"/>
    </row>
    <row r="169" spans="1:9" ht="30" customHeight="1">
      <c r="B169" s="1471" t="s">
        <v>23</v>
      </c>
      <c r="C169" s="1471"/>
      <c r="D169" s="1471"/>
      <c r="E169" s="1471"/>
      <c r="F169" s="1471"/>
      <c r="G169" s="1471"/>
      <c r="H169" s="1471"/>
      <c r="I169" s="827"/>
    </row>
    <row r="170" spans="1:9">
      <c r="I170" s="827"/>
    </row>
    <row r="171" spans="1:9">
      <c r="A171" s="146" t="s">
        <v>824</v>
      </c>
    </row>
    <row r="172" spans="1:9">
      <c r="A172" s="24" t="s">
        <v>795</v>
      </c>
    </row>
    <row r="173" spans="1:9">
      <c r="A173" s="24" t="s">
        <v>794</v>
      </c>
    </row>
    <row r="175" spans="1:9">
      <c r="A175" s="146" t="s">
        <v>825</v>
      </c>
    </row>
    <row r="176" spans="1:9" ht="9.9499999999999993" customHeight="1"/>
    <row r="177" spans="1:9" ht="75" customHeight="1">
      <c r="A177" s="1484" t="s">
        <v>81</v>
      </c>
      <c r="B177" s="1484"/>
      <c r="C177" s="1484"/>
      <c r="D177" s="1484"/>
      <c r="E177" s="1484"/>
      <c r="F177" s="1484"/>
      <c r="G177" s="1484"/>
      <c r="H177" s="1484"/>
      <c r="I177" s="1484"/>
    </row>
    <row r="178" spans="1:9" ht="24.95" customHeight="1">
      <c r="A178" s="24"/>
      <c r="B178" s="24"/>
      <c r="C178" s="24"/>
      <c r="D178" s="24"/>
      <c r="E178" s="24"/>
      <c r="F178" s="24"/>
      <c r="G178" s="24"/>
      <c r="H178" s="24"/>
      <c r="I178" s="24"/>
    </row>
    <row r="179" spans="1:9" ht="30" customHeight="1">
      <c r="A179" s="1478" t="s">
        <v>71</v>
      </c>
      <c r="B179" s="1478"/>
      <c r="C179" s="1478"/>
      <c r="D179" s="1478"/>
      <c r="E179" s="1478"/>
      <c r="F179" s="1478"/>
      <c r="G179" s="1478"/>
      <c r="H179" s="1478"/>
      <c r="I179" s="1478"/>
    </row>
    <row r="180" spans="1:9" ht="15" customHeight="1">
      <c r="A180" s="1486" t="s">
        <v>31</v>
      </c>
      <c r="B180" s="1486"/>
      <c r="C180" s="1486"/>
      <c r="D180" s="1486"/>
      <c r="E180" s="1486"/>
      <c r="F180" s="1486"/>
      <c r="G180" s="1486"/>
      <c r="H180" s="1486"/>
      <c r="I180" s="1486"/>
    </row>
    <row r="181" spans="1:9" ht="9.9499999999999993" customHeight="1">
      <c r="A181" s="833"/>
      <c r="B181" s="834"/>
      <c r="C181" s="834"/>
      <c r="D181" s="834"/>
      <c r="E181" s="835"/>
      <c r="F181" s="835"/>
      <c r="G181" s="835"/>
      <c r="H181" s="835"/>
      <c r="I181" s="835"/>
    </row>
    <row r="182" spans="1:9" s="836" customFormat="1" ht="30" customHeight="1">
      <c r="A182" s="1476" t="s">
        <v>78</v>
      </c>
      <c r="B182" s="1476"/>
      <c r="C182" s="1476"/>
      <c r="D182" s="1476"/>
      <c r="E182" s="1476"/>
      <c r="F182" s="1476"/>
      <c r="G182" s="1476"/>
      <c r="H182" s="1476"/>
      <c r="I182" s="1476"/>
    </row>
    <row r="183" spans="1:9" ht="30" customHeight="1">
      <c r="A183" s="24"/>
      <c r="B183" s="24"/>
      <c r="C183" s="24"/>
      <c r="D183" s="24"/>
      <c r="E183" s="24"/>
      <c r="F183" s="24"/>
      <c r="G183" s="24"/>
      <c r="H183" s="24"/>
      <c r="I183" s="24"/>
    </row>
    <row r="184" spans="1:9" ht="30" customHeight="1">
      <c r="A184" s="1478" t="s">
        <v>72</v>
      </c>
      <c r="B184" s="1478"/>
      <c r="C184" s="1478"/>
      <c r="D184" s="1478"/>
      <c r="E184" s="1478"/>
      <c r="F184" s="1478"/>
      <c r="G184" s="1478"/>
      <c r="H184" s="1478"/>
      <c r="I184" s="1478"/>
    </row>
    <row r="185" spans="1:9" ht="9.9499999999999993" customHeight="1">
      <c r="A185" s="835"/>
      <c r="B185" s="835"/>
      <c r="C185" s="835"/>
      <c r="D185" s="835"/>
      <c r="E185" s="835"/>
      <c r="F185" s="835"/>
      <c r="G185" s="835"/>
      <c r="H185" s="835"/>
      <c r="I185" s="835"/>
    </row>
    <row r="186" spans="1:9" ht="45" customHeight="1">
      <c r="A186" s="1478" t="s">
        <v>826</v>
      </c>
      <c r="B186" s="1478"/>
      <c r="C186" s="1478"/>
      <c r="D186" s="1478"/>
      <c r="E186" s="1478"/>
      <c r="F186" s="1478"/>
      <c r="G186" s="1478"/>
      <c r="H186" s="1478"/>
      <c r="I186" s="1478"/>
    </row>
    <row r="187" spans="1:9" ht="30" customHeight="1">
      <c r="A187" s="24"/>
      <c r="B187" s="24"/>
      <c r="C187" s="24"/>
      <c r="D187" s="24"/>
      <c r="E187" s="24"/>
      <c r="F187" s="24"/>
      <c r="G187" s="24"/>
      <c r="H187" s="24"/>
      <c r="I187" s="24"/>
    </row>
    <row r="188" spans="1:9" ht="30" customHeight="1">
      <c r="A188" s="1478" t="s">
        <v>74</v>
      </c>
      <c r="B188" s="1478"/>
      <c r="C188" s="1478"/>
      <c r="D188" s="1478"/>
      <c r="E188" s="1478"/>
      <c r="F188" s="1478"/>
      <c r="G188" s="1478"/>
      <c r="H188" s="1478"/>
      <c r="I188" s="1478"/>
    </row>
    <row r="189" spans="1:9" ht="9.9499999999999993" customHeight="1">
      <c r="A189" s="835"/>
      <c r="B189" s="835"/>
      <c r="C189" s="835"/>
      <c r="D189" s="835"/>
      <c r="E189" s="835"/>
      <c r="F189" s="835"/>
      <c r="G189" s="835"/>
      <c r="H189" s="835"/>
      <c r="I189" s="835"/>
    </row>
    <row r="190" spans="1:9" ht="60" customHeight="1">
      <c r="A190" s="1476" t="s">
        <v>827</v>
      </c>
      <c r="B190" s="1476"/>
      <c r="C190" s="1476"/>
      <c r="D190" s="1476"/>
      <c r="E190" s="1476"/>
      <c r="F190" s="1476"/>
      <c r="G190" s="1476"/>
      <c r="H190" s="1476"/>
      <c r="I190" s="1476"/>
    </row>
    <row r="191" spans="1:9" ht="30" customHeight="1">
      <c r="A191" s="24"/>
      <c r="B191" s="24"/>
      <c r="C191" s="24"/>
      <c r="D191" s="24"/>
      <c r="E191" s="24"/>
      <c r="F191" s="24"/>
      <c r="G191" s="24"/>
      <c r="H191" s="24"/>
      <c r="I191" s="24"/>
    </row>
    <row r="192" spans="1:9">
      <c r="A192" s="1478" t="s">
        <v>73</v>
      </c>
      <c r="B192" s="1478"/>
      <c r="C192" s="1478"/>
      <c r="D192" s="1478"/>
      <c r="E192" s="1478"/>
      <c r="F192" s="1478"/>
      <c r="G192" s="1478"/>
      <c r="H192" s="1478"/>
      <c r="I192" s="1478"/>
    </row>
    <row r="193" spans="1:9" ht="9.9499999999999993" customHeight="1">
      <c r="A193" s="835"/>
      <c r="B193" s="835"/>
      <c r="C193" s="835"/>
      <c r="D193" s="835"/>
      <c r="E193" s="835"/>
      <c r="F193" s="835"/>
      <c r="G193" s="835"/>
      <c r="H193" s="835"/>
      <c r="I193" s="835"/>
    </row>
    <row r="194" spans="1:9" ht="105" customHeight="1">
      <c r="A194" s="1476" t="s">
        <v>30</v>
      </c>
      <c r="B194" s="1476"/>
      <c r="C194" s="1476"/>
      <c r="D194" s="1476"/>
      <c r="E194" s="1476"/>
      <c r="F194" s="1476"/>
      <c r="G194" s="1476"/>
      <c r="H194" s="1476"/>
      <c r="I194" s="1476"/>
    </row>
    <row r="195" spans="1:9" ht="75" customHeight="1">
      <c r="A195" s="24"/>
      <c r="B195" s="24"/>
      <c r="C195" s="24"/>
      <c r="D195" s="24"/>
      <c r="E195" s="24"/>
      <c r="F195" s="24"/>
      <c r="G195" s="24"/>
      <c r="H195" s="24"/>
      <c r="I195" s="24"/>
    </row>
    <row r="196" spans="1:9" ht="30" customHeight="1">
      <c r="A196" s="1478" t="s">
        <v>75</v>
      </c>
      <c r="B196" s="1478"/>
      <c r="C196" s="1478"/>
      <c r="D196" s="1478"/>
      <c r="E196" s="1478"/>
      <c r="F196" s="1478"/>
      <c r="G196" s="1478"/>
      <c r="H196" s="1478"/>
      <c r="I196" s="1478"/>
    </row>
    <row r="197" spans="1:9">
      <c r="A197" s="1485" t="s">
        <v>32</v>
      </c>
      <c r="B197" s="1485"/>
      <c r="C197" s="1485"/>
      <c r="D197" s="1485"/>
      <c r="E197" s="1485"/>
      <c r="F197" s="1485"/>
      <c r="G197" s="1485"/>
      <c r="H197" s="1485"/>
      <c r="I197" s="1485"/>
    </row>
  </sheetData>
  <mergeCells count="50">
    <mergeCell ref="A192:I192"/>
    <mergeCell ref="B162:H162"/>
    <mergeCell ref="A197:I197"/>
    <mergeCell ref="A180:I180"/>
    <mergeCell ref="A196:I196"/>
    <mergeCell ref="A194:I194"/>
    <mergeCell ref="A186:I186"/>
    <mergeCell ref="A182:I182"/>
    <mergeCell ref="A190:I190"/>
    <mergeCell ref="A184:I184"/>
    <mergeCell ref="A188:I188"/>
    <mergeCell ref="A179:I179"/>
    <mergeCell ref="B168:H168"/>
    <mergeCell ref="B160:H160"/>
    <mergeCell ref="B161:H161"/>
    <mergeCell ref="B167:H167"/>
    <mergeCell ref="A165:H165"/>
    <mergeCell ref="A177:I177"/>
    <mergeCell ref="B169:H169"/>
    <mergeCell ref="B8:C8"/>
    <mergeCell ref="B9:C9"/>
    <mergeCell ref="A32:I32"/>
    <mergeCell ref="A37:I37"/>
    <mergeCell ref="A24:I24"/>
    <mergeCell ref="A35:I35"/>
    <mergeCell ref="A36:I36"/>
    <mergeCell ref="A30:I30"/>
    <mergeCell ref="A12:I12"/>
    <mergeCell ref="A27:I27"/>
    <mergeCell ref="A39:I39"/>
    <mergeCell ref="A38:I38"/>
    <mergeCell ref="A42:I42"/>
    <mergeCell ref="A45:I45"/>
    <mergeCell ref="A43:I43"/>
    <mergeCell ref="A40:I40"/>
    <mergeCell ref="A41:I41"/>
    <mergeCell ref="B155:H155"/>
    <mergeCell ref="G47:H47"/>
    <mergeCell ref="B140:H140"/>
    <mergeCell ref="B152:H152"/>
    <mergeCell ref="A47:B47"/>
    <mergeCell ref="D47:E47"/>
    <mergeCell ref="A48:B48"/>
    <mergeCell ref="B153:H153"/>
    <mergeCell ref="G48:H48"/>
    <mergeCell ref="D48:E48"/>
    <mergeCell ref="B131:H131"/>
    <mergeCell ref="B130:H130"/>
    <mergeCell ref="A104:I104"/>
    <mergeCell ref="B141:H141"/>
  </mergeCells>
  <phoneticPr fontId="24" type="noConversion"/>
  <hyperlinks>
    <hyperlink ref="I131" r:id="rId1"/>
    <hyperlink ref="I141" r:id="rId2"/>
    <hyperlink ref="I142" r:id="rId3"/>
    <hyperlink ref="I153" r:id="rId4"/>
    <hyperlink ref="I154" r:id="rId5"/>
    <hyperlink ref="I161" r:id="rId6"/>
    <hyperlink ref="A180" r:id="rId7" display="[1]"/>
    <hyperlink ref="A197" r:id="rId8" display="[2]"/>
    <hyperlink ref="A14" location="README!A23" display="A. SCOPE"/>
    <hyperlink ref="A15" location="README!A26" display="B. DISCLAIMER"/>
    <hyperlink ref="A16" location="README!A29" display="C. METHODOLOGY"/>
    <hyperlink ref="A17" location="README!A31" display="D. MAIN FEATURES"/>
    <hyperlink ref="A18" location="README!A58" display="E. MODEL STRUCTURE"/>
    <hyperlink ref="A19" location="README!A130" display="F. DATA REQUIREMENTS AND SOURCES"/>
  </hyperlinks>
  <pageMargins left="0.7" right="0.7" top="0.75" bottom="0.75" header="0.3" footer="0.3"/>
  <pageSetup paperSize="9" orientation="portrait" horizontalDpi="1200" verticalDpi="1200" r:id="rId9"/>
  <drawing r:id="rId10"/>
</worksheet>
</file>

<file path=xl/worksheets/sheet2.xml><?xml version="1.0" encoding="utf-8"?>
<worksheet xmlns="http://schemas.openxmlformats.org/spreadsheetml/2006/main" xmlns:r="http://schemas.openxmlformats.org/officeDocument/2006/relationships">
  <sheetPr codeName="Sheet1">
    <tabColor rgb="FF17375D"/>
  </sheetPr>
  <dimension ref="A1:R1021"/>
  <sheetViews>
    <sheetView topLeftCell="A260" zoomScale="75" zoomScaleNormal="75" workbookViewId="0">
      <pane ySplit="10230" topLeftCell="A809"/>
      <selection activeCell="A359" sqref="A359"/>
      <selection pane="bottomLeft" activeCell="A809" sqref="A809"/>
    </sheetView>
  </sheetViews>
  <sheetFormatPr defaultColWidth="8.85546875" defaultRowHeight="15"/>
  <cols>
    <col min="1" max="1" width="8.85546875" style="17"/>
    <col min="2" max="2" width="9.7109375" style="17" bestFit="1" customWidth="1"/>
    <col min="3" max="3" width="9.28515625" style="17" bestFit="1" customWidth="1"/>
    <col min="4" max="17" width="9.85546875" style="17" customWidth="1"/>
    <col min="18" max="18" width="88" style="17" bestFit="1" customWidth="1"/>
    <col min="19" max="16384" width="8.85546875" style="17"/>
  </cols>
  <sheetData>
    <row r="1" spans="1:18" ht="21">
      <c r="A1" s="85" t="s">
        <v>835</v>
      </c>
    </row>
    <row r="2" spans="1:18">
      <c r="O2" s="146"/>
      <c r="P2" s="147"/>
      <c r="Q2" s="148"/>
    </row>
    <row r="3" spans="1:18" ht="17.25">
      <c r="A3" s="18" t="s">
        <v>781</v>
      </c>
    </row>
    <row r="4" spans="1:18" ht="9.9499999999999993" customHeight="1">
      <c r="A4" s="18"/>
    </row>
    <row r="5" spans="1:18" ht="17.25">
      <c r="A5" s="474"/>
      <c r="B5" s="1488" t="s">
        <v>730</v>
      </c>
      <c r="C5" s="1489"/>
      <c r="D5" s="1489"/>
      <c r="E5" s="1489"/>
      <c r="F5" s="1489"/>
      <c r="G5" s="1490"/>
      <c r="H5" s="1488" t="s">
        <v>734</v>
      </c>
      <c r="I5" s="1489"/>
      <c r="J5" s="1489"/>
      <c r="K5" s="1489"/>
      <c r="L5" s="1489"/>
      <c r="M5" s="1489"/>
      <c r="N5" s="1489"/>
      <c r="O5" s="1489"/>
      <c r="P5" s="1489"/>
      <c r="Q5" s="1490"/>
      <c r="R5" s="1491" t="s">
        <v>744</v>
      </c>
    </row>
    <row r="6" spans="1:18" ht="17.25" customHeight="1">
      <c r="A6" s="475" t="s">
        <v>746</v>
      </c>
      <c r="B6" s="476">
        <v>2005</v>
      </c>
      <c r="C6" s="477">
        <v>2006</v>
      </c>
      <c r="D6" s="477">
        <v>2007</v>
      </c>
      <c r="E6" s="477">
        <v>2008</v>
      </c>
      <c r="F6" s="477">
        <v>2009</v>
      </c>
      <c r="G6" s="478">
        <v>2010</v>
      </c>
      <c r="H6" s="476">
        <v>2011</v>
      </c>
      <c r="I6" s="477">
        <v>2012</v>
      </c>
      <c r="J6" s="477">
        <v>2013</v>
      </c>
      <c r="K6" s="477">
        <v>2014</v>
      </c>
      <c r="L6" s="477">
        <v>2015</v>
      </c>
      <c r="M6" s="477">
        <v>2016</v>
      </c>
      <c r="N6" s="477">
        <v>2017</v>
      </c>
      <c r="O6" s="477">
        <v>2018</v>
      </c>
      <c r="P6" s="477">
        <v>2019</v>
      </c>
      <c r="Q6" s="478">
        <v>2020</v>
      </c>
      <c r="R6" s="1492"/>
    </row>
    <row r="7" spans="1:18">
      <c r="A7" s="24" t="s">
        <v>747</v>
      </c>
      <c r="B7" s="837">
        <f>SUM(B67:B71)</f>
        <v>3947.6465638394416</v>
      </c>
      <c r="C7" s="838">
        <f t="shared" ref="C7:Q7" si="0">SUM(C67:C71)</f>
        <v>3921.2613627812484</v>
      </c>
      <c r="D7" s="838">
        <f t="shared" si="0"/>
        <v>3886.8329567548863</v>
      </c>
      <c r="E7" s="838">
        <f t="shared" si="0"/>
        <v>3848.7683257705507</v>
      </c>
      <c r="F7" s="838">
        <f t="shared" si="0"/>
        <v>3814.5740000000001</v>
      </c>
      <c r="G7" s="839">
        <f t="shared" si="0"/>
        <v>3789.5244884017793</v>
      </c>
      <c r="H7" s="837">
        <f t="shared" si="0"/>
        <v>3774.2597630115611</v>
      </c>
      <c r="I7" s="838">
        <f t="shared" si="0"/>
        <v>3765.978488074662</v>
      </c>
      <c r="J7" s="838">
        <f t="shared" si="0"/>
        <v>3762.5112451088389</v>
      </c>
      <c r="K7" s="838">
        <f t="shared" si="0"/>
        <v>3760.6367869838732</v>
      </c>
      <c r="L7" s="838">
        <f t="shared" si="0"/>
        <v>3757.9431111239019</v>
      </c>
      <c r="M7" s="838">
        <f t="shared" si="0"/>
        <v>3753.4567798748208</v>
      </c>
      <c r="N7" s="838">
        <f t="shared" si="0"/>
        <v>3747.6058317742932</v>
      </c>
      <c r="O7" s="838">
        <f t="shared" si="0"/>
        <v>3741.0191135083442</v>
      </c>
      <c r="P7" s="838">
        <f t="shared" si="0"/>
        <v>3734.8627580793018</v>
      </c>
      <c r="Q7" s="839">
        <f t="shared" si="0"/>
        <v>3729.7843478724076</v>
      </c>
      <c r="R7" s="75"/>
    </row>
    <row r="8" spans="1:18">
      <c r="A8" s="24" t="s">
        <v>748</v>
      </c>
      <c r="B8" s="840">
        <f>SUM(B72:B76)</f>
        <v>3750.1426044920336</v>
      </c>
      <c r="C8" s="841">
        <f t="shared" ref="C8:Q8" si="1">SUM(C72:C76)</f>
        <v>3668.0468282328738</v>
      </c>
      <c r="D8" s="841">
        <f t="shared" si="1"/>
        <v>3620.8105553327896</v>
      </c>
      <c r="E8" s="841">
        <f t="shared" si="1"/>
        <v>3598.5620751093406</v>
      </c>
      <c r="F8" s="841">
        <f t="shared" si="1"/>
        <v>3585.2470000000003</v>
      </c>
      <c r="G8" s="842">
        <f t="shared" si="1"/>
        <v>3569.0517158492562</v>
      </c>
      <c r="H8" s="840">
        <f t="shared" si="1"/>
        <v>3547.7284876121307</v>
      </c>
      <c r="I8" s="841">
        <f t="shared" si="1"/>
        <v>3525.1549955780383</v>
      </c>
      <c r="J8" s="841">
        <f t="shared" si="1"/>
        <v>3502.7200955293074</v>
      </c>
      <c r="K8" s="841">
        <f t="shared" si="1"/>
        <v>3483.3603086220428</v>
      </c>
      <c r="L8" s="841">
        <f t="shared" si="1"/>
        <v>3469.0613799385087</v>
      </c>
      <c r="M8" s="841">
        <f t="shared" si="1"/>
        <v>3459.5937677684133</v>
      </c>
      <c r="N8" s="841">
        <f t="shared" si="1"/>
        <v>3453.3166870661898</v>
      </c>
      <c r="O8" s="841">
        <f t="shared" si="1"/>
        <v>3449.2355648523803</v>
      </c>
      <c r="P8" s="841">
        <f t="shared" si="1"/>
        <v>3446.0420861920752</v>
      </c>
      <c r="Q8" s="842">
        <f t="shared" si="1"/>
        <v>3442.7323087949653</v>
      </c>
      <c r="R8" s="75"/>
    </row>
    <row r="9" spans="1:18">
      <c r="A9" s="24" t="s">
        <v>749</v>
      </c>
      <c r="B9" s="840">
        <f>SUM(B77:B81)</f>
        <v>4551.7236950802271</v>
      </c>
      <c r="C9" s="841">
        <f t="shared" ref="C9:Q9" si="2">SUM(C77:C81)</f>
        <v>4450.4455322078238</v>
      </c>
      <c r="D9" s="841">
        <f t="shared" si="2"/>
        <v>4308.3721129394844</v>
      </c>
      <c r="E9" s="841">
        <f t="shared" si="2"/>
        <v>4145.4979364558831</v>
      </c>
      <c r="F9" s="841">
        <f t="shared" si="2"/>
        <v>3989.6039999999998</v>
      </c>
      <c r="G9" s="842">
        <f t="shared" si="2"/>
        <v>3860.9434790064947</v>
      </c>
      <c r="H9" s="840">
        <f t="shared" si="2"/>
        <v>3766.8810791603082</v>
      </c>
      <c r="I9" s="841">
        <f t="shared" si="2"/>
        <v>3702.582798527822</v>
      </c>
      <c r="J9" s="841">
        <f t="shared" si="2"/>
        <v>3661.1214857946397</v>
      </c>
      <c r="K9" s="841">
        <f t="shared" si="2"/>
        <v>3630.4599152170949</v>
      </c>
      <c r="L9" s="841">
        <f t="shared" si="2"/>
        <v>3601.6579966493932</v>
      </c>
      <c r="M9" s="841">
        <f t="shared" si="2"/>
        <v>3573.6304375149216</v>
      </c>
      <c r="N9" s="841">
        <f t="shared" si="2"/>
        <v>3549.4281021908173</v>
      </c>
      <c r="O9" s="841">
        <f t="shared" si="2"/>
        <v>3528.8738055517488</v>
      </c>
      <c r="P9" s="841">
        <f t="shared" si="2"/>
        <v>3512.4068438676532</v>
      </c>
      <c r="Q9" s="842">
        <f t="shared" si="2"/>
        <v>3500.1692242285649</v>
      </c>
      <c r="R9" s="75"/>
    </row>
    <row r="10" spans="1:18">
      <c r="A10" s="24" t="s">
        <v>750</v>
      </c>
      <c r="B10" s="840">
        <f>SUM(B82:B86)</f>
        <v>3955.8199005358297</v>
      </c>
      <c r="C10" s="841">
        <f t="shared" ref="C10:Q10" si="3">SUM(C82:C86)</f>
        <v>4019.4558602709712</v>
      </c>
      <c r="D10" s="841">
        <f t="shared" si="3"/>
        <v>4076.3988819651104</v>
      </c>
      <c r="E10" s="841">
        <f t="shared" si="3"/>
        <v>4114.7581749274441</v>
      </c>
      <c r="F10" s="841">
        <f t="shared" si="3"/>
        <v>4119.3289999999997</v>
      </c>
      <c r="G10" s="842">
        <f t="shared" si="3"/>
        <v>4080.7501782990721</v>
      </c>
      <c r="H10" s="840">
        <f t="shared" si="3"/>
        <v>3992.7896506411212</v>
      </c>
      <c r="I10" s="841">
        <f t="shared" si="3"/>
        <v>3862.4647645007631</v>
      </c>
      <c r="J10" s="841">
        <f t="shared" si="3"/>
        <v>3710.1434080758427</v>
      </c>
      <c r="K10" s="841">
        <f t="shared" si="3"/>
        <v>3564.3294805811029</v>
      </c>
      <c r="L10" s="841">
        <f t="shared" si="3"/>
        <v>3445.7680702198195</v>
      </c>
      <c r="M10" s="841">
        <f t="shared" si="3"/>
        <v>3361.8706584645597</v>
      </c>
      <c r="N10" s="841">
        <f t="shared" si="3"/>
        <v>3307.4563609316529</v>
      </c>
      <c r="O10" s="841">
        <f t="shared" si="3"/>
        <v>3275.2460315044036</v>
      </c>
      <c r="P10" s="841">
        <f t="shared" si="3"/>
        <v>3252.7192863991077</v>
      </c>
      <c r="Q10" s="842">
        <f t="shared" si="3"/>
        <v>3230.6088481492088</v>
      </c>
      <c r="R10" s="75"/>
    </row>
    <row r="11" spans="1:18">
      <c r="A11" s="24" t="s">
        <v>751</v>
      </c>
      <c r="B11" s="840">
        <f>SUM(B87:B91)</f>
        <v>3309.8911858263341</v>
      </c>
      <c r="C11" s="841">
        <f t="shared" ref="C11:Q11" si="4">SUM(C87:C91)</f>
        <v>3354.5437999839537</v>
      </c>
      <c r="D11" s="841">
        <f t="shared" si="4"/>
        <v>3410.862454271351</v>
      </c>
      <c r="E11" s="841">
        <f t="shared" si="4"/>
        <v>3479.6160962131671</v>
      </c>
      <c r="F11" s="841">
        <f t="shared" si="4"/>
        <v>3560.9790000000003</v>
      </c>
      <c r="G11" s="842">
        <f t="shared" si="4"/>
        <v>3653.2067813643489</v>
      </c>
      <c r="H11" s="840">
        <f t="shared" si="4"/>
        <v>3761.0242058334788</v>
      </c>
      <c r="I11" s="841">
        <f t="shared" si="4"/>
        <v>3879.9557006866776</v>
      </c>
      <c r="J11" s="841">
        <f t="shared" si="4"/>
        <v>3988.0241628401627</v>
      </c>
      <c r="K11" s="841">
        <f t="shared" si="4"/>
        <v>4055.9734544047205</v>
      </c>
      <c r="L11" s="841">
        <f t="shared" si="4"/>
        <v>4064.3607139781852</v>
      </c>
      <c r="M11" s="841">
        <f t="shared" si="4"/>
        <v>4003.3015738228773</v>
      </c>
      <c r="N11" s="841">
        <f t="shared" si="4"/>
        <v>3882.7903025087853</v>
      </c>
      <c r="O11" s="841">
        <f t="shared" si="4"/>
        <v>3727.8968725881164</v>
      </c>
      <c r="P11" s="841">
        <f t="shared" si="4"/>
        <v>3574.7359919398555</v>
      </c>
      <c r="Q11" s="842">
        <f t="shared" si="4"/>
        <v>3449.7477050297275</v>
      </c>
      <c r="R11" s="75"/>
    </row>
    <row r="12" spans="1:18">
      <c r="A12" s="24" t="s">
        <v>752</v>
      </c>
      <c r="B12" s="840">
        <f>SUM(B92:B96)</f>
        <v>3692.4788507106223</v>
      </c>
      <c r="C12" s="841">
        <f t="shared" ref="C12:Q12" si="5">SUM(C92:C96)</f>
        <v>3674.7901139179899</v>
      </c>
      <c r="D12" s="841">
        <f t="shared" si="5"/>
        <v>3637.5827796760568</v>
      </c>
      <c r="E12" s="841">
        <f t="shared" si="5"/>
        <v>3602.4513649973314</v>
      </c>
      <c r="F12" s="841">
        <f t="shared" si="5"/>
        <v>3598.5909999999999</v>
      </c>
      <c r="G12" s="842">
        <f t="shared" si="5"/>
        <v>3645.7612723909187</v>
      </c>
      <c r="H12" s="840">
        <f t="shared" si="5"/>
        <v>3750.3151279084659</v>
      </c>
      <c r="I12" s="841">
        <f t="shared" si="5"/>
        <v>3902.4088754979612</v>
      </c>
      <c r="J12" s="841">
        <f t="shared" si="5"/>
        <v>4085.1629730499226</v>
      </c>
      <c r="K12" s="841">
        <f t="shared" si="5"/>
        <v>4273.6843529120015</v>
      </c>
      <c r="L12" s="841">
        <f t="shared" si="5"/>
        <v>4447.9170335601484</v>
      </c>
      <c r="M12" s="841">
        <f t="shared" si="5"/>
        <v>4607.1397922780825</v>
      </c>
      <c r="N12" s="841">
        <f t="shared" si="5"/>
        <v>4751.6168294801892</v>
      </c>
      <c r="O12" s="841">
        <f t="shared" si="5"/>
        <v>4863.7485412022352</v>
      </c>
      <c r="P12" s="841">
        <f t="shared" si="5"/>
        <v>4922.4526036057614</v>
      </c>
      <c r="Q12" s="842">
        <f t="shared" si="5"/>
        <v>4914.7873463336246</v>
      </c>
      <c r="R12" s="75"/>
    </row>
    <row r="13" spans="1:18">
      <c r="A13" s="24" t="s">
        <v>753</v>
      </c>
      <c r="B13" s="840">
        <f>SUM(B97:B101)</f>
        <v>3166.0280514277574</v>
      </c>
      <c r="C13" s="841">
        <f t="shared" ref="C13:Q13" si="6">SUM(C97:C101)</f>
        <v>3205.4710334606866</v>
      </c>
      <c r="D13" s="841">
        <f t="shared" si="6"/>
        <v>3252.208144658237</v>
      </c>
      <c r="E13" s="841">
        <f t="shared" si="6"/>
        <v>3298.3586380280476</v>
      </c>
      <c r="F13" s="841">
        <f t="shared" si="6"/>
        <v>3332.4049999999997</v>
      </c>
      <c r="G13" s="842">
        <f t="shared" si="6"/>
        <v>3347.4723029381612</v>
      </c>
      <c r="H13" s="840">
        <f t="shared" si="6"/>
        <v>3338.1068121686003</v>
      </c>
      <c r="I13" s="841">
        <f t="shared" si="6"/>
        <v>3310.7860456315921</v>
      </c>
      <c r="J13" s="841">
        <f t="shared" si="6"/>
        <v>3284.8067504367637</v>
      </c>
      <c r="K13" s="841">
        <f t="shared" si="6"/>
        <v>3286.6542556890781</v>
      </c>
      <c r="L13" s="841">
        <f t="shared" si="6"/>
        <v>3334.231413028353</v>
      </c>
      <c r="M13" s="841">
        <f t="shared" si="6"/>
        <v>3432.9535829467345</v>
      </c>
      <c r="N13" s="841">
        <f t="shared" si="6"/>
        <v>3573.5701247117295</v>
      </c>
      <c r="O13" s="841">
        <f t="shared" si="6"/>
        <v>3740.8805225900787</v>
      </c>
      <c r="P13" s="841">
        <f t="shared" si="6"/>
        <v>3912.5639634629683</v>
      </c>
      <c r="Q13" s="842">
        <f t="shared" si="6"/>
        <v>4070.6519475956375</v>
      </c>
      <c r="R13" s="75"/>
    </row>
    <row r="14" spans="1:18">
      <c r="A14" s="24" t="s">
        <v>754</v>
      </c>
      <c r="B14" s="840">
        <f>SUM(B102:B106)</f>
        <v>2916.0068799350365</v>
      </c>
      <c r="C14" s="841">
        <f t="shared" ref="C14:Q14" si="7">SUM(C102:C106)</f>
        <v>2985.6408638820035</v>
      </c>
      <c r="D14" s="841">
        <f t="shared" si="7"/>
        <v>3066.1208525243974</v>
      </c>
      <c r="E14" s="841">
        <f t="shared" si="7"/>
        <v>3147.384697797972</v>
      </c>
      <c r="F14" s="841">
        <f t="shared" si="7"/>
        <v>3214.77</v>
      </c>
      <c r="G14" s="842">
        <f t="shared" si="7"/>
        <v>3258.1634588782813</v>
      </c>
      <c r="H14" s="840">
        <f t="shared" si="7"/>
        <v>3276.0826029809732</v>
      </c>
      <c r="I14" s="841">
        <f t="shared" si="7"/>
        <v>3273.6954221687106</v>
      </c>
      <c r="J14" s="841">
        <f t="shared" si="7"/>
        <v>3255.8733700257058</v>
      </c>
      <c r="K14" s="841">
        <f t="shared" si="7"/>
        <v>3230.0349564662179</v>
      </c>
      <c r="L14" s="841">
        <f t="shared" si="7"/>
        <v>3202.8797833994531</v>
      </c>
      <c r="M14" s="841">
        <f t="shared" si="7"/>
        <v>3173.058496527864</v>
      </c>
      <c r="N14" s="841">
        <f t="shared" si="7"/>
        <v>3142.3144698526185</v>
      </c>
      <c r="O14" s="841">
        <f t="shared" si="7"/>
        <v>3124.0532561222853</v>
      </c>
      <c r="P14" s="841">
        <f t="shared" si="7"/>
        <v>3135.3713689553729</v>
      </c>
      <c r="Q14" s="842">
        <f t="shared" si="7"/>
        <v>3187.3524002066761</v>
      </c>
      <c r="R14" s="75"/>
    </row>
    <row r="15" spans="1:18">
      <c r="A15" s="24" t="s">
        <v>755</v>
      </c>
      <c r="B15" s="840">
        <f>SUM(B107:B111)</f>
        <v>2633.2436836426596</v>
      </c>
      <c r="C15" s="841">
        <f t="shared" ref="C15:Q15" si="8">SUM(C107:C111)</f>
        <v>2738.4612897183779</v>
      </c>
      <c r="D15" s="841">
        <f t="shared" si="8"/>
        <v>2835.0454101322985</v>
      </c>
      <c r="E15" s="841">
        <f t="shared" si="8"/>
        <v>2921.3927427165845</v>
      </c>
      <c r="F15" s="841">
        <f t="shared" si="8"/>
        <v>2995.9989999999998</v>
      </c>
      <c r="G15" s="842">
        <f t="shared" si="8"/>
        <v>3057.8978676514348</v>
      </c>
      <c r="H15" s="840">
        <f t="shared" si="8"/>
        <v>3106.5161664049492</v>
      </c>
      <c r="I15" s="841">
        <f t="shared" si="8"/>
        <v>3142.1787023227953</v>
      </c>
      <c r="J15" s="841">
        <f t="shared" si="8"/>
        <v>3166.1187498581917</v>
      </c>
      <c r="K15" s="841">
        <f t="shared" si="8"/>
        <v>3180.221648385932</v>
      </c>
      <c r="L15" s="841">
        <f t="shared" si="8"/>
        <v>3186.2478272506492</v>
      </c>
      <c r="M15" s="841">
        <f t="shared" si="8"/>
        <v>3186.3794675336544</v>
      </c>
      <c r="N15" s="841">
        <f t="shared" si="8"/>
        <v>3181.8037705965808</v>
      </c>
      <c r="O15" s="841">
        <f t="shared" si="8"/>
        <v>3172.369680345696</v>
      </c>
      <c r="P15" s="841">
        <f t="shared" si="8"/>
        <v>3157.4126262144059</v>
      </c>
      <c r="Q15" s="842">
        <f t="shared" si="8"/>
        <v>3137.6804539157574</v>
      </c>
      <c r="R15" s="75"/>
    </row>
    <row r="16" spans="1:18">
      <c r="A16" s="24" t="s">
        <v>756</v>
      </c>
      <c r="B16" s="840">
        <f>SUM(B112:B116)</f>
        <v>2287.5899430579029</v>
      </c>
      <c r="C16" s="841">
        <f t="shared" ref="C16:Q16" si="9">SUM(C112:C116)</f>
        <v>2447.1284174747648</v>
      </c>
      <c r="D16" s="841">
        <f t="shared" si="9"/>
        <v>2611.2338896145552</v>
      </c>
      <c r="E16" s="841">
        <f t="shared" si="9"/>
        <v>2771.3074820353227</v>
      </c>
      <c r="F16" s="841">
        <f t="shared" si="9"/>
        <v>2916.2870000000003</v>
      </c>
      <c r="G16" s="842">
        <f t="shared" si="9"/>
        <v>3038.3690569015666</v>
      </c>
      <c r="H16" s="840">
        <f t="shared" si="9"/>
        <v>3133.5535922233476</v>
      </c>
      <c r="I16" s="841">
        <f t="shared" si="9"/>
        <v>3203.9791339976655</v>
      </c>
      <c r="J16" s="841">
        <f t="shared" si="9"/>
        <v>3255.6634147832942</v>
      </c>
      <c r="K16" s="841">
        <f t="shared" si="9"/>
        <v>3297.897885888513</v>
      </c>
      <c r="L16" s="841">
        <f t="shared" si="9"/>
        <v>3337.4774713128622</v>
      </c>
      <c r="M16" s="841">
        <f t="shared" si="9"/>
        <v>3376.6364478447481</v>
      </c>
      <c r="N16" s="841">
        <f t="shared" si="9"/>
        <v>3413.3868974692132</v>
      </c>
      <c r="O16" s="841">
        <f t="shared" si="9"/>
        <v>3445.3735440318032</v>
      </c>
      <c r="P16" s="841">
        <f t="shared" si="9"/>
        <v>3468.6824413434197</v>
      </c>
      <c r="Q16" s="842">
        <f t="shared" si="9"/>
        <v>3480.8543964193705</v>
      </c>
      <c r="R16" s="75"/>
    </row>
    <row r="17" spans="1:18">
      <c r="A17" s="24" t="s">
        <v>757</v>
      </c>
      <c r="B17" s="840">
        <f>SUM(B117:B121)</f>
        <v>1843.5492255457002</v>
      </c>
      <c r="C17" s="841">
        <f t="shared" ref="C17:Q17" si="10">SUM(C117:C121)</f>
        <v>1998.5779075823393</v>
      </c>
      <c r="D17" s="841">
        <f t="shared" si="10"/>
        <v>2147.4283554584977</v>
      </c>
      <c r="E17" s="841">
        <f t="shared" si="10"/>
        <v>2293.1879887263326</v>
      </c>
      <c r="F17" s="841">
        <f t="shared" si="10"/>
        <v>2441.7080000000001</v>
      </c>
      <c r="G17" s="842">
        <f t="shared" si="10"/>
        <v>2596.4871385243878</v>
      </c>
      <c r="H17" s="840">
        <f t="shared" si="10"/>
        <v>2758.2322379534453</v>
      </c>
      <c r="I17" s="841">
        <f t="shared" si="10"/>
        <v>2922.665073008211</v>
      </c>
      <c r="J17" s="841">
        <f t="shared" si="10"/>
        <v>3082.4887453795081</v>
      </c>
      <c r="K17" s="841">
        <f t="shared" si="10"/>
        <v>3227.9936429110903</v>
      </c>
      <c r="L17" s="841">
        <f t="shared" si="10"/>
        <v>3352.3405611977969</v>
      </c>
      <c r="M17" s="841">
        <f t="shared" si="10"/>
        <v>3452.3236616067857</v>
      </c>
      <c r="N17" s="841">
        <f t="shared" si="10"/>
        <v>3530.0599474325986</v>
      </c>
      <c r="O17" s="841">
        <f t="shared" si="10"/>
        <v>3590.6345327676272</v>
      </c>
      <c r="P17" s="841">
        <f t="shared" si="10"/>
        <v>3641.8532395643874</v>
      </c>
      <c r="Q17" s="842">
        <f t="shared" si="10"/>
        <v>3689.4009404480335</v>
      </c>
      <c r="R17" s="75"/>
    </row>
    <row r="18" spans="1:18">
      <c r="A18" s="24" t="s">
        <v>758</v>
      </c>
      <c r="B18" s="840">
        <f>SUM(B122:B126)</f>
        <v>1144.0425182991755</v>
      </c>
      <c r="C18" s="841">
        <f t="shared" ref="C18:Q18" si="11">SUM(C122:C126)</f>
        <v>1239.0947164720085</v>
      </c>
      <c r="D18" s="841">
        <f t="shared" si="11"/>
        <v>1354.14648815859</v>
      </c>
      <c r="E18" s="841">
        <f t="shared" si="11"/>
        <v>1484.057645317906</v>
      </c>
      <c r="F18" s="841">
        <f t="shared" si="11"/>
        <v>1621.51</v>
      </c>
      <c r="G18" s="842">
        <f t="shared" si="11"/>
        <v>1760.9164413312812</v>
      </c>
      <c r="H18" s="840">
        <f t="shared" si="11"/>
        <v>1899.363408844127</v>
      </c>
      <c r="I18" s="841">
        <f t="shared" si="11"/>
        <v>2037.2033408218008</v>
      </c>
      <c r="J18" s="841">
        <f t="shared" si="11"/>
        <v>2175.9227567014095</v>
      </c>
      <c r="K18" s="841">
        <f t="shared" si="11"/>
        <v>2318.3952594715474</v>
      </c>
      <c r="L18" s="841">
        <f t="shared" si="11"/>
        <v>2465.9844227128337</v>
      </c>
      <c r="M18" s="841">
        <f t="shared" si="11"/>
        <v>2619.2820706764328</v>
      </c>
      <c r="N18" s="841">
        <f t="shared" si="11"/>
        <v>2775.1145206220549</v>
      </c>
      <c r="O18" s="841">
        <f t="shared" si="11"/>
        <v>2926.6232257005158</v>
      </c>
      <c r="P18" s="841">
        <f t="shared" si="11"/>
        <v>3064.7877447094534</v>
      </c>
      <c r="Q18" s="842">
        <f t="shared" si="11"/>
        <v>3183.240495743371</v>
      </c>
      <c r="R18" s="75"/>
    </row>
    <row r="19" spans="1:18">
      <c r="A19" s="24" t="s">
        <v>759</v>
      </c>
      <c r="B19" s="840">
        <f>SUM(B127:B131)</f>
        <v>960.39777073660582</v>
      </c>
      <c r="C19" s="841">
        <f t="shared" ref="C19:Q19" si="12">SUM(C127:C131)</f>
        <v>973.09544278266242</v>
      </c>
      <c r="D19" s="841">
        <f t="shared" si="12"/>
        <v>982.29784307073101</v>
      </c>
      <c r="E19" s="841">
        <f t="shared" si="12"/>
        <v>996.60509915169882</v>
      </c>
      <c r="F19" s="841">
        <f t="shared" si="12"/>
        <v>1027.8969999999999</v>
      </c>
      <c r="G19" s="842">
        <f t="shared" si="12"/>
        <v>1084.3653205522478</v>
      </c>
      <c r="H19" s="840">
        <f t="shared" si="12"/>
        <v>1169.1444686481423</v>
      </c>
      <c r="I19" s="841">
        <f t="shared" si="12"/>
        <v>1278.7157097170418</v>
      </c>
      <c r="J19" s="841">
        <f t="shared" si="12"/>
        <v>1406.3816386940052</v>
      </c>
      <c r="K19" s="841">
        <f t="shared" si="12"/>
        <v>1542.1807292843632</v>
      </c>
      <c r="L19" s="841">
        <f t="shared" si="12"/>
        <v>1678.6067089749736</v>
      </c>
      <c r="M19" s="841">
        <f t="shared" si="12"/>
        <v>1812.513105520653</v>
      </c>
      <c r="N19" s="841">
        <f t="shared" si="12"/>
        <v>1945.0542265264442</v>
      </c>
      <c r="O19" s="841">
        <f t="shared" si="12"/>
        <v>2078.0232047969116</v>
      </c>
      <c r="P19" s="841">
        <f t="shared" si="12"/>
        <v>2214.8455500433106</v>
      </c>
      <c r="Q19" s="842">
        <f t="shared" si="12"/>
        <v>2357.2905011128078</v>
      </c>
      <c r="R19" s="75"/>
    </row>
    <row r="20" spans="1:18">
      <c r="A20" s="24" t="s">
        <v>772</v>
      </c>
      <c r="B20" s="843">
        <f>SUM(B132:B167)</f>
        <v>2255.1210824318682</v>
      </c>
      <c r="C20" s="844">
        <f t="shared" ref="C20:Q20" si="13">SUM(C132:C167)</f>
        <v>2308.6366126099128</v>
      </c>
      <c r="D20" s="844">
        <f t="shared" si="13"/>
        <v>2358.2313015842733</v>
      </c>
      <c r="E20" s="844">
        <f t="shared" si="13"/>
        <v>2404.3141471179047</v>
      </c>
      <c r="F20" s="844">
        <f t="shared" si="13"/>
        <v>2448.3390000000009</v>
      </c>
      <c r="G20" s="845">
        <f t="shared" si="13"/>
        <v>2495.5200731639129</v>
      </c>
      <c r="H20" s="843">
        <f t="shared" si="13"/>
        <v>2539.8378658404645</v>
      </c>
      <c r="I20" s="844">
        <f t="shared" si="13"/>
        <v>2586.1242081480027</v>
      </c>
      <c r="J20" s="844">
        <f t="shared" si="13"/>
        <v>2639.1851686896625</v>
      </c>
      <c r="K20" s="844">
        <f t="shared" si="13"/>
        <v>2704.9648292505826</v>
      </c>
      <c r="L20" s="844">
        <f t="shared" si="13"/>
        <v>2788.0179455539815</v>
      </c>
      <c r="M20" s="844">
        <f t="shared" si="13"/>
        <v>2890.4293738891261</v>
      </c>
      <c r="N20" s="844">
        <f t="shared" si="13"/>
        <v>3012.2262745336111</v>
      </c>
      <c r="O20" s="844">
        <f t="shared" si="13"/>
        <v>3153.3639754449723</v>
      </c>
      <c r="P20" s="844">
        <f t="shared" si="13"/>
        <v>3312.9488014482945</v>
      </c>
      <c r="Q20" s="845">
        <f t="shared" si="13"/>
        <v>3490.198818465874</v>
      </c>
      <c r="R20" s="75"/>
    </row>
    <row r="21" spans="1:18">
      <c r="A21" s="25" t="s">
        <v>760</v>
      </c>
      <c r="B21" s="846">
        <f>SUM(B7:B20)</f>
        <v>40413.681955561202</v>
      </c>
      <c r="C21" s="847">
        <f t="shared" ref="C21:P21" si="14">SUM(C7:C20)</f>
        <v>40984.649781377608</v>
      </c>
      <c r="D21" s="847">
        <f t="shared" si="14"/>
        <v>41547.572026141257</v>
      </c>
      <c r="E21" s="847">
        <f t="shared" si="14"/>
        <v>42106.262414365483</v>
      </c>
      <c r="F21" s="847">
        <f t="shared" si="14"/>
        <v>42667.239000000001</v>
      </c>
      <c r="G21" s="848">
        <f t="shared" si="14"/>
        <v>43238.429575253147</v>
      </c>
      <c r="H21" s="846">
        <f t="shared" si="14"/>
        <v>43813.835469231111</v>
      </c>
      <c r="I21" s="847">
        <f t="shared" si="14"/>
        <v>44393.893258681739</v>
      </c>
      <c r="J21" s="847">
        <f t="shared" si="14"/>
        <v>44976.123964967257</v>
      </c>
      <c r="K21" s="847">
        <f t="shared" si="14"/>
        <v>45556.787506068154</v>
      </c>
      <c r="L21" s="847">
        <f t="shared" si="14"/>
        <v>46132.49443890086</v>
      </c>
      <c r="M21" s="847">
        <f t="shared" si="14"/>
        <v>46702.56921626968</v>
      </c>
      <c r="N21" s="847">
        <f t="shared" si="14"/>
        <v>47265.744345696781</v>
      </c>
      <c r="O21" s="847">
        <f t="shared" si="14"/>
        <v>47817.341871007127</v>
      </c>
      <c r="P21" s="847">
        <f t="shared" si="14"/>
        <v>48351.685305825362</v>
      </c>
      <c r="Q21" s="848">
        <f>SUM(Q7:Q20)</f>
        <v>48864.499734316028</v>
      </c>
      <c r="R21" s="76"/>
    </row>
    <row r="22" spans="1:18" ht="9.9499999999999993" customHeight="1"/>
    <row r="23" spans="1:18" ht="17.25">
      <c r="A23" s="79" t="s">
        <v>780</v>
      </c>
      <c r="E23" s="479"/>
    </row>
    <row r="24" spans="1:18" ht="9.9499999999999993" customHeight="1"/>
    <row r="25" spans="1:18" ht="17.25">
      <c r="A25" s="474"/>
      <c r="B25" s="1488" t="s">
        <v>730</v>
      </c>
      <c r="C25" s="1489"/>
      <c r="D25" s="1489"/>
      <c r="E25" s="1489"/>
      <c r="F25" s="1489"/>
      <c r="G25" s="1489"/>
      <c r="H25" s="1488" t="s">
        <v>734</v>
      </c>
      <c r="I25" s="1489"/>
      <c r="J25" s="1489"/>
      <c r="K25" s="1489"/>
      <c r="L25" s="1489"/>
      <c r="M25" s="1489"/>
      <c r="N25" s="1489"/>
      <c r="O25" s="1489"/>
      <c r="P25" s="1489"/>
      <c r="Q25" s="1490"/>
      <c r="R25" s="1491" t="s">
        <v>744</v>
      </c>
    </row>
    <row r="26" spans="1:18" ht="17.25" customHeight="1">
      <c r="A26" s="475" t="s">
        <v>746</v>
      </c>
      <c r="B26" s="476">
        <v>2005</v>
      </c>
      <c r="C26" s="477">
        <v>2006</v>
      </c>
      <c r="D26" s="477">
        <v>2007</v>
      </c>
      <c r="E26" s="477">
        <v>2008</v>
      </c>
      <c r="F26" s="477">
        <v>2009</v>
      </c>
      <c r="G26" s="478">
        <v>2010</v>
      </c>
      <c r="H26" s="476">
        <v>2011</v>
      </c>
      <c r="I26" s="477">
        <v>2012</v>
      </c>
      <c r="J26" s="477">
        <v>2013</v>
      </c>
      <c r="K26" s="477">
        <v>2014</v>
      </c>
      <c r="L26" s="477">
        <v>2015</v>
      </c>
      <c r="M26" s="477">
        <v>2016</v>
      </c>
      <c r="N26" s="477">
        <v>2017</v>
      </c>
      <c r="O26" s="477">
        <v>2018</v>
      </c>
      <c r="P26" s="477">
        <v>2019</v>
      </c>
      <c r="Q26" s="478">
        <v>2020</v>
      </c>
      <c r="R26" s="1492"/>
    </row>
    <row r="27" spans="1:18">
      <c r="A27" s="24" t="s">
        <v>747</v>
      </c>
      <c r="B27" s="837">
        <f>SUM(B174:B178)</f>
        <v>3497.5563246910051</v>
      </c>
      <c r="C27" s="838">
        <f t="shared" ref="C27:Q27" si="15">SUM(C174:C178)</f>
        <v>3464.989358473732</v>
      </c>
      <c r="D27" s="838">
        <f t="shared" si="15"/>
        <v>3419.5696743157205</v>
      </c>
      <c r="E27" s="838">
        <f t="shared" si="15"/>
        <v>3369.0327564176187</v>
      </c>
      <c r="F27" s="838">
        <f t="shared" si="15"/>
        <v>3325.4380000000001</v>
      </c>
      <c r="G27" s="839">
        <f t="shared" si="15"/>
        <v>3297.2039756706754</v>
      </c>
      <c r="H27" s="837">
        <f t="shared" si="15"/>
        <v>3286.4319862036164</v>
      </c>
      <c r="I27" s="838">
        <f t="shared" si="15"/>
        <v>3289.0507002890968</v>
      </c>
      <c r="J27" s="838">
        <f t="shared" si="15"/>
        <v>3299.944838443253</v>
      </c>
      <c r="K27" s="838">
        <f t="shared" si="15"/>
        <v>3311.5334273826702</v>
      </c>
      <c r="L27" s="838">
        <f t="shared" si="15"/>
        <v>3318.2733907927445</v>
      </c>
      <c r="M27" s="838">
        <f t="shared" si="15"/>
        <v>3318.2927993130215</v>
      </c>
      <c r="N27" s="838">
        <f t="shared" si="15"/>
        <v>3313.0915534231508</v>
      </c>
      <c r="O27" s="838">
        <f t="shared" si="15"/>
        <v>3304.524635743609</v>
      </c>
      <c r="P27" s="838">
        <f t="shared" si="15"/>
        <v>3295.7397427774822</v>
      </c>
      <c r="Q27" s="839">
        <f t="shared" si="15"/>
        <v>3288.8633376050175</v>
      </c>
    </row>
    <row r="28" spans="1:18">
      <c r="A28" s="24" t="s">
        <v>748</v>
      </c>
      <c r="B28" s="840">
        <f>SUM(B179:B183)</f>
        <v>3560.7262545369872</v>
      </c>
      <c r="C28" s="841">
        <f t="shared" ref="C28:Q28" si="16">SUM(C179:C183)</f>
        <v>3477.6043352819697</v>
      </c>
      <c r="D28" s="841">
        <f t="shared" si="16"/>
        <v>3430.8412413591777</v>
      </c>
      <c r="E28" s="841">
        <f t="shared" si="16"/>
        <v>3409.9160485321536</v>
      </c>
      <c r="F28" s="841">
        <f t="shared" si="16"/>
        <v>3397.8240000000001</v>
      </c>
      <c r="G28" s="842">
        <f t="shared" si="16"/>
        <v>3382.1262799312744</v>
      </c>
      <c r="H28" s="840">
        <f t="shared" si="16"/>
        <v>3360.1117235792722</v>
      </c>
      <c r="I28" s="841">
        <f t="shared" si="16"/>
        <v>3336.0172021324929</v>
      </c>
      <c r="J28" s="841">
        <f t="shared" si="16"/>
        <v>3312.4078302408807</v>
      </c>
      <c r="K28" s="841">
        <f t="shared" si="16"/>
        <v>3293.8667441421399</v>
      </c>
      <c r="L28" s="841">
        <f t="shared" si="16"/>
        <v>3283.4422453090565</v>
      </c>
      <c r="M28" s="841">
        <f t="shared" si="16"/>
        <v>3281.4739431960897</v>
      </c>
      <c r="N28" s="841">
        <f t="shared" si="16"/>
        <v>3285.6123029504097</v>
      </c>
      <c r="O28" s="841">
        <f t="shared" si="16"/>
        <v>3293.0846151568503</v>
      </c>
      <c r="P28" s="841">
        <f t="shared" si="16"/>
        <v>3300.0881280043623</v>
      </c>
      <c r="Q28" s="842">
        <f t="shared" si="16"/>
        <v>3303.8520885535359</v>
      </c>
    </row>
    <row r="29" spans="1:18">
      <c r="A29" s="24" t="s">
        <v>749</v>
      </c>
      <c r="B29" s="840">
        <f>SUM(B184:B188)</f>
        <v>4214.9724446097689</v>
      </c>
      <c r="C29" s="841">
        <f t="shared" ref="C29:Q29" si="17">SUM(C184:C188)</f>
        <v>4103.3045239052499</v>
      </c>
      <c r="D29" s="841">
        <f t="shared" si="17"/>
        <v>3953.0927321150625</v>
      </c>
      <c r="E29" s="841">
        <f t="shared" si="17"/>
        <v>3785.7465453302912</v>
      </c>
      <c r="F29" s="841">
        <f t="shared" si="17"/>
        <v>3630.8019999999997</v>
      </c>
      <c r="G29" s="842">
        <f t="shared" si="17"/>
        <v>3509.4776042229341</v>
      </c>
      <c r="H29" s="840">
        <f t="shared" si="17"/>
        <v>3430.1939262037636</v>
      </c>
      <c r="I29" s="841">
        <f t="shared" si="17"/>
        <v>3387.0471412681045</v>
      </c>
      <c r="J29" s="841">
        <f t="shared" si="17"/>
        <v>3369.3259816824711</v>
      </c>
      <c r="K29" s="841">
        <f t="shared" si="17"/>
        <v>3359.7957658206997</v>
      </c>
      <c r="L29" s="841">
        <f t="shared" si="17"/>
        <v>3345.8738430553635</v>
      </c>
      <c r="M29" s="841">
        <f t="shared" si="17"/>
        <v>3324.7556201543312</v>
      </c>
      <c r="N29" s="841">
        <f t="shared" si="17"/>
        <v>3300.7612921682121</v>
      </c>
      <c r="O29" s="841">
        <f t="shared" si="17"/>
        <v>3276.7102568051473</v>
      </c>
      <c r="P29" s="841">
        <f t="shared" si="17"/>
        <v>3257.5475028176124</v>
      </c>
      <c r="Q29" s="842">
        <f t="shared" si="17"/>
        <v>3246.5940154216573</v>
      </c>
    </row>
    <row r="30" spans="1:18">
      <c r="A30" s="24" t="s">
        <v>750</v>
      </c>
      <c r="B30" s="840">
        <f>SUM(B189:B193)</f>
        <v>3970.3212631884026</v>
      </c>
      <c r="C30" s="841">
        <f t="shared" ref="C30:Q30" si="18">SUM(C189:C193)</f>
        <v>3990.7931830439038</v>
      </c>
      <c r="D30" s="841">
        <f t="shared" si="18"/>
        <v>3998.4928800341636</v>
      </c>
      <c r="E30" s="841">
        <f t="shared" si="18"/>
        <v>3988.6890064717522</v>
      </c>
      <c r="F30" s="841">
        <f t="shared" si="18"/>
        <v>3955.6559999999999</v>
      </c>
      <c r="G30" s="842">
        <f t="shared" si="18"/>
        <v>3896.5454286724726</v>
      </c>
      <c r="H30" s="840">
        <f t="shared" si="18"/>
        <v>3808.084161108548</v>
      </c>
      <c r="I30" s="841">
        <f t="shared" si="18"/>
        <v>3694.6895903254599</v>
      </c>
      <c r="J30" s="841">
        <f t="shared" si="18"/>
        <v>3570.7540814860467</v>
      </c>
      <c r="K30" s="841">
        <f t="shared" si="18"/>
        <v>3455.8735982216076</v>
      </c>
      <c r="L30" s="841">
        <f t="shared" si="18"/>
        <v>3364.1343755761277</v>
      </c>
      <c r="M30" s="841">
        <f t="shared" si="18"/>
        <v>3301.4279805057809</v>
      </c>
      <c r="N30" s="841">
        <f t="shared" si="18"/>
        <v>3264.0256825438946</v>
      </c>
      <c r="O30" s="841">
        <f t="shared" si="18"/>
        <v>3244.5251429431096</v>
      </c>
      <c r="P30" s="841">
        <f t="shared" si="18"/>
        <v>3231.0259402024294</v>
      </c>
      <c r="Q30" s="842">
        <f t="shared" si="18"/>
        <v>3214.8675667139478</v>
      </c>
    </row>
    <row r="31" spans="1:18">
      <c r="A31" s="24" t="s">
        <v>751</v>
      </c>
      <c r="B31" s="840">
        <f>SUM(B194:B198)</f>
        <v>3482.711383926865</v>
      </c>
      <c r="C31" s="841">
        <f t="shared" ref="C31:Q31" si="19">SUM(C194:C198)</f>
        <v>3501.181889619987</v>
      </c>
      <c r="D31" s="841">
        <f t="shared" si="19"/>
        <v>3511.9684263667068</v>
      </c>
      <c r="E31" s="841">
        <f t="shared" si="19"/>
        <v>3522.931755049794</v>
      </c>
      <c r="F31" s="841">
        <f t="shared" si="19"/>
        <v>3544.8620000000001</v>
      </c>
      <c r="G31" s="842">
        <f t="shared" si="19"/>
        <v>3584.1288593494992</v>
      </c>
      <c r="H31" s="840">
        <f t="shared" si="19"/>
        <v>3646.8808836919416</v>
      </c>
      <c r="I31" s="841">
        <f t="shared" si="19"/>
        <v>3727.3271565598752</v>
      </c>
      <c r="J31" s="841">
        <f t="shared" si="19"/>
        <v>3805.5614783989995</v>
      </c>
      <c r="K31" s="841">
        <f t="shared" si="19"/>
        <v>3854.1463524128562</v>
      </c>
      <c r="L31" s="841">
        <f t="shared" si="19"/>
        <v>3854.6081863169775</v>
      </c>
      <c r="M31" s="841">
        <f t="shared" si="19"/>
        <v>3798.4676215887048</v>
      </c>
      <c r="N31" s="841">
        <f t="shared" si="19"/>
        <v>3694.9399415232847</v>
      </c>
      <c r="O31" s="841">
        <f t="shared" si="19"/>
        <v>3564.9788734163444</v>
      </c>
      <c r="P31" s="841">
        <f t="shared" si="19"/>
        <v>3438.8898031906028</v>
      </c>
      <c r="Q31" s="842">
        <f t="shared" si="19"/>
        <v>3338.6944248140617</v>
      </c>
    </row>
    <row r="32" spans="1:18">
      <c r="A32" s="24" t="s">
        <v>752</v>
      </c>
      <c r="B32" s="840">
        <f>SUM(B199:B203)</f>
        <v>3694.0266260555518</v>
      </c>
      <c r="C32" s="841">
        <f t="shared" ref="C32:Q32" si="20">SUM(C199:C203)</f>
        <v>3688.3227030571361</v>
      </c>
      <c r="D32" s="841">
        <f t="shared" si="20"/>
        <v>3661.9758919081041</v>
      </c>
      <c r="E32" s="841">
        <f t="shared" si="20"/>
        <v>3631.523660942783</v>
      </c>
      <c r="F32" s="841">
        <f t="shared" si="20"/>
        <v>3619.99</v>
      </c>
      <c r="G32" s="842">
        <f t="shared" si="20"/>
        <v>3643.1928955865305</v>
      </c>
      <c r="H32" s="840">
        <f t="shared" si="20"/>
        <v>3705.5492095672789</v>
      </c>
      <c r="I32" s="841">
        <f t="shared" si="20"/>
        <v>3799.6192566232817</v>
      </c>
      <c r="J32" s="841">
        <f t="shared" si="20"/>
        <v>3914.503252567436</v>
      </c>
      <c r="K32" s="841">
        <f t="shared" si="20"/>
        <v>4033.869692793819</v>
      </c>
      <c r="L32" s="841">
        <f t="shared" si="20"/>
        <v>4144.4275250721357</v>
      </c>
      <c r="M32" s="841">
        <f t="shared" si="20"/>
        <v>4246.4896730082019</v>
      </c>
      <c r="N32" s="841">
        <f t="shared" si="20"/>
        <v>4340.0811747903008</v>
      </c>
      <c r="O32" s="841">
        <f t="shared" si="20"/>
        <v>4411.4683056318163</v>
      </c>
      <c r="P32" s="841">
        <f t="shared" si="20"/>
        <v>4443.8357184311826</v>
      </c>
      <c r="Q32" s="842">
        <f t="shared" si="20"/>
        <v>4426.8168991553575</v>
      </c>
    </row>
    <row r="33" spans="1:18">
      <c r="A33" s="24" t="s">
        <v>753</v>
      </c>
      <c r="B33" s="840">
        <f>SUM(B204:B208)</f>
        <v>3226.8839527665718</v>
      </c>
      <c r="C33" s="841">
        <f t="shared" ref="C33:Q33" si="21">SUM(C204:C208)</f>
        <v>3265.7851139255295</v>
      </c>
      <c r="D33" s="841">
        <f t="shared" si="21"/>
        <v>3313.8081322093976</v>
      </c>
      <c r="E33" s="841">
        <f t="shared" si="21"/>
        <v>3362.814310938842</v>
      </c>
      <c r="F33" s="841">
        <f t="shared" si="21"/>
        <v>3401.1090000000004</v>
      </c>
      <c r="G33" s="842">
        <f t="shared" si="21"/>
        <v>3421.2666116995556</v>
      </c>
      <c r="H33" s="840">
        <f t="shared" si="21"/>
        <v>3418.6086166016466</v>
      </c>
      <c r="I33" s="841">
        <f t="shared" si="21"/>
        <v>3398.4327997797582</v>
      </c>
      <c r="J33" s="841">
        <f t="shared" si="21"/>
        <v>3375.2683421693182</v>
      </c>
      <c r="K33" s="841">
        <f t="shared" si="21"/>
        <v>3369.3669346062125</v>
      </c>
      <c r="L33" s="841">
        <f t="shared" si="21"/>
        <v>3394.6076178496369</v>
      </c>
      <c r="M33" s="841">
        <f t="shared" si="21"/>
        <v>3454.7211653567269</v>
      </c>
      <c r="N33" s="841">
        <f t="shared" si="21"/>
        <v>3543.0168917756296</v>
      </c>
      <c r="O33" s="841">
        <f t="shared" si="21"/>
        <v>3649.882099822506</v>
      </c>
      <c r="P33" s="841">
        <f t="shared" si="21"/>
        <v>3760.9452291353273</v>
      </c>
      <c r="Q33" s="842">
        <f t="shared" si="21"/>
        <v>3864.4218013227578</v>
      </c>
    </row>
    <row r="34" spans="1:18">
      <c r="A34" s="24" t="s">
        <v>754</v>
      </c>
      <c r="B34" s="840">
        <f>SUM(B209:B213)</f>
        <v>3005.3854065422229</v>
      </c>
      <c r="C34" s="841">
        <f t="shared" ref="C34:Q34" si="22">SUM(C209:C213)</f>
        <v>3077.5274838466512</v>
      </c>
      <c r="D34" s="841">
        <f t="shared" si="22"/>
        <v>3158.8331727078748</v>
      </c>
      <c r="E34" s="841">
        <f t="shared" si="22"/>
        <v>3239.7366912269399</v>
      </c>
      <c r="F34" s="841">
        <f t="shared" si="22"/>
        <v>3306.627</v>
      </c>
      <c r="G34" s="842">
        <f t="shared" si="22"/>
        <v>3350.1189456918091</v>
      </c>
      <c r="H34" s="840">
        <f t="shared" si="22"/>
        <v>3368.0503784821221</v>
      </c>
      <c r="I34" s="841">
        <f t="shared" si="22"/>
        <v>3364.9401527055484</v>
      </c>
      <c r="J34" s="841">
        <f t="shared" si="22"/>
        <v>3346.4344031071187</v>
      </c>
      <c r="K34" s="841">
        <f t="shared" si="22"/>
        <v>3321.0442592559184</v>
      </c>
      <c r="L34" s="841">
        <f t="shared" si="22"/>
        <v>3295.8788844928526</v>
      </c>
      <c r="M34" s="841">
        <f t="shared" si="22"/>
        <v>3270.8343769761891</v>
      </c>
      <c r="N34" s="841">
        <f t="shared" si="22"/>
        <v>3246.4632229402046</v>
      </c>
      <c r="O34" s="841">
        <f t="shared" si="22"/>
        <v>3231.2688425807692</v>
      </c>
      <c r="P34" s="841">
        <f t="shared" si="22"/>
        <v>3235.7484059393096</v>
      </c>
      <c r="Q34" s="842">
        <f t="shared" si="22"/>
        <v>3266.6764635289574</v>
      </c>
    </row>
    <row r="35" spans="1:18">
      <c r="A35" s="24" t="s">
        <v>755</v>
      </c>
      <c r="B35" s="840">
        <f>SUM(B214:B218)</f>
        <v>2611.5981250627206</v>
      </c>
      <c r="C35" s="841">
        <f t="shared" ref="C35:Q35" si="23">SUM(C214:C218)</f>
        <v>2712.2838848712659</v>
      </c>
      <c r="D35" s="841">
        <f t="shared" si="23"/>
        <v>2817.8184159023103</v>
      </c>
      <c r="E35" s="841">
        <f t="shared" si="23"/>
        <v>2920.8848482649641</v>
      </c>
      <c r="F35" s="841">
        <f t="shared" si="23"/>
        <v>3011.3610000000003</v>
      </c>
      <c r="G35" s="842">
        <f t="shared" si="23"/>
        <v>3082.0997649023921</v>
      </c>
      <c r="H35" s="840">
        <f t="shared" si="23"/>
        <v>3130.7630313285808</v>
      </c>
      <c r="I35" s="841">
        <f t="shared" si="23"/>
        <v>3159.8993428023973</v>
      </c>
      <c r="J35" s="841">
        <f t="shared" si="23"/>
        <v>3173.326620913942</v>
      </c>
      <c r="K35" s="841">
        <f t="shared" si="23"/>
        <v>3177.0454805398172</v>
      </c>
      <c r="L35" s="841">
        <f t="shared" si="23"/>
        <v>3175.7885849751747</v>
      </c>
      <c r="M35" s="841">
        <f t="shared" si="23"/>
        <v>3171.6554041675527</v>
      </c>
      <c r="N35" s="841">
        <f t="shared" si="23"/>
        <v>3164.5466238128738</v>
      </c>
      <c r="O35" s="841">
        <f t="shared" si="23"/>
        <v>3154.6064169877759</v>
      </c>
      <c r="P35" s="841">
        <f t="shared" si="23"/>
        <v>3141.3516648837222</v>
      </c>
      <c r="Q35" s="842">
        <f t="shared" si="23"/>
        <v>3125.2362319250774</v>
      </c>
    </row>
    <row r="36" spans="1:18">
      <c r="A36" s="24" t="s">
        <v>756</v>
      </c>
      <c r="B36" s="840">
        <f>SUM(B219:B223)</f>
        <v>2540.9424710620738</v>
      </c>
      <c r="C36" s="841">
        <f t="shared" ref="C36:Q36" si="24">SUM(C219:C223)</f>
        <v>2691.0161061826075</v>
      </c>
      <c r="D36" s="841">
        <f t="shared" si="24"/>
        <v>2844.6074604321302</v>
      </c>
      <c r="E36" s="841">
        <f t="shared" si="24"/>
        <v>2994.6476760226028</v>
      </c>
      <c r="F36" s="841">
        <f t="shared" si="24"/>
        <v>3131.931</v>
      </c>
      <c r="G36" s="842">
        <f t="shared" si="24"/>
        <v>3249.8712884305378</v>
      </c>
      <c r="H36" s="840">
        <f t="shared" si="24"/>
        <v>3345.4399938532079</v>
      </c>
      <c r="I36" s="841">
        <f t="shared" si="24"/>
        <v>3420.2458199990906</v>
      </c>
      <c r="J36" s="841">
        <f t="shared" si="24"/>
        <v>3478.1534455461233</v>
      </c>
      <c r="K36" s="841">
        <f t="shared" si="24"/>
        <v>3525.3528738429845</v>
      </c>
      <c r="L36" s="841">
        <f t="shared" si="24"/>
        <v>3566.4665704093977</v>
      </c>
      <c r="M36" s="841">
        <f t="shared" si="24"/>
        <v>3602.9110755390043</v>
      </c>
      <c r="N36" s="841">
        <f t="shared" si="24"/>
        <v>3633.5463327554749</v>
      </c>
      <c r="O36" s="841">
        <f t="shared" si="24"/>
        <v>3657.5226525262015</v>
      </c>
      <c r="P36" s="841">
        <f t="shared" si="24"/>
        <v>3673.1987992768404</v>
      </c>
      <c r="Q36" s="842">
        <f t="shared" si="24"/>
        <v>3679.7450271905855</v>
      </c>
    </row>
    <row r="37" spans="1:18">
      <c r="A37" s="24" t="s">
        <v>757</v>
      </c>
      <c r="B37" s="840">
        <f>SUM(B224:B228)</f>
        <v>1800.2351384978001</v>
      </c>
      <c r="C37" s="841">
        <f t="shared" ref="C37:Q37" si="25">SUM(C224:C228)</f>
        <v>1951.3233441516431</v>
      </c>
      <c r="D37" s="841">
        <f t="shared" si="25"/>
        <v>2107.6547056134614</v>
      </c>
      <c r="E37" s="841">
        <f t="shared" si="25"/>
        <v>2263.3419162669688</v>
      </c>
      <c r="F37" s="841">
        <f t="shared" si="25"/>
        <v>2411.4359999999997</v>
      </c>
      <c r="G37" s="842">
        <f t="shared" si="25"/>
        <v>2546.8147438909405</v>
      </c>
      <c r="H37" s="840">
        <f t="shared" si="25"/>
        <v>2666.3288125426634</v>
      </c>
      <c r="I37" s="841">
        <f t="shared" si="25"/>
        <v>2770.2243612928846</v>
      </c>
      <c r="J37" s="841">
        <f t="shared" si="25"/>
        <v>2861.1367890644592</v>
      </c>
      <c r="K37" s="841">
        <f t="shared" si="25"/>
        <v>2943.6300839473101</v>
      </c>
      <c r="L37" s="841">
        <f t="shared" si="25"/>
        <v>3021.0190594754558</v>
      </c>
      <c r="M37" s="841">
        <f t="shared" si="25"/>
        <v>3093.7446395253464</v>
      </c>
      <c r="N37" s="841">
        <f t="shared" si="25"/>
        <v>3160.4322513126317</v>
      </c>
      <c r="O37" s="841">
        <f t="shared" si="25"/>
        <v>3220.5119325787136</v>
      </c>
      <c r="P37" s="841">
        <f t="shared" si="25"/>
        <v>3272.9931183601129</v>
      </c>
      <c r="Q37" s="842">
        <f t="shared" si="25"/>
        <v>3317.207558803847</v>
      </c>
    </row>
    <row r="38" spans="1:18">
      <c r="A38" s="24" t="s">
        <v>758</v>
      </c>
      <c r="B38" s="840">
        <f>SUM(B229:B233)</f>
        <v>1362.3879646239029</v>
      </c>
      <c r="C38" s="841">
        <f t="shared" ref="C38:Q38" si="26">SUM(C229:C233)</f>
        <v>1457.2324849311672</v>
      </c>
      <c r="D38" s="841">
        <f t="shared" si="26"/>
        <v>1578.4746930765846</v>
      </c>
      <c r="E38" s="841">
        <f t="shared" si="26"/>
        <v>1719.1084359124554</v>
      </c>
      <c r="F38" s="841">
        <f t="shared" si="26"/>
        <v>1868.7460000000001</v>
      </c>
      <c r="G38" s="842">
        <f t="shared" si="26"/>
        <v>2019.243646826653</v>
      </c>
      <c r="H38" s="840">
        <f t="shared" si="26"/>
        <v>2168.4048543299732</v>
      </c>
      <c r="I38" s="841">
        <f t="shared" si="26"/>
        <v>2316.6477529965209</v>
      </c>
      <c r="J38" s="841">
        <f t="shared" si="26"/>
        <v>2461.5013531599216</v>
      </c>
      <c r="K38" s="841">
        <f t="shared" si="26"/>
        <v>2600.7620913430569</v>
      </c>
      <c r="L38" s="841">
        <f t="shared" si="26"/>
        <v>2732.6864598563679</v>
      </c>
      <c r="M38" s="841">
        <f t="shared" si="26"/>
        <v>2855.41014039315</v>
      </c>
      <c r="N38" s="841">
        <f t="shared" si="26"/>
        <v>2968.0844213069136</v>
      </c>
      <c r="O38" s="841">
        <f t="shared" si="26"/>
        <v>3071.4055880615037</v>
      </c>
      <c r="P38" s="841">
        <f t="shared" si="26"/>
        <v>3166.9059154859669</v>
      </c>
      <c r="Q38" s="842">
        <f t="shared" si="26"/>
        <v>3255.6585738793892</v>
      </c>
    </row>
    <row r="39" spans="1:18">
      <c r="A39" s="24" t="s">
        <v>759</v>
      </c>
      <c r="B39" s="840">
        <f>SUM(B234:B238)</f>
        <v>1150.5397780960345</v>
      </c>
      <c r="C39" s="841">
        <f t="shared" ref="C39:Q39" si="27">SUM(C234:C238)</f>
        <v>1162.4716904796501</v>
      </c>
      <c r="D39" s="841">
        <f t="shared" si="27"/>
        <v>1164.1901051535417</v>
      </c>
      <c r="E39" s="841">
        <f t="shared" si="27"/>
        <v>1167.4226854169253</v>
      </c>
      <c r="F39" s="841">
        <f t="shared" si="27"/>
        <v>1188.6130000000001</v>
      </c>
      <c r="G39" s="842">
        <f t="shared" si="27"/>
        <v>1239.1687635249748</v>
      </c>
      <c r="H39" s="840">
        <f t="shared" si="27"/>
        <v>1322.8508500340827</v>
      </c>
      <c r="I39" s="841">
        <f t="shared" si="27"/>
        <v>1434.7770924340557</v>
      </c>
      <c r="J39" s="841">
        <f t="shared" si="27"/>
        <v>1567.0224902032558</v>
      </c>
      <c r="K39" s="841">
        <f t="shared" si="27"/>
        <v>1707.6569478566455</v>
      </c>
      <c r="L39" s="841">
        <f t="shared" si="27"/>
        <v>1847.4701208863935</v>
      </c>
      <c r="M39" s="841">
        <f t="shared" si="27"/>
        <v>1984.1231725495056</v>
      </c>
      <c r="N39" s="841">
        <f t="shared" si="27"/>
        <v>2118.6513307589994</v>
      </c>
      <c r="O39" s="841">
        <f t="shared" si="27"/>
        <v>2249.1580190286227</v>
      </c>
      <c r="P39" s="841">
        <f t="shared" si="27"/>
        <v>2374.2747386989558</v>
      </c>
      <c r="Q39" s="842">
        <f t="shared" si="27"/>
        <v>2492.8826998570694</v>
      </c>
    </row>
    <row r="40" spans="1:18">
      <c r="A40" s="24" t="s">
        <v>772</v>
      </c>
      <c r="B40" s="843">
        <f>SUM(B239:B274)</f>
        <v>3400.0689050351771</v>
      </c>
      <c r="C40" s="844">
        <f t="shared" ref="C40:Q40" si="28">SUM(C239:C274)</f>
        <v>3485.8808338844915</v>
      </c>
      <c r="D40" s="844">
        <f t="shared" si="28"/>
        <v>3563.5250671484155</v>
      </c>
      <c r="E40" s="844">
        <f t="shared" si="28"/>
        <v>3634.8842466684173</v>
      </c>
      <c r="F40" s="844">
        <f t="shared" si="28"/>
        <v>3702.8990000000003</v>
      </c>
      <c r="G40" s="845">
        <f t="shared" si="28"/>
        <v>3770.5104977096939</v>
      </c>
      <c r="H40" s="843">
        <f t="shared" si="28"/>
        <v>3838.4041563734768</v>
      </c>
      <c r="I40" s="844">
        <f t="shared" si="28"/>
        <v>3908.2644136602667</v>
      </c>
      <c r="J40" s="844">
        <f t="shared" si="28"/>
        <v>3985.2601078110474</v>
      </c>
      <c r="K40" s="844">
        <f t="shared" si="28"/>
        <v>4075.8083770366511</v>
      </c>
      <c r="L40" s="844">
        <f t="shared" si="28"/>
        <v>4184.8808972005736</v>
      </c>
      <c r="M40" s="844">
        <f t="shared" si="28"/>
        <v>4314.2760957154014</v>
      </c>
      <c r="N40" s="844">
        <f t="shared" si="28"/>
        <v>4464.3801652450893</v>
      </c>
      <c r="O40" s="844">
        <f t="shared" si="28"/>
        <v>4636.780084559613</v>
      </c>
      <c r="P40" s="844">
        <f t="shared" si="28"/>
        <v>4832.7177085403882</v>
      </c>
      <c r="Q40" s="845">
        <f t="shared" si="28"/>
        <v>5052.7318946927771</v>
      </c>
    </row>
    <row r="41" spans="1:18">
      <c r="A41" s="25" t="s">
        <v>760</v>
      </c>
      <c r="B41" s="843">
        <f>SUM(B27:B40)</f>
        <v>41518.356038695085</v>
      </c>
      <c r="C41" s="844">
        <f t="shared" ref="C41:Q41" si="29">SUM(C27:C40)</f>
        <v>42029.716935654986</v>
      </c>
      <c r="D41" s="844">
        <f t="shared" si="29"/>
        <v>42524.852598342644</v>
      </c>
      <c r="E41" s="844">
        <f t="shared" si="29"/>
        <v>43010.680583462505</v>
      </c>
      <c r="F41" s="844">
        <f t="shared" si="29"/>
        <v>43497.293999999994</v>
      </c>
      <c r="G41" s="845">
        <f t="shared" si="29"/>
        <v>43991.769306109942</v>
      </c>
      <c r="H41" s="843">
        <f t="shared" si="29"/>
        <v>44496.102583900174</v>
      </c>
      <c r="I41" s="844">
        <f t="shared" si="29"/>
        <v>45007.182782868833</v>
      </c>
      <c r="J41" s="844">
        <f t="shared" si="29"/>
        <v>45520.60101479428</v>
      </c>
      <c r="K41" s="844">
        <f t="shared" si="29"/>
        <v>46029.75262920239</v>
      </c>
      <c r="L41" s="844">
        <f t="shared" si="29"/>
        <v>46529.557761268261</v>
      </c>
      <c r="M41" s="844">
        <f t="shared" si="29"/>
        <v>47018.583707989012</v>
      </c>
      <c r="N41" s="844">
        <f t="shared" si="29"/>
        <v>47497.633187307074</v>
      </c>
      <c r="O41" s="844">
        <f t="shared" si="29"/>
        <v>47966.427465842593</v>
      </c>
      <c r="P41" s="844">
        <f t="shared" si="29"/>
        <v>48425.262415744299</v>
      </c>
      <c r="Q41" s="845">
        <f t="shared" si="29"/>
        <v>48874.248583464047</v>
      </c>
      <c r="R41" s="76"/>
    </row>
    <row r="42" spans="1:18" ht="9.9499999999999993" customHeight="1"/>
    <row r="43" spans="1:18" ht="17.25">
      <c r="A43" s="79" t="s">
        <v>782</v>
      </c>
    </row>
    <row r="44" spans="1:18" ht="9.9499999999999993" customHeight="1"/>
    <row r="45" spans="1:18" ht="17.25">
      <c r="A45" s="474"/>
      <c r="B45" s="1488" t="s">
        <v>730</v>
      </c>
      <c r="C45" s="1489"/>
      <c r="D45" s="1489"/>
      <c r="E45" s="1489"/>
      <c r="F45" s="1489"/>
      <c r="G45" s="1489"/>
      <c r="H45" s="1488" t="s">
        <v>734</v>
      </c>
      <c r="I45" s="1489"/>
      <c r="J45" s="1489"/>
      <c r="K45" s="1489"/>
      <c r="L45" s="1489"/>
      <c r="M45" s="1489"/>
      <c r="N45" s="1489"/>
      <c r="O45" s="1489"/>
      <c r="P45" s="1489"/>
      <c r="Q45" s="1490"/>
      <c r="R45" s="1491" t="s">
        <v>744</v>
      </c>
    </row>
    <row r="46" spans="1:18" ht="17.25" customHeight="1">
      <c r="A46" s="475" t="s">
        <v>746</v>
      </c>
      <c r="B46" s="476">
        <v>2005</v>
      </c>
      <c r="C46" s="477">
        <v>2006</v>
      </c>
      <c r="D46" s="477">
        <v>2007</v>
      </c>
      <c r="E46" s="477">
        <v>2008</v>
      </c>
      <c r="F46" s="477">
        <v>2009</v>
      </c>
      <c r="G46" s="478">
        <v>2010</v>
      </c>
      <c r="H46" s="476">
        <v>2011</v>
      </c>
      <c r="I46" s="477">
        <v>2012</v>
      </c>
      <c r="J46" s="477">
        <v>2013</v>
      </c>
      <c r="K46" s="477">
        <v>2014</v>
      </c>
      <c r="L46" s="477">
        <v>2015</v>
      </c>
      <c r="M46" s="477">
        <v>2016</v>
      </c>
      <c r="N46" s="477">
        <v>2017</v>
      </c>
      <c r="O46" s="477">
        <v>2018</v>
      </c>
      <c r="P46" s="477">
        <v>2019</v>
      </c>
      <c r="Q46" s="478">
        <v>2020</v>
      </c>
      <c r="R46" s="1492"/>
    </row>
    <row r="47" spans="1:18">
      <c r="A47" s="24" t="s">
        <v>747</v>
      </c>
      <c r="B47" s="837">
        <f t="shared" ref="B47:Q47" si="30">B7+B27</f>
        <v>7445.2028885304462</v>
      </c>
      <c r="C47" s="838">
        <f t="shared" si="30"/>
        <v>7386.2507212549808</v>
      </c>
      <c r="D47" s="838">
        <f t="shared" si="30"/>
        <v>7306.4026310706067</v>
      </c>
      <c r="E47" s="838">
        <f t="shared" si="30"/>
        <v>7217.8010821881689</v>
      </c>
      <c r="F47" s="838">
        <f t="shared" si="30"/>
        <v>7140.0120000000006</v>
      </c>
      <c r="G47" s="839">
        <f t="shared" si="30"/>
        <v>7086.7284640724547</v>
      </c>
      <c r="H47" s="837">
        <f t="shared" si="30"/>
        <v>7060.691749215177</v>
      </c>
      <c r="I47" s="838">
        <f t="shared" si="30"/>
        <v>7055.0291883637583</v>
      </c>
      <c r="J47" s="838">
        <f t="shared" si="30"/>
        <v>7062.4560835520915</v>
      </c>
      <c r="K47" s="838">
        <f t="shared" si="30"/>
        <v>7072.1702143665434</v>
      </c>
      <c r="L47" s="838">
        <f t="shared" si="30"/>
        <v>7076.2165019166459</v>
      </c>
      <c r="M47" s="838">
        <f t="shared" si="30"/>
        <v>7071.7495791878428</v>
      </c>
      <c r="N47" s="838">
        <f t="shared" si="30"/>
        <v>7060.6973851974435</v>
      </c>
      <c r="O47" s="838">
        <f t="shared" si="30"/>
        <v>7045.5437492519532</v>
      </c>
      <c r="P47" s="838">
        <f t="shared" si="30"/>
        <v>7030.602500856784</v>
      </c>
      <c r="Q47" s="839">
        <f t="shared" si="30"/>
        <v>7018.6476854774246</v>
      </c>
    </row>
    <row r="48" spans="1:18">
      <c r="A48" s="24" t="s">
        <v>748</v>
      </c>
      <c r="B48" s="840">
        <f t="shared" ref="B48:Q48" si="31">B8+B28</f>
        <v>7310.8688590290203</v>
      </c>
      <c r="C48" s="841">
        <f t="shared" si="31"/>
        <v>7145.6511635148436</v>
      </c>
      <c r="D48" s="841">
        <f t="shared" si="31"/>
        <v>7051.6517966919673</v>
      </c>
      <c r="E48" s="841">
        <f t="shared" si="31"/>
        <v>7008.4781236414947</v>
      </c>
      <c r="F48" s="841">
        <f t="shared" si="31"/>
        <v>6983.0709999999999</v>
      </c>
      <c r="G48" s="842">
        <f t="shared" si="31"/>
        <v>6951.1779957805302</v>
      </c>
      <c r="H48" s="840">
        <f t="shared" si="31"/>
        <v>6907.8402111914029</v>
      </c>
      <c r="I48" s="841">
        <f t="shared" si="31"/>
        <v>6861.1721977105317</v>
      </c>
      <c r="J48" s="841">
        <f t="shared" si="31"/>
        <v>6815.1279257701881</v>
      </c>
      <c r="K48" s="841">
        <f t="shared" si="31"/>
        <v>6777.2270527641831</v>
      </c>
      <c r="L48" s="841">
        <f t="shared" si="31"/>
        <v>6752.5036252475657</v>
      </c>
      <c r="M48" s="841">
        <f t="shared" si="31"/>
        <v>6741.067710964503</v>
      </c>
      <c r="N48" s="841">
        <f t="shared" si="31"/>
        <v>6738.9289900165995</v>
      </c>
      <c r="O48" s="841">
        <f t="shared" si="31"/>
        <v>6742.3201800092302</v>
      </c>
      <c r="P48" s="841">
        <f t="shared" si="31"/>
        <v>6746.130214196437</v>
      </c>
      <c r="Q48" s="842">
        <f t="shared" si="31"/>
        <v>6746.5843973485007</v>
      </c>
    </row>
    <row r="49" spans="1:18">
      <c r="A49" s="24" t="s">
        <v>749</v>
      </c>
      <c r="B49" s="840">
        <f t="shared" ref="B49:Q49" si="32">B9+B29</f>
        <v>8766.6961396899969</v>
      </c>
      <c r="C49" s="841">
        <f t="shared" si="32"/>
        <v>8553.7500561130728</v>
      </c>
      <c r="D49" s="841">
        <f t="shared" si="32"/>
        <v>8261.4648450545465</v>
      </c>
      <c r="E49" s="841">
        <f t="shared" si="32"/>
        <v>7931.2444817861742</v>
      </c>
      <c r="F49" s="841">
        <f t="shared" si="32"/>
        <v>7620.405999999999</v>
      </c>
      <c r="G49" s="842">
        <f t="shared" si="32"/>
        <v>7370.4210832294284</v>
      </c>
      <c r="H49" s="840">
        <f t="shared" si="32"/>
        <v>7197.0750053640713</v>
      </c>
      <c r="I49" s="841">
        <f t="shared" si="32"/>
        <v>7089.6299397959265</v>
      </c>
      <c r="J49" s="841">
        <f t="shared" si="32"/>
        <v>7030.4474674771109</v>
      </c>
      <c r="K49" s="841">
        <f t="shared" si="32"/>
        <v>6990.2556810377946</v>
      </c>
      <c r="L49" s="841">
        <f t="shared" si="32"/>
        <v>6947.5318397047567</v>
      </c>
      <c r="M49" s="841">
        <f t="shared" si="32"/>
        <v>6898.3860576692532</v>
      </c>
      <c r="N49" s="841">
        <f t="shared" si="32"/>
        <v>6850.1893943590294</v>
      </c>
      <c r="O49" s="841">
        <f t="shared" si="32"/>
        <v>6805.5840623568965</v>
      </c>
      <c r="P49" s="841">
        <f t="shared" si="32"/>
        <v>6769.9543466852656</v>
      </c>
      <c r="Q49" s="842">
        <f t="shared" si="32"/>
        <v>6746.7632396502222</v>
      </c>
    </row>
    <row r="50" spans="1:18">
      <c r="A50" s="24" t="s">
        <v>750</v>
      </c>
      <c r="B50" s="840">
        <f t="shared" ref="B50:Q50" si="33">B10+B30</f>
        <v>7926.1411637242327</v>
      </c>
      <c r="C50" s="841">
        <f t="shared" si="33"/>
        <v>8010.2490433148751</v>
      </c>
      <c r="D50" s="841">
        <f t="shared" si="33"/>
        <v>8074.8917619992735</v>
      </c>
      <c r="E50" s="841">
        <f t="shared" si="33"/>
        <v>8103.4471813991968</v>
      </c>
      <c r="F50" s="841">
        <f t="shared" si="33"/>
        <v>8074.9849999999997</v>
      </c>
      <c r="G50" s="842">
        <f t="shared" si="33"/>
        <v>7977.2956069715447</v>
      </c>
      <c r="H50" s="840">
        <f t="shared" si="33"/>
        <v>7800.8738117496687</v>
      </c>
      <c r="I50" s="841">
        <f t="shared" si="33"/>
        <v>7557.1543548262234</v>
      </c>
      <c r="J50" s="841">
        <f t="shared" si="33"/>
        <v>7280.8974895618894</v>
      </c>
      <c r="K50" s="841">
        <f t="shared" si="33"/>
        <v>7020.2030788027105</v>
      </c>
      <c r="L50" s="841">
        <f t="shared" si="33"/>
        <v>6809.9024457959476</v>
      </c>
      <c r="M50" s="841">
        <f t="shared" si="33"/>
        <v>6663.2986389703401</v>
      </c>
      <c r="N50" s="841">
        <f t="shared" si="33"/>
        <v>6571.4820434755475</v>
      </c>
      <c r="O50" s="841">
        <f t="shared" si="33"/>
        <v>6519.7711744475127</v>
      </c>
      <c r="P50" s="841">
        <f t="shared" si="33"/>
        <v>6483.7452266015371</v>
      </c>
      <c r="Q50" s="842">
        <f t="shared" si="33"/>
        <v>6445.4764148631566</v>
      </c>
    </row>
    <row r="51" spans="1:18">
      <c r="A51" s="24" t="s">
        <v>751</v>
      </c>
      <c r="B51" s="840">
        <f t="shared" ref="B51:Q51" si="34">B11+B31</f>
        <v>6792.6025697531986</v>
      </c>
      <c r="C51" s="841">
        <f t="shared" si="34"/>
        <v>6855.7256896039407</v>
      </c>
      <c r="D51" s="841">
        <f t="shared" si="34"/>
        <v>6922.8308806380574</v>
      </c>
      <c r="E51" s="841">
        <f t="shared" si="34"/>
        <v>7002.5478512629616</v>
      </c>
      <c r="F51" s="841">
        <f t="shared" si="34"/>
        <v>7105.8410000000003</v>
      </c>
      <c r="G51" s="842">
        <f t="shared" si="34"/>
        <v>7237.3356407138481</v>
      </c>
      <c r="H51" s="840">
        <f t="shared" si="34"/>
        <v>7407.9050895254204</v>
      </c>
      <c r="I51" s="841">
        <f t="shared" si="34"/>
        <v>7607.2828572465532</v>
      </c>
      <c r="J51" s="841">
        <f t="shared" si="34"/>
        <v>7793.5856412391622</v>
      </c>
      <c r="K51" s="841">
        <f t="shared" si="34"/>
        <v>7910.1198068175763</v>
      </c>
      <c r="L51" s="841">
        <f t="shared" si="34"/>
        <v>7918.9689002951627</v>
      </c>
      <c r="M51" s="841">
        <f t="shared" si="34"/>
        <v>7801.7691954115817</v>
      </c>
      <c r="N51" s="841">
        <f t="shared" si="34"/>
        <v>7577.73024403207</v>
      </c>
      <c r="O51" s="841">
        <f t="shared" si="34"/>
        <v>7292.8757460044608</v>
      </c>
      <c r="P51" s="841">
        <f t="shared" si="34"/>
        <v>7013.6257951304578</v>
      </c>
      <c r="Q51" s="842">
        <f t="shared" si="34"/>
        <v>6788.4421298437892</v>
      </c>
    </row>
    <row r="52" spans="1:18">
      <c r="A52" s="24" t="s">
        <v>752</v>
      </c>
      <c r="B52" s="840">
        <f t="shared" ref="B52:Q52" si="35">B12+B32</f>
        <v>7386.5054767661741</v>
      </c>
      <c r="C52" s="841">
        <f t="shared" si="35"/>
        <v>7363.1128169751264</v>
      </c>
      <c r="D52" s="841">
        <f t="shared" si="35"/>
        <v>7299.5586715841609</v>
      </c>
      <c r="E52" s="841">
        <f t="shared" si="35"/>
        <v>7233.9750259401144</v>
      </c>
      <c r="F52" s="841">
        <f t="shared" si="35"/>
        <v>7218.5810000000001</v>
      </c>
      <c r="G52" s="842">
        <f t="shared" si="35"/>
        <v>7288.9541679774493</v>
      </c>
      <c r="H52" s="840">
        <f t="shared" si="35"/>
        <v>7455.8643374757448</v>
      </c>
      <c r="I52" s="841">
        <f t="shared" si="35"/>
        <v>7702.0281321212424</v>
      </c>
      <c r="J52" s="841">
        <f t="shared" si="35"/>
        <v>7999.6662256173586</v>
      </c>
      <c r="K52" s="841">
        <f t="shared" si="35"/>
        <v>8307.5540457058196</v>
      </c>
      <c r="L52" s="841">
        <f t="shared" si="35"/>
        <v>8592.344558632285</v>
      </c>
      <c r="M52" s="841">
        <f t="shared" si="35"/>
        <v>8853.6294652862853</v>
      </c>
      <c r="N52" s="841">
        <f t="shared" si="35"/>
        <v>9091.698004270489</v>
      </c>
      <c r="O52" s="841">
        <f t="shared" si="35"/>
        <v>9275.2168468340515</v>
      </c>
      <c r="P52" s="841">
        <f t="shared" si="35"/>
        <v>9366.288322036944</v>
      </c>
      <c r="Q52" s="842">
        <f t="shared" si="35"/>
        <v>9341.604245488983</v>
      </c>
    </row>
    <row r="53" spans="1:18">
      <c r="A53" s="24" t="s">
        <v>753</v>
      </c>
      <c r="B53" s="840">
        <f t="shared" ref="B53:Q53" si="36">B13+B33</f>
        <v>6392.9120041943297</v>
      </c>
      <c r="C53" s="841">
        <f t="shared" si="36"/>
        <v>6471.2561473862161</v>
      </c>
      <c r="D53" s="841">
        <f t="shared" si="36"/>
        <v>6566.0162768676346</v>
      </c>
      <c r="E53" s="841">
        <f t="shared" si="36"/>
        <v>6661.1729489668896</v>
      </c>
      <c r="F53" s="841">
        <f t="shared" si="36"/>
        <v>6733.5140000000001</v>
      </c>
      <c r="G53" s="842">
        <f t="shared" si="36"/>
        <v>6768.7389146377172</v>
      </c>
      <c r="H53" s="840">
        <f t="shared" si="36"/>
        <v>6756.7154287702469</v>
      </c>
      <c r="I53" s="841">
        <f t="shared" si="36"/>
        <v>6709.2188454113502</v>
      </c>
      <c r="J53" s="841">
        <f t="shared" si="36"/>
        <v>6660.0750926060819</v>
      </c>
      <c r="K53" s="841">
        <f t="shared" si="36"/>
        <v>6656.0211902952906</v>
      </c>
      <c r="L53" s="841">
        <f t="shared" si="36"/>
        <v>6728.8390308779899</v>
      </c>
      <c r="M53" s="841">
        <f t="shared" si="36"/>
        <v>6887.6747483034615</v>
      </c>
      <c r="N53" s="841">
        <f t="shared" si="36"/>
        <v>7116.5870164873595</v>
      </c>
      <c r="O53" s="841">
        <f t="shared" si="36"/>
        <v>7390.7626224125852</v>
      </c>
      <c r="P53" s="841">
        <f t="shared" si="36"/>
        <v>7673.5091925982961</v>
      </c>
      <c r="Q53" s="842">
        <f t="shared" si="36"/>
        <v>7935.0737489183957</v>
      </c>
    </row>
    <row r="54" spans="1:18">
      <c r="A54" s="24" t="s">
        <v>754</v>
      </c>
      <c r="B54" s="840">
        <f t="shared" ref="B54:Q54" si="37">B14+B34</f>
        <v>5921.3922864772594</v>
      </c>
      <c r="C54" s="841">
        <f t="shared" si="37"/>
        <v>6063.1683477286551</v>
      </c>
      <c r="D54" s="841">
        <f t="shared" si="37"/>
        <v>6224.9540252322722</v>
      </c>
      <c r="E54" s="841">
        <f t="shared" si="37"/>
        <v>6387.1213890249119</v>
      </c>
      <c r="F54" s="841">
        <f t="shared" si="37"/>
        <v>6521.3969999999999</v>
      </c>
      <c r="G54" s="842">
        <f t="shared" si="37"/>
        <v>6608.2824045700909</v>
      </c>
      <c r="H54" s="840">
        <f t="shared" si="37"/>
        <v>6644.1329814630953</v>
      </c>
      <c r="I54" s="841">
        <f t="shared" si="37"/>
        <v>6638.635574874259</v>
      </c>
      <c r="J54" s="841">
        <f t="shared" si="37"/>
        <v>6602.3077731328249</v>
      </c>
      <c r="K54" s="841">
        <f t="shared" si="37"/>
        <v>6551.0792157221367</v>
      </c>
      <c r="L54" s="841">
        <f t="shared" si="37"/>
        <v>6498.7586678923053</v>
      </c>
      <c r="M54" s="841">
        <f t="shared" si="37"/>
        <v>6443.8928735040536</v>
      </c>
      <c r="N54" s="841">
        <f t="shared" si="37"/>
        <v>6388.7776927928226</v>
      </c>
      <c r="O54" s="841">
        <f t="shared" si="37"/>
        <v>6355.3220987030545</v>
      </c>
      <c r="P54" s="841">
        <f t="shared" si="37"/>
        <v>6371.1197748946825</v>
      </c>
      <c r="Q54" s="842">
        <f t="shared" si="37"/>
        <v>6454.0288637356334</v>
      </c>
    </row>
    <row r="55" spans="1:18">
      <c r="A55" s="24" t="s">
        <v>755</v>
      </c>
      <c r="B55" s="840">
        <f t="shared" ref="B55:Q55" si="38">B15+B35</f>
        <v>5244.8418087053797</v>
      </c>
      <c r="C55" s="841">
        <f t="shared" si="38"/>
        <v>5450.7451745896433</v>
      </c>
      <c r="D55" s="841">
        <f t="shared" si="38"/>
        <v>5652.8638260346088</v>
      </c>
      <c r="E55" s="841">
        <f t="shared" si="38"/>
        <v>5842.2775909815482</v>
      </c>
      <c r="F55" s="841">
        <f t="shared" si="38"/>
        <v>6007.3600000000006</v>
      </c>
      <c r="G55" s="842">
        <f t="shared" si="38"/>
        <v>6139.9976325538264</v>
      </c>
      <c r="H55" s="840">
        <f t="shared" si="38"/>
        <v>6237.2791977335301</v>
      </c>
      <c r="I55" s="841">
        <f t="shared" si="38"/>
        <v>6302.0780451251921</v>
      </c>
      <c r="J55" s="841">
        <f t="shared" si="38"/>
        <v>6339.4453707721332</v>
      </c>
      <c r="K55" s="841">
        <f t="shared" si="38"/>
        <v>6357.2671289257487</v>
      </c>
      <c r="L55" s="841">
        <f t="shared" si="38"/>
        <v>6362.0364122258234</v>
      </c>
      <c r="M55" s="841">
        <f t="shared" si="38"/>
        <v>6358.0348717012075</v>
      </c>
      <c r="N55" s="841">
        <f t="shared" si="38"/>
        <v>6346.3503944094546</v>
      </c>
      <c r="O55" s="841">
        <f t="shared" si="38"/>
        <v>6326.9760973334724</v>
      </c>
      <c r="P55" s="841">
        <f t="shared" si="38"/>
        <v>6298.7642910981285</v>
      </c>
      <c r="Q55" s="842">
        <f t="shared" si="38"/>
        <v>6262.9166858408353</v>
      </c>
    </row>
    <row r="56" spans="1:18">
      <c r="A56" s="24" t="s">
        <v>756</v>
      </c>
      <c r="B56" s="840">
        <f t="shared" ref="B56:Q56" si="39">B16+B36</f>
        <v>4828.5324141199762</v>
      </c>
      <c r="C56" s="841">
        <f t="shared" si="39"/>
        <v>5138.1445236573727</v>
      </c>
      <c r="D56" s="841">
        <f t="shared" si="39"/>
        <v>5455.841350046685</v>
      </c>
      <c r="E56" s="841">
        <f t="shared" si="39"/>
        <v>5765.9551580579255</v>
      </c>
      <c r="F56" s="841">
        <f t="shared" si="39"/>
        <v>6048.2180000000008</v>
      </c>
      <c r="G56" s="842">
        <f t="shared" si="39"/>
        <v>6288.240345332104</v>
      </c>
      <c r="H56" s="840">
        <f t="shared" si="39"/>
        <v>6478.9935860765554</v>
      </c>
      <c r="I56" s="841">
        <f t="shared" si="39"/>
        <v>6624.2249539967561</v>
      </c>
      <c r="J56" s="841">
        <f t="shared" si="39"/>
        <v>6733.816860329418</v>
      </c>
      <c r="K56" s="841">
        <f t="shared" si="39"/>
        <v>6823.250759731498</v>
      </c>
      <c r="L56" s="841">
        <f t="shared" si="39"/>
        <v>6903.9440417222595</v>
      </c>
      <c r="M56" s="841">
        <f t="shared" si="39"/>
        <v>6979.5475233837524</v>
      </c>
      <c r="N56" s="841">
        <f t="shared" si="39"/>
        <v>7046.9332302246876</v>
      </c>
      <c r="O56" s="841">
        <f t="shared" si="39"/>
        <v>7102.8961965580047</v>
      </c>
      <c r="P56" s="841">
        <f t="shared" si="39"/>
        <v>7141.8812406202596</v>
      </c>
      <c r="Q56" s="842">
        <f t="shared" si="39"/>
        <v>7160.5994236099559</v>
      </c>
    </row>
    <row r="57" spans="1:18">
      <c r="A57" s="24" t="s">
        <v>757</v>
      </c>
      <c r="B57" s="840">
        <f t="shared" ref="B57:Q57" si="40">B17+B37</f>
        <v>3643.7843640435003</v>
      </c>
      <c r="C57" s="841">
        <f t="shared" si="40"/>
        <v>3949.9012517339825</v>
      </c>
      <c r="D57" s="841">
        <f t="shared" si="40"/>
        <v>4255.0830610719586</v>
      </c>
      <c r="E57" s="841">
        <f t="shared" si="40"/>
        <v>4556.5299049933019</v>
      </c>
      <c r="F57" s="841">
        <f t="shared" si="40"/>
        <v>4853.1440000000002</v>
      </c>
      <c r="G57" s="842">
        <f t="shared" si="40"/>
        <v>5143.3018824153278</v>
      </c>
      <c r="H57" s="840">
        <f t="shared" si="40"/>
        <v>5424.5610504961087</v>
      </c>
      <c r="I57" s="841">
        <f t="shared" si="40"/>
        <v>5692.8894343010961</v>
      </c>
      <c r="J57" s="841">
        <f t="shared" si="40"/>
        <v>5943.6255344439669</v>
      </c>
      <c r="K57" s="841">
        <f t="shared" si="40"/>
        <v>6171.6237268584009</v>
      </c>
      <c r="L57" s="841">
        <f t="shared" si="40"/>
        <v>6373.3596206732527</v>
      </c>
      <c r="M57" s="841">
        <f t="shared" si="40"/>
        <v>6546.0683011321325</v>
      </c>
      <c r="N57" s="841">
        <f t="shared" si="40"/>
        <v>6690.4921987452308</v>
      </c>
      <c r="O57" s="841">
        <f t="shared" si="40"/>
        <v>6811.1464653463408</v>
      </c>
      <c r="P57" s="841">
        <f t="shared" si="40"/>
        <v>6914.8463579244999</v>
      </c>
      <c r="Q57" s="842">
        <f t="shared" si="40"/>
        <v>7006.6084992518809</v>
      </c>
    </row>
    <row r="58" spans="1:18">
      <c r="A58" s="24" t="s">
        <v>758</v>
      </c>
      <c r="B58" s="840">
        <f t="shared" ref="B58:Q58" si="41">B18+B38</f>
        <v>2506.4304829230787</v>
      </c>
      <c r="C58" s="841">
        <f t="shared" si="41"/>
        <v>2696.3272014031754</v>
      </c>
      <c r="D58" s="841">
        <f t="shared" si="41"/>
        <v>2932.6211812351748</v>
      </c>
      <c r="E58" s="841">
        <f t="shared" si="41"/>
        <v>3203.1660812303617</v>
      </c>
      <c r="F58" s="841">
        <f t="shared" si="41"/>
        <v>3490.2560000000003</v>
      </c>
      <c r="G58" s="842">
        <f t="shared" si="41"/>
        <v>3780.1600881579343</v>
      </c>
      <c r="H58" s="840">
        <f t="shared" si="41"/>
        <v>4067.7682631741</v>
      </c>
      <c r="I58" s="841">
        <f t="shared" si="41"/>
        <v>4353.8510938183217</v>
      </c>
      <c r="J58" s="841">
        <f t="shared" si="41"/>
        <v>4637.4241098613311</v>
      </c>
      <c r="K58" s="841">
        <f t="shared" si="41"/>
        <v>4919.1573508146048</v>
      </c>
      <c r="L58" s="841">
        <f t="shared" si="41"/>
        <v>5198.6708825692021</v>
      </c>
      <c r="M58" s="841">
        <f t="shared" si="41"/>
        <v>5474.6922110695832</v>
      </c>
      <c r="N58" s="841">
        <f t="shared" si="41"/>
        <v>5743.1989419289685</v>
      </c>
      <c r="O58" s="841">
        <f t="shared" si="41"/>
        <v>5998.0288137620191</v>
      </c>
      <c r="P58" s="841">
        <f t="shared" si="41"/>
        <v>6231.6936601954203</v>
      </c>
      <c r="Q58" s="842">
        <f t="shared" si="41"/>
        <v>6438.8990696227602</v>
      </c>
    </row>
    <row r="59" spans="1:18">
      <c r="A59" s="24" t="s">
        <v>759</v>
      </c>
      <c r="B59" s="840">
        <f t="shared" ref="B59:Q59" si="42">B19+B39</f>
        <v>2110.9375488326405</v>
      </c>
      <c r="C59" s="841">
        <f t="shared" si="42"/>
        <v>2135.5671332623124</v>
      </c>
      <c r="D59" s="841">
        <f t="shared" si="42"/>
        <v>2146.4879482242727</v>
      </c>
      <c r="E59" s="841">
        <f t="shared" si="42"/>
        <v>2164.0277845686242</v>
      </c>
      <c r="F59" s="841">
        <f t="shared" si="42"/>
        <v>2216.5100000000002</v>
      </c>
      <c r="G59" s="842">
        <f t="shared" si="42"/>
        <v>2323.5340840772224</v>
      </c>
      <c r="H59" s="840">
        <f t="shared" si="42"/>
        <v>2491.9953186822249</v>
      </c>
      <c r="I59" s="841">
        <f t="shared" si="42"/>
        <v>2713.4928021510977</v>
      </c>
      <c r="J59" s="841">
        <f t="shared" si="42"/>
        <v>2973.4041288972612</v>
      </c>
      <c r="K59" s="841">
        <f t="shared" si="42"/>
        <v>3249.8376771410085</v>
      </c>
      <c r="L59" s="841">
        <f t="shared" si="42"/>
        <v>3526.0768298613671</v>
      </c>
      <c r="M59" s="841">
        <f t="shared" si="42"/>
        <v>3796.6362780701584</v>
      </c>
      <c r="N59" s="841">
        <f t="shared" si="42"/>
        <v>4063.7055572854433</v>
      </c>
      <c r="O59" s="841">
        <f t="shared" si="42"/>
        <v>4327.1812238255343</v>
      </c>
      <c r="P59" s="841">
        <f t="shared" si="42"/>
        <v>4589.120288742266</v>
      </c>
      <c r="Q59" s="842">
        <f t="shared" si="42"/>
        <v>4850.1732009698771</v>
      </c>
    </row>
    <row r="60" spans="1:18">
      <c r="A60" s="24" t="s">
        <v>772</v>
      </c>
      <c r="B60" s="840">
        <f t="shared" ref="B60:Q60" si="43">B20+B40</f>
        <v>5655.1899874670453</v>
      </c>
      <c r="C60" s="841">
        <f t="shared" si="43"/>
        <v>5794.5174464944048</v>
      </c>
      <c r="D60" s="841">
        <f t="shared" si="43"/>
        <v>5921.7563687326892</v>
      </c>
      <c r="E60" s="841">
        <f t="shared" si="43"/>
        <v>6039.1983937863224</v>
      </c>
      <c r="F60" s="841">
        <f t="shared" si="43"/>
        <v>6151.2380000000012</v>
      </c>
      <c r="G60" s="842">
        <f t="shared" si="43"/>
        <v>6266.0305708736068</v>
      </c>
      <c r="H60" s="840">
        <f t="shared" si="43"/>
        <v>6378.2420222139408</v>
      </c>
      <c r="I60" s="841">
        <f t="shared" si="43"/>
        <v>6494.3886218082698</v>
      </c>
      <c r="J60" s="841">
        <f t="shared" si="43"/>
        <v>6624.44527650071</v>
      </c>
      <c r="K60" s="841">
        <f t="shared" si="43"/>
        <v>6780.7732062872337</v>
      </c>
      <c r="L60" s="841">
        <f t="shared" si="43"/>
        <v>6972.8988427545555</v>
      </c>
      <c r="M60" s="841">
        <f t="shared" si="43"/>
        <v>7204.705469604527</v>
      </c>
      <c r="N60" s="841">
        <f t="shared" si="43"/>
        <v>7476.6064397787004</v>
      </c>
      <c r="O60" s="841">
        <f t="shared" si="43"/>
        <v>7790.1440600045853</v>
      </c>
      <c r="P60" s="841">
        <f t="shared" si="43"/>
        <v>8145.6665099886832</v>
      </c>
      <c r="Q60" s="842">
        <f t="shared" si="43"/>
        <v>8542.9307131586502</v>
      </c>
    </row>
    <row r="61" spans="1:18">
      <c r="A61" s="25" t="s">
        <v>760</v>
      </c>
      <c r="B61" s="846">
        <f t="shared" ref="B61:Q61" si="44">B21+B41</f>
        <v>81932.037994256287</v>
      </c>
      <c r="C61" s="847">
        <f t="shared" si="44"/>
        <v>83014.366717032593</v>
      </c>
      <c r="D61" s="847">
        <f t="shared" si="44"/>
        <v>84072.424624483901</v>
      </c>
      <c r="E61" s="847">
        <f t="shared" si="44"/>
        <v>85116.94299782798</v>
      </c>
      <c r="F61" s="847">
        <f t="shared" si="44"/>
        <v>86164.532999999996</v>
      </c>
      <c r="G61" s="848">
        <f t="shared" si="44"/>
        <v>87230.198881363089</v>
      </c>
      <c r="H61" s="846">
        <f t="shared" si="44"/>
        <v>88309.938053131278</v>
      </c>
      <c r="I61" s="847">
        <f t="shared" si="44"/>
        <v>89401.076041550579</v>
      </c>
      <c r="J61" s="847">
        <f t="shared" si="44"/>
        <v>90496.724979761537</v>
      </c>
      <c r="K61" s="847">
        <f t="shared" si="44"/>
        <v>91586.540135270538</v>
      </c>
      <c r="L61" s="847">
        <f t="shared" si="44"/>
        <v>92662.052200169128</v>
      </c>
      <c r="M61" s="847">
        <f t="shared" si="44"/>
        <v>93721.152924258698</v>
      </c>
      <c r="N61" s="847">
        <f t="shared" si="44"/>
        <v>94763.377533003862</v>
      </c>
      <c r="O61" s="847">
        <f t="shared" si="44"/>
        <v>95783.769336849713</v>
      </c>
      <c r="P61" s="847">
        <f t="shared" si="44"/>
        <v>96776.947721569653</v>
      </c>
      <c r="Q61" s="848">
        <f t="shared" si="44"/>
        <v>97738.748317780075</v>
      </c>
      <c r="R61" s="76"/>
    </row>
    <row r="62" spans="1:18" ht="9.9499999999999993" customHeight="1"/>
    <row r="63" spans="1:18" ht="17.25">
      <c r="A63" s="18" t="s">
        <v>783</v>
      </c>
    </row>
    <row r="65" spans="1:18" ht="17.25">
      <c r="A65" s="467"/>
      <c r="B65" s="1488" t="s">
        <v>730</v>
      </c>
      <c r="C65" s="1489"/>
      <c r="D65" s="1489"/>
      <c r="E65" s="1489"/>
      <c r="F65" s="1489"/>
      <c r="G65" s="1489"/>
      <c r="H65" s="1488" t="s">
        <v>734</v>
      </c>
      <c r="I65" s="1489"/>
      <c r="J65" s="1489"/>
      <c r="K65" s="1489"/>
      <c r="L65" s="1489"/>
      <c r="M65" s="1489"/>
      <c r="N65" s="1489"/>
      <c r="O65" s="1489"/>
      <c r="P65" s="1489"/>
      <c r="Q65" s="1490"/>
      <c r="R65" s="1491" t="s">
        <v>744</v>
      </c>
    </row>
    <row r="66" spans="1:18">
      <c r="A66" s="468" t="s">
        <v>746</v>
      </c>
      <c r="B66" s="468">
        <v>2005</v>
      </c>
      <c r="C66" s="469">
        <v>2006</v>
      </c>
      <c r="D66" s="469">
        <v>2007</v>
      </c>
      <c r="E66" s="469">
        <v>2008</v>
      </c>
      <c r="F66" s="469">
        <v>2009</v>
      </c>
      <c r="G66" s="470">
        <v>2010</v>
      </c>
      <c r="H66" s="469">
        <v>2011</v>
      </c>
      <c r="I66" s="469">
        <v>2012</v>
      </c>
      <c r="J66" s="469">
        <v>2013</v>
      </c>
      <c r="K66" s="469">
        <v>2014</v>
      </c>
      <c r="L66" s="469">
        <v>2015</v>
      </c>
      <c r="M66" s="469">
        <v>2016</v>
      </c>
      <c r="N66" s="469">
        <v>2017</v>
      </c>
      <c r="O66" s="469">
        <v>2018</v>
      </c>
      <c r="P66" s="469">
        <v>2019</v>
      </c>
      <c r="Q66" s="470">
        <v>2020</v>
      </c>
      <c r="R66" s="1492"/>
    </row>
    <row r="67" spans="1:18">
      <c r="A67" s="480">
        <v>0</v>
      </c>
      <c r="B67" s="838">
        <f t="shared" ref="B67:E86" si="45">C67/C710</f>
        <v>835.78738488832232</v>
      </c>
      <c r="C67" s="838">
        <f t="shared" si="45"/>
        <v>832.0904236329111</v>
      </c>
      <c r="D67" s="838">
        <f t="shared" si="45"/>
        <v>809.25288676599484</v>
      </c>
      <c r="E67" s="838">
        <f t="shared" si="45"/>
        <v>775.32545225214471</v>
      </c>
      <c r="F67" s="14">
        <v>742.60699999999997</v>
      </c>
      <c r="G67" s="838">
        <f t="shared" ref="G67:G98" si="46">F67*G710</f>
        <v>719.95583968076915</v>
      </c>
      <c r="H67" s="838">
        <f t="shared" ref="H67:Q67" si="47">G67*H710</f>
        <v>709.65878195097343</v>
      </c>
      <c r="I67" s="838">
        <f t="shared" si="47"/>
        <v>708.55827281225936</v>
      </c>
      <c r="J67" s="838">
        <f t="shared" si="47"/>
        <v>713.58353676466686</v>
      </c>
      <c r="K67" s="838">
        <f t="shared" si="47"/>
        <v>719.71424045228798</v>
      </c>
      <c r="L67" s="838">
        <f t="shared" si="47"/>
        <v>723.28793679520891</v>
      </c>
      <c r="M67" s="838">
        <f t="shared" si="47"/>
        <v>723.56306407988745</v>
      </c>
      <c r="N67" s="838">
        <f t="shared" si="47"/>
        <v>721.85411933312082</v>
      </c>
      <c r="O67" s="838">
        <f t="shared" si="47"/>
        <v>718.92633113164959</v>
      </c>
      <c r="P67" s="838">
        <f t="shared" si="47"/>
        <v>716.12871067776803</v>
      </c>
      <c r="Q67" s="839">
        <f t="shared" si="47"/>
        <v>714.36750160810561</v>
      </c>
    </row>
    <row r="68" spans="1:18">
      <c r="A68" s="481">
        <v>1</v>
      </c>
      <c r="B68" s="841">
        <f t="shared" si="45"/>
        <v>853.59284662831658</v>
      </c>
      <c r="C68" s="841">
        <f t="shared" si="45"/>
        <v>850.00290549419321</v>
      </c>
      <c r="D68" s="841">
        <f t="shared" si="45"/>
        <v>838.35722295970288</v>
      </c>
      <c r="E68" s="841">
        <f t="shared" si="45"/>
        <v>822.08462533096144</v>
      </c>
      <c r="F68" s="4">
        <v>806.58299999999997</v>
      </c>
      <c r="G68" s="841">
        <f t="shared" si="46"/>
        <v>795.73207852984115</v>
      </c>
      <c r="H68" s="841">
        <f t="shared" ref="H68:Q68" si="48">G68*H711</f>
        <v>790.37852474820124</v>
      </c>
      <c r="I68" s="841">
        <f t="shared" si="48"/>
        <v>788.99445105793689</v>
      </c>
      <c r="J68" s="841">
        <f t="shared" si="48"/>
        <v>790.26606876086726</v>
      </c>
      <c r="K68" s="841">
        <f t="shared" si="48"/>
        <v>792.08050286419837</v>
      </c>
      <c r="L68" s="841">
        <f t="shared" si="48"/>
        <v>792.88715831180571</v>
      </c>
      <c r="M68" s="841">
        <f t="shared" si="48"/>
        <v>792.31082137671899</v>
      </c>
      <c r="N68" s="841">
        <f t="shared" si="48"/>
        <v>790.85430007922969</v>
      </c>
      <c r="O68" s="841">
        <f t="shared" si="48"/>
        <v>788.87550722517983</v>
      </c>
      <c r="P68" s="841">
        <f t="shared" si="48"/>
        <v>787.0026825130409</v>
      </c>
      <c r="Q68" s="842">
        <f t="shared" si="48"/>
        <v>785.63482843633426</v>
      </c>
      <c r="R68" s="17" t="s">
        <v>541</v>
      </c>
    </row>
    <row r="69" spans="1:18">
      <c r="A69" s="481">
        <v>2</v>
      </c>
      <c r="B69" s="841">
        <f t="shared" si="45"/>
        <v>731.19704209005988</v>
      </c>
      <c r="C69" s="841">
        <f t="shared" si="45"/>
        <v>727.1776279673486</v>
      </c>
      <c r="D69" s="841">
        <f t="shared" si="45"/>
        <v>724.33730679042901</v>
      </c>
      <c r="E69" s="841">
        <f t="shared" si="45"/>
        <v>722.32030937697652</v>
      </c>
      <c r="F69" s="4">
        <v>720.80100000000004</v>
      </c>
      <c r="G69" s="841">
        <f t="shared" si="46"/>
        <v>719.5149818901217</v>
      </c>
      <c r="H69" s="841">
        <f t="shared" ref="H69:Q69" si="49">G69*H712</f>
        <v>718.19785827796352</v>
      </c>
      <c r="I69" s="841">
        <f t="shared" si="49"/>
        <v>716.72520715440669</v>
      </c>
      <c r="J69" s="841">
        <f t="shared" si="49"/>
        <v>715.17382022820425</v>
      </c>
      <c r="K69" s="841">
        <f t="shared" si="49"/>
        <v>713.73421870081961</v>
      </c>
      <c r="L69" s="841">
        <f t="shared" si="49"/>
        <v>712.53179662831815</v>
      </c>
      <c r="M69" s="841">
        <f t="shared" si="49"/>
        <v>711.48587411416156</v>
      </c>
      <c r="N69" s="841">
        <f t="shared" si="49"/>
        <v>710.46619686755355</v>
      </c>
      <c r="O69" s="841">
        <f t="shared" si="49"/>
        <v>709.48734559268757</v>
      </c>
      <c r="P69" s="841">
        <f t="shared" si="49"/>
        <v>708.57848169795113</v>
      </c>
      <c r="Q69" s="842">
        <f t="shared" si="49"/>
        <v>707.72891266693546</v>
      </c>
      <c r="R69" s="77" t="s">
        <v>786</v>
      </c>
    </row>
    <row r="70" spans="1:18">
      <c r="A70" s="481">
        <v>3</v>
      </c>
      <c r="B70" s="841">
        <f t="shared" si="45"/>
        <v>745.68300095839959</v>
      </c>
      <c r="C70" s="841">
        <f t="shared" si="45"/>
        <v>739.64954414247586</v>
      </c>
      <c r="D70" s="841">
        <f t="shared" si="45"/>
        <v>740.6957906985233</v>
      </c>
      <c r="E70" s="841">
        <f t="shared" si="45"/>
        <v>746.15477783109736</v>
      </c>
      <c r="F70" s="4">
        <v>752.17399999999998</v>
      </c>
      <c r="G70" s="841">
        <f t="shared" si="46"/>
        <v>755.94008089757028</v>
      </c>
      <c r="H70" s="841">
        <f t="shared" ref="H70:Q70" si="50">G70*H713</f>
        <v>756.51963438342739</v>
      </c>
      <c r="I70" s="841">
        <f t="shared" si="50"/>
        <v>754.6447280186544</v>
      </c>
      <c r="J70" s="841">
        <f t="shared" si="50"/>
        <v>751.18367527153544</v>
      </c>
      <c r="K70" s="841">
        <f t="shared" si="50"/>
        <v>747.64738224730502</v>
      </c>
      <c r="L70" s="841">
        <f t="shared" si="50"/>
        <v>745.12581620357548</v>
      </c>
      <c r="M70" s="841">
        <f t="shared" si="50"/>
        <v>743.69320065695661</v>
      </c>
      <c r="N70" s="841">
        <f t="shared" si="50"/>
        <v>742.83200451218283</v>
      </c>
      <c r="O70" s="841">
        <f t="shared" si="50"/>
        <v>742.35006003447006</v>
      </c>
      <c r="P70" s="841">
        <f t="shared" si="50"/>
        <v>741.9270876658444</v>
      </c>
      <c r="Q70" s="842">
        <f t="shared" si="50"/>
        <v>741.31093080193307</v>
      </c>
    </row>
    <row r="71" spans="1:18">
      <c r="A71" s="481">
        <v>4</v>
      </c>
      <c r="B71" s="841">
        <f t="shared" si="45"/>
        <v>781.3862892743432</v>
      </c>
      <c r="C71" s="841">
        <f t="shared" si="45"/>
        <v>772.34086154431952</v>
      </c>
      <c r="D71" s="841">
        <f t="shared" si="45"/>
        <v>774.18974954023645</v>
      </c>
      <c r="E71" s="841">
        <f t="shared" si="45"/>
        <v>782.8831609793707</v>
      </c>
      <c r="F71" s="4">
        <v>792.40899999999999</v>
      </c>
      <c r="G71" s="841">
        <f t="shared" si="46"/>
        <v>798.38150740347669</v>
      </c>
      <c r="H71" s="841">
        <f t="shared" ref="H71:Q71" si="51">G71*H714</f>
        <v>799.50496365099571</v>
      </c>
      <c r="I71" s="841">
        <f t="shared" si="51"/>
        <v>797.05582903140453</v>
      </c>
      <c r="J71" s="841">
        <f t="shared" si="51"/>
        <v>792.30414408356501</v>
      </c>
      <c r="K71" s="841">
        <f t="shared" si="51"/>
        <v>787.46044271926201</v>
      </c>
      <c r="L71" s="841">
        <f t="shared" si="51"/>
        <v>784.11040318499374</v>
      </c>
      <c r="M71" s="841">
        <f t="shared" si="51"/>
        <v>782.40381964709593</v>
      </c>
      <c r="N71" s="841">
        <f t="shared" si="51"/>
        <v>781.59921098220627</v>
      </c>
      <c r="O71" s="841">
        <f t="shared" si="51"/>
        <v>781.37986952435722</v>
      </c>
      <c r="P71" s="841">
        <f t="shared" si="51"/>
        <v>781.22579552469756</v>
      </c>
      <c r="Q71" s="842">
        <f t="shared" si="51"/>
        <v>780.74217435909895</v>
      </c>
      <c r="R71" s="17" t="s">
        <v>542</v>
      </c>
    </row>
    <row r="72" spans="1:18">
      <c r="A72" s="481">
        <v>5</v>
      </c>
      <c r="B72" s="841">
        <f t="shared" si="45"/>
        <v>772.9883636751016</v>
      </c>
      <c r="C72" s="841">
        <f t="shared" si="45"/>
        <v>761.05100074335451</v>
      </c>
      <c r="D72" s="841">
        <f t="shared" si="45"/>
        <v>760.86201598951516</v>
      </c>
      <c r="E72" s="841">
        <f t="shared" si="45"/>
        <v>768.21467143999735</v>
      </c>
      <c r="F72" s="4">
        <v>776.74300000000005</v>
      </c>
      <c r="G72" s="841">
        <f t="shared" si="46"/>
        <v>781.80591199650507</v>
      </c>
      <c r="H72" s="841">
        <f t="shared" ref="H72:Q72" si="52">G72*H715</f>
        <v>782.13063165641699</v>
      </c>
      <c r="I72" s="841">
        <f t="shared" si="52"/>
        <v>779.13089023221426</v>
      </c>
      <c r="J72" s="841">
        <f t="shared" si="52"/>
        <v>774.02412541990122</v>
      </c>
      <c r="K72" s="841">
        <f t="shared" si="52"/>
        <v>768.95912519407204</v>
      </c>
      <c r="L72" s="841">
        <f t="shared" si="52"/>
        <v>765.47282633733244</v>
      </c>
      <c r="M72" s="841">
        <f t="shared" si="52"/>
        <v>763.69991964109295</v>
      </c>
      <c r="N72" s="841">
        <f t="shared" si="52"/>
        <v>762.89595135127877</v>
      </c>
      <c r="O72" s="841">
        <f t="shared" si="52"/>
        <v>762.71845185872246</v>
      </c>
      <c r="P72" s="841">
        <f t="shared" si="52"/>
        <v>762.62134919514745</v>
      </c>
      <c r="Q72" s="842">
        <f t="shared" si="52"/>
        <v>762.19639452767433</v>
      </c>
    </row>
    <row r="73" spans="1:18">
      <c r="A73" s="481">
        <v>6</v>
      </c>
      <c r="B73" s="841">
        <f t="shared" si="45"/>
        <v>640.19448526449753</v>
      </c>
      <c r="C73" s="841">
        <f t="shared" si="45"/>
        <v>627.89929809546948</v>
      </c>
      <c r="D73" s="841">
        <f t="shared" si="45"/>
        <v>624.49083965286809</v>
      </c>
      <c r="E73" s="841">
        <f t="shared" si="45"/>
        <v>626.9863932793196</v>
      </c>
      <c r="F73" s="4">
        <v>630.77599999999995</v>
      </c>
      <c r="G73" s="841">
        <f t="shared" si="46"/>
        <v>632.4890637840374</v>
      </c>
      <c r="H73" s="841">
        <f t="shared" ref="H73:Q73" si="53">G73*H716</f>
        <v>631.29597712108784</v>
      </c>
      <c r="I73" s="841">
        <f t="shared" si="53"/>
        <v>628.24847367030986</v>
      </c>
      <c r="J73" s="841">
        <f t="shared" si="53"/>
        <v>624.08949808853299</v>
      </c>
      <c r="K73" s="841">
        <f t="shared" si="53"/>
        <v>620.16358668562555</v>
      </c>
      <c r="L73" s="841">
        <f t="shared" si="53"/>
        <v>617.42571362410376</v>
      </c>
      <c r="M73" s="841">
        <f t="shared" si="53"/>
        <v>615.93056905424396</v>
      </c>
      <c r="N73" s="841">
        <f t="shared" si="53"/>
        <v>615.16490695037646</v>
      </c>
      <c r="O73" s="841">
        <f t="shared" si="53"/>
        <v>614.87631123430344</v>
      </c>
      <c r="P73" s="841">
        <f t="shared" si="53"/>
        <v>614.68110946716365</v>
      </c>
      <c r="Q73" s="842">
        <f t="shared" si="53"/>
        <v>614.29238870673862</v>
      </c>
    </row>
    <row r="74" spans="1:18">
      <c r="A74" s="481">
        <v>7</v>
      </c>
      <c r="B74" s="841">
        <f t="shared" si="45"/>
        <v>687.99601241744267</v>
      </c>
      <c r="C74" s="841">
        <f t="shared" si="45"/>
        <v>672.54576972440157</v>
      </c>
      <c r="D74" s="841">
        <f t="shared" si="45"/>
        <v>664.49292123963301</v>
      </c>
      <c r="E74" s="841">
        <f t="shared" si="45"/>
        <v>661.65232883657416</v>
      </c>
      <c r="F74" s="4">
        <v>660.51400000000001</v>
      </c>
      <c r="G74" s="841">
        <f t="shared" si="46"/>
        <v>658.49795513093738</v>
      </c>
      <c r="H74" s="841">
        <f t="shared" ref="H74:Q74" si="54">G74*H717</f>
        <v>655.08384023594465</v>
      </c>
      <c r="I74" s="841">
        <f t="shared" si="54"/>
        <v>651.11363514360562</v>
      </c>
      <c r="J74" s="841">
        <f t="shared" si="54"/>
        <v>646.9438302782379</v>
      </c>
      <c r="K74" s="841">
        <f t="shared" si="54"/>
        <v>643.29263617685308</v>
      </c>
      <c r="L74" s="841">
        <f t="shared" si="54"/>
        <v>640.65425839101101</v>
      </c>
      <c r="M74" s="841">
        <f t="shared" si="54"/>
        <v>638.99906201991291</v>
      </c>
      <c r="N74" s="841">
        <f t="shared" si="54"/>
        <v>637.97055663924118</v>
      </c>
      <c r="O74" s="841">
        <f t="shared" si="54"/>
        <v>637.36304117286136</v>
      </c>
      <c r="P74" s="841">
        <f t="shared" si="54"/>
        <v>636.8984705221003</v>
      </c>
      <c r="Q74" s="842">
        <f t="shared" si="54"/>
        <v>636.36852876663545</v>
      </c>
    </row>
    <row r="75" spans="1:18">
      <c r="A75" s="481">
        <v>8</v>
      </c>
      <c r="B75" s="841">
        <f t="shared" si="45"/>
        <v>771.94359361921761</v>
      </c>
      <c r="C75" s="841">
        <f t="shared" si="45"/>
        <v>752.70608231441008</v>
      </c>
      <c r="D75" s="841">
        <f t="shared" si="45"/>
        <v>738.54055136921659</v>
      </c>
      <c r="E75" s="841">
        <f t="shared" si="45"/>
        <v>728.42847810047476</v>
      </c>
      <c r="F75" s="4">
        <v>720.48099999999999</v>
      </c>
      <c r="G75" s="841">
        <f t="shared" si="46"/>
        <v>713.28944204927529</v>
      </c>
      <c r="H75" s="841">
        <f t="shared" ref="H75:Q75" si="55">G75*H718</f>
        <v>706.76658269256052</v>
      </c>
      <c r="I75" s="841">
        <f t="shared" si="55"/>
        <v>701.42449687000874</v>
      </c>
      <c r="J75" s="841">
        <f t="shared" si="55"/>
        <v>697.10656092776355</v>
      </c>
      <c r="K75" s="841">
        <f t="shared" si="55"/>
        <v>693.69179012721736</v>
      </c>
      <c r="L75" s="841">
        <f t="shared" si="55"/>
        <v>691.05732399738099</v>
      </c>
      <c r="M75" s="841">
        <f t="shared" si="55"/>
        <v>689.06998553916696</v>
      </c>
      <c r="N75" s="841">
        <f t="shared" si="55"/>
        <v>687.57971616205407</v>
      </c>
      <c r="O75" s="841">
        <f t="shared" si="55"/>
        <v>686.4486495360012</v>
      </c>
      <c r="P75" s="841">
        <f t="shared" si="55"/>
        <v>685.54360866192076</v>
      </c>
      <c r="Q75" s="842">
        <f t="shared" si="55"/>
        <v>684.75392532930334</v>
      </c>
    </row>
    <row r="76" spans="1:18">
      <c r="A76" s="481">
        <v>9</v>
      </c>
      <c r="B76" s="841">
        <f t="shared" si="45"/>
        <v>877.02014951577428</v>
      </c>
      <c r="C76" s="841">
        <f t="shared" si="45"/>
        <v>853.84467735523822</v>
      </c>
      <c r="D76" s="841">
        <f t="shared" si="45"/>
        <v>832.42422708155641</v>
      </c>
      <c r="E76" s="841">
        <f t="shared" si="45"/>
        <v>813.28020345297466</v>
      </c>
      <c r="F76" s="4">
        <v>796.73299999999995</v>
      </c>
      <c r="G76" s="841">
        <f t="shared" si="46"/>
        <v>782.96934288850127</v>
      </c>
      <c r="H76" s="841">
        <f t="shared" ref="H76:Q76" si="56">G76*H719</f>
        <v>772.45145590612094</v>
      </c>
      <c r="I76" s="841">
        <f t="shared" si="56"/>
        <v>765.23749966189996</v>
      </c>
      <c r="J76" s="841">
        <f t="shared" si="56"/>
        <v>760.5560808148723</v>
      </c>
      <c r="K76" s="841">
        <f t="shared" si="56"/>
        <v>757.25317043827499</v>
      </c>
      <c r="L76" s="841">
        <f t="shared" si="56"/>
        <v>754.45125758868073</v>
      </c>
      <c r="M76" s="841">
        <f t="shared" si="56"/>
        <v>751.89423151399649</v>
      </c>
      <c r="N76" s="841">
        <f t="shared" si="56"/>
        <v>749.70555596323925</v>
      </c>
      <c r="O76" s="841">
        <f t="shared" si="56"/>
        <v>747.82911105049209</v>
      </c>
      <c r="P76" s="841">
        <f t="shared" si="56"/>
        <v>746.29754834574305</v>
      </c>
      <c r="Q76" s="842">
        <f t="shared" si="56"/>
        <v>745.12107146461335</v>
      </c>
    </row>
    <row r="77" spans="1:18">
      <c r="A77" s="481">
        <v>10</v>
      </c>
      <c r="B77" s="841">
        <f t="shared" si="45"/>
        <v>728.98120616208416</v>
      </c>
      <c r="C77" s="841">
        <f t="shared" si="45"/>
        <v>708.73280899227643</v>
      </c>
      <c r="D77" s="841">
        <f t="shared" si="45"/>
        <v>686.21720738355953</v>
      </c>
      <c r="E77" s="841">
        <f t="shared" si="45"/>
        <v>663.455998715497</v>
      </c>
      <c r="F77" s="4">
        <v>643.03899999999999</v>
      </c>
      <c r="G77" s="841">
        <f t="shared" si="46"/>
        <v>626.80542713691989</v>
      </c>
      <c r="H77" s="841">
        <f t="shared" ref="H77:Q77" si="57">G77*H720</f>
        <v>615.66475577175436</v>
      </c>
      <c r="I77" s="841">
        <f t="shared" si="57"/>
        <v>609.15414223821165</v>
      </c>
      <c r="J77" s="841">
        <f t="shared" si="57"/>
        <v>606.01150669668471</v>
      </c>
      <c r="K77" s="841">
        <f t="shared" si="57"/>
        <v>604.2501068948435</v>
      </c>
      <c r="L77" s="841">
        <f t="shared" si="57"/>
        <v>602.39143697048928</v>
      </c>
      <c r="M77" s="841">
        <f t="shared" si="57"/>
        <v>600.10234675401455</v>
      </c>
      <c r="N77" s="841">
        <f t="shared" si="57"/>
        <v>597.77840141030606</v>
      </c>
      <c r="O77" s="841">
        <f t="shared" si="57"/>
        <v>595.5160604775225</v>
      </c>
      <c r="P77" s="841">
        <f t="shared" si="57"/>
        <v>593.60470257014038</v>
      </c>
      <c r="Q77" s="842">
        <f t="shared" si="57"/>
        <v>592.23076208964301</v>
      </c>
    </row>
    <row r="78" spans="1:18">
      <c r="A78" s="481">
        <v>11</v>
      </c>
      <c r="B78" s="841">
        <f t="shared" si="45"/>
        <v>880.2983396575936</v>
      </c>
      <c r="C78" s="841">
        <f t="shared" si="45"/>
        <v>854.19016453036147</v>
      </c>
      <c r="D78" s="841">
        <f t="shared" si="45"/>
        <v>820.29265539255232</v>
      </c>
      <c r="E78" s="841">
        <f t="shared" si="45"/>
        <v>783.31431812523033</v>
      </c>
      <c r="F78" s="4">
        <v>749.68</v>
      </c>
      <c r="G78" s="841">
        <f t="shared" si="46"/>
        <v>723.97781100919258</v>
      </c>
      <c r="H78" s="841">
        <f t="shared" ref="H78:Q78" si="58">G78*H721</f>
        <v>708.08648699791854</v>
      </c>
      <c r="I78" s="841">
        <f t="shared" si="58"/>
        <v>700.67607338133803</v>
      </c>
      <c r="J78" s="841">
        <f t="shared" si="58"/>
        <v>699.17439132729794</v>
      </c>
      <c r="K78" s="841">
        <f t="shared" si="58"/>
        <v>699.50478004521608</v>
      </c>
      <c r="L78" s="841">
        <f t="shared" si="58"/>
        <v>698.66947523579051</v>
      </c>
      <c r="M78" s="841">
        <f t="shared" si="58"/>
        <v>696.01796577927848</v>
      </c>
      <c r="N78" s="841">
        <f t="shared" si="58"/>
        <v>692.48821964604076</v>
      </c>
      <c r="O78" s="841">
        <f t="shared" si="58"/>
        <v>688.52542163395003</v>
      </c>
      <c r="P78" s="841">
        <f t="shared" si="58"/>
        <v>685.01527483143627</v>
      </c>
      <c r="Q78" s="842">
        <f t="shared" si="58"/>
        <v>682.57375820410948</v>
      </c>
    </row>
    <row r="79" spans="1:18">
      <c r="A79" s="481">
        <v>12</v>
      </c>
      <c r="B79" s="841">
        <f t="shared" si="45"/>
        <v>979.54854692641254</v>
      </c>
      <c r="C79" s="841">
        <f t="shared" si="45"/>
        <v>952.50483425923096</v>
      </c>
      <c r="D79" s="841">
        <f t="shared" si="45"/>
        <v>913.77738315624288</v>
      </c>
      <c r="E79" s="841">
        <f t="shared" si="45"/>
        <v>869.55170220111052</v>
      </c>
      <c r="F79" s="4">
        <v>828.44799999999998</v>
      </c>
      <c r="G79" s="841">
        <f t="shared" si="46"/>
        <v>796.66488575755545</v>
      </c>
      <c r="H79" s="841">
        <f t="shared" ref="H79:Q79" si="59">G79*H722</f>
        <v>776.5393087089534</v>
      </c>
      <c r="I79" s="841">
        <f t="shared" si="59"/>
        <v>766.31578564260371</v>
      </c>
      <c r="J79" s="841">
        <f t="shared" si="59"/>
        <v>763.07388581959276</v>
      </c>
      <c r="K79" s="841">
        <f t="shared" si="59"/>
        <v>762.07823862495968</v>
      </c>
      <c r="L79" s="841">
        <f t="shared" si="59"/>
        <v>759.85516401831921</v>
      </c>
      <c r="M79" s="841">
        <f t="shared" si="59"/>
        <v>755.73249936928653</v>
      </c>
      <c r="N79" s="841">
        <f t="shared" si="59"/>
        <v>750.86713028458121</v>
      </c>
      <c r="O79" s="841">
        <f t="shared" si="59"/>
        <v>745.7306791195557</v>
      </c>
      <c r="P79" s="841">
        <f t="shared" si="59"/>
        <v>741.26739832499061</v>
      </c>
      <c r="Q79" s="842">
        <f t="shared" si="59"/>
        <v>738.12627250953358</v>
      </c>
    </row>
    <row r="80" spans="1:18">
      <c r="A80" s="481">
        <v>13</v>
      </c>
      <c r="B80" s="841">
        <f t="shared" si="45"/>
        <v>965.84453526939876</v>
      </c>
      <c r="C80" s="841">
        <f t="shared" si="45"/>
        <v>946.59792535028271</v>
      </c>
      <c r="D80" s="841">
        <f t="shared" si="45"/>
        <v>916.4808380611255</v>
      </c>
      <c r="E80" s="841">
        <f t="shared" si="45"/>
        <v>880.32075043251291</v>
      </c>
      <c r="F80" s="4">
        <v>844.94200000000001</v>
      </c>
      <c r="G80" s="841">
        <f t="shared" si="46"/>
        <v>815.34811192190205</v>
      </c>
      <c r="H80" s="841">
        <f t="shared" ref="H80:Q80" si="60">G80*H723</f>
        <v>793.22637892802391</v>
      </c>
      <c r="I80" s="841">
        <f t="shared" si="60"/>
        <v>777.40380618979077</v>
      </c>
      <c r="J80" s="841">
        <f t="shared" si="60"/>
        <v>766.53827399187662</v>
      </c>
      <c r="K80" s="841">
        <f t="shared" si="60"/>
        <v>758.17203178705631</v>
      </c>
      <c r="L80" s="841">
        <f t="shared" si="60"/>
        <v>750.47932202596257</v>
      </c>
      <c r="M80" s="841">
        <f t="shared" si="60"/>
        <v>743.33157023328783</v>
      </c>
      <c r="N80" s="841">
        <f t="shared" si="60"/>
        <v>737.41022112816211</v>
      </c>
      <c r="O80" s="841">
        <f t="shared" si="60"/>
        <v>732.58175506315058</v>
      </c>
      <c r="P80" s="841">
        <f t="shared" si="60"/>
        <v>728.78979707600308</v>
      </c>
      <c r="Q80" s="842">
        <f t="shared" si="60"/>
        <v>725.9463231028551</v>
      </c>
    </row>
    <row r="81" spans="1:17">
      <c r="A81" s="481">
        <v>14</v>
      </c>
      <c r="B81" s="841">
        <f t="shared" si="45"/>
        <v>997.05106706473771</v>
      </c>
      <c r="C81" s="841">
        <f t="shared" si="45"/>
        <v>988.41979907567202</v>
      </c>
      <c r="D81" s="841">
        <f t="shared" si="45"/>
        <v>971.60402894600406</v>
      </c>
      <c r="E81" s="841">
        <f t="shared" si="45"/>
        <v>948.85516698153253</v>
      </c>
      <c r="F81" s="4">
        <v>923.495</v>
      </c>
      <c r="G81" s="841">
        <f t="shared" si="46"/>
        <v>898.14724318092476</v>
      </c>
      <c r="H81" s="841">
        <f t="shared" ref="H81:Q81" si="61">G81*H724</f>
        <v>873.36414875365767</v>
      </c>
      <c r="I81" s="841">
        <f t="shared" si="61"/>
        <v>849.03299107587793</v>
      </c>
      <c r="J81" s="841">
        <f t="shared" si="61"/>
        <v>826.32342795918805</v>
      </c>
      <c r="K81" s="841">
        <f t="shared" si="61"/>
        <v>806.45475786501947</v>
      </c>
      <c r="L81" s="841">
        <f t="shared" si="61"/>
        <v>790.26259839883176</v>
      </c>
      <c r="M81" s="841">
        <f t="shared" si="61"/>
        <v>778.44605537905397</v>
      </c>
      <c r="N81" s="841">
        <f t="shared" si="61"/>
        <v>770.88412972172728</v>
      </c>
      <c r="O81" s="841">
        <f t="shared" si="61"/>
        <v>766.51988925756996</v>
      </c>
      <c r="P81" s="841">
        <f t="shared" si="61"/>
        <v>763.7296710650827</v>
      </c>
      <c r="Q81" s="842">
        <f t="shared" si="61"/>
        <v>761.29210832242404</v>
      </c>
    </row>
    <row r="82" spans="1:17">
      <c r="A82" s="481">
        <v>15</v>
      </c>
      <c r="B82" s="841">
        <f t="shared" si="45"/>
        <v>887.46202544325365</v>
      </c>
      <c r="C82" s="841">
        <f t="shared" si="45"/>
        <v>889.47517780226383</v>
      </c>
      <c r="D82" s="841">
        <f t="shared" si="45"/>
        <v>886.48758890113186</v>
      </c>
      <c r="E82" s="841">
        <f t="shared" si="45"/>
        <v>878.30269458078737</v>
      </c>
      <c r="F82" s="4">
        <v>864.9</v>
      </c>
      <c r="G82" s="841">
        <f t="shared" si="46"/>
        <v>846.58506460983676</v>
      </c>
      <c r="H82" s="841">
        <f t="shared" ref="H82:Q82" si="62">G82*H725</f>
        <v>822.86601222077536</v>
      </c>
      <c r="I82" s="841">
        <f t="shared" si="62"/>
        <v>794.53468897125117</v>
      </c>
      <c r="J82" s="841">
        <f t="shared" si="62"/>
        <v>764.77524792146664</v>
      </c>
      <c r="K82" s="841">
        <f t="shared" si="62"/>
        <v>737.80776319743575</v>
      </c>
      <c r="L82" s="841">
        <f t="shared" si="62"/>
        <v>716.65149754582797</v>
      </c>
      <c r="M82" s="841">
        <f t="shared" si="62"/>
        <v>702.63582089552244</v>
      </c>
      <c r="N82" s="841">
        <f t="shared" si="62"/>
        <v>694.96329760593005</v>
      </c>
      <c r="O82" s="841">
        <f t="shared" si="62"/>
        <v>691.86578182910955</v>
      </c>
      <c r="P82" s="841">
        <f t="shared" si="62"/>
        <v>690.52523289592318</v>
      </c>
      <c r="Q82" s="842">
        <f t="shared" si="62"/>
        <v>688.85769808674752</v>
      </c>
    </row>
    <row r="83" spans="1:17">
      <c r="A83" s="481">
        <v>16</v>
      </c>
      <c r="B83" s="841">
        <f t="shared" si="45"/>
        <v>949.51495339645817</v>
      </c>
      <c r="C83" s="841">
        <f t="shared" si="45"/>
        <v>962.87941496442102</v>
      </c>
      <c r="D83" s="841">
        <f t="shared" si="45"/>
        <v>973.39427241113037</v>
      </c>
      <c r="E83" s="841">
        <f t="shared" si="45"/>
        <v>978.31190957289675</v>
      </c>
      <c r="F83" s="4">
        <v>974.19200000000001</v>
      </c>
      <c r="G83" s="841">
        <f t="shared" si="46"/>
        <v>959.04527362905606</v>
      </c>
      <c r="H83" s="841">
        <f t="shared" ref="H83:Q83" si="63">G83*H726</f>
        <v>931.1783264517934</v>
      </c>
      <c r="I83" s="841">
        <f t="shared" si="63"/>
        <v>892.48146991930582</v>
      </c>
      <c r="J83" s="841">
        <f t="shared" si="63"/>
        <v>849.00632610766456</v>
      </c>
      <c r="K83" s="841">
        <f t="shared" si="63"/>
        <v>809.12095644593694</v>
      </c>
      <c r="L83" s="841">
        <f t="shared" si="63"/>
        <v>778.82043523174264</v>
      </c>
      <c r="M83" s="841">
        <f t="shared" si="63"/>
        <v>760.43735832620712</v>
      </c>
      <c r="N83" s="841">
        <f t="shared" si="63"/>
        <v>752.23288154194586</v>
      </c>
      <c r="O83" s="841">
        <f t="shared" si="63"/>
        <v>751.11707269928627</v>
      </c>
      <c r="P83" s="841">
        <f t="shared" si="63"/>
        <v>752.14906965602665</v>
      </c>
      <c r="Q83" s="842">
        <f t="shared" si="63"/>
        <v>751.69769721017258</v>
      </c>
    </row>
    <row r="84" spans="1:17">
      <c r="A84" s="481">
        <v>17</v>
      </c>
      <c r="B84" s="841">
        <f t="shared" si="45"/>
        <v>775.15178375232153</v>
      </c>
      <c r="C84" s="841">
        <f t="shared" si="45"/>
        <v>792.47685185838316</v>
      </c>
      <c r="D84" s="841">
        <f t="shared" si="45"/>
        <v>809.27490248864945</v>
      </c>
      <c r="E84" s="841">
        <f t="shared" si="45"/>
        <v>821.96204843152088</v>
      </c>
      <c r="F84" s="4">
        <v>825.89700000000005</v>
      </c>
      <c r="G84" s="841">
        <f t="shared" si="46"/>
        <v>818.16516533912886</v>
      </c>
      <c r="H84" s="841">
        <f t="shared" ref="H84:Q84" si="64">G84*H727</f>
        <v>796.86305161700056</v>
      </c>
      <c r="I84" s="841">
        <f t="shared" si="64"/>
        <v>763.99096797497293</v>
      </c>
      <c r="J84" s="841">
        <f t="shared" si="64"/>
        <v>725.36631178963819</v>
      </c>
      <c r="K84" s="841">
        <f t="shared" si="64"/>
        <v>689.1713240310537</v>
      </c>
      <c r="L84" s="841">
        <f t="shared" si="64"/>
        <v>661.30085512337246</v>
      </c>
      <c r="M84" s="841">
        <f t="shared" si="64"/>
        <v>643.90170149355674</v>
      </c>
      <c r="N84" s="841">
        <f t="shared" si="64"/>
        <v>635.29852004762427</v>
      </c>
      <c r="O84" s="841">
        <f t="shared" si="64"/>
        <v>632.89579181133001</v>
      </c>
      <c r="P84" s="841">
        <f t="shared" si="64"/>
        <v>632.44706926404729</v>
      </c>
      <c r="Q84" s="842">
        <f t="shared" si="64"/>
        <v>630.83739288430138</v>
      </c>
    </row>
    <row r="85" spans="1:17">
      <c r="A85" s="481">
        <v>18</v>
      </c>
      <c r="B85" s="841">
        <f t="shared" si="45"/>
        <v>668.83182153385144</v>
      </c>
      <c r="C85" s="841">
        <f t="shared" si="45"/>
        <v>685.09056106921173</v>
      </c>
      <c r="D85" s="841">
        <f t="shared" si="45"/>
        <v>701.89001041316374</v>
      </c>
      <c r="E85" s="841">
        <f t="shared" si="45"/>
        <v>716.14467869119437</v>
      </c>
      <c r="F85" s="4">
        <v>723.79399999999998</v>
      </c>
      <c r="G85" s="841">
        <f t="shared" si="46"/>
        <v>722.18759759081763</v>
      </c>
      <c r="H85" s="841">
        <f t="shared" ref="H85:Q85" si="65">G85*H728</f>
        <v>709.90779325358596</v>
      </c>
      <c r="I85" s="841">
        <f t="shared" si="65"/>
        <v>688.45090028133336</v>
      </c>
      <c r="J85" s="841">
        <f t="shared" si="65"/>
        <v>661.6992450559718</v>
      </c>
      <c r="K85" s="841">
        <f t="shared" si="65"/>
        <v>635.19697537944842</v>
      </c>
      <c r="L85" s="841">
        <f t="shared" si="65"/>
        <v>613.01813745500385</v>
      </c>
      <c r="M85" s="841">
        <f t="shared" si="65"/>
        <v>596.48305177093118</v>
      </c>
      <c r="N85" s="841">
        <f t="shared" si="65"/>
        <v>584.62637907061696</v>
      </c>
      <c r="O85" s="841">
        <f t="shared" si="65"/>
        <v>576.46630417530218</v>
      </c>
      <c r="P85" s="841">
        <f t="shared" si="65"/>
        <v>570.16051942690365</v>
      </c>
      <c r="Q85" s="842">
        <f t="shared" si="65"/>
        <v>564.34227219290028</v>
      </c>
    </row>
    <row r="86" spans="1:17">
      <c r="A86" s="481">
        <v>19</v>
      </c>
      <c r="B86" s="841">
        <f t="shared" si="45"/>
        <v>674.85931640994534</v>
      </c>
      <c r="C86" s="841">
        <f t="shared" si="45"/>
        <v>689.53385457669162</v>
      </c>
      <c r="D86" s="841">
        <f t="shared" si="45"/>
        <v>705.35210775103485</v>
      </c>
      <c r="E86" s="841">
        <f t="shared" si="45"/>
        <v>720.03684365104516</v>
      </c>
      <c r="F86" s="4">
        <v>730.54600000000005</v>
      </c>
      <c r="G86" s="841">
        <f t="shared" si="46"/>
        <v>734.76707713023268</v>
      </c>
      <c r="H86" s="841">
        <f t="shared" ref="H86:Q86" si="66">G86*H729</f>
        <v>731.97446709796577</v>
      </c>
      <c r="I86" s="841">
        <f t="shared" si="66"/>
        <v>723.00673735389967</v>
      </c>
      <c r="J86" s="841">
        <f t="shared" si="66"/>
        <v>709.2962772011017</v>
      </c>
      <c r="K86" s="841">
        <f t="shared" si="66"/>
        <v>693.03246152722818</v>
      </c>
      <c r="L86" s="841">
        <f t="shared" si="66"/>
        <v>675.97714486387235</v>
      </c>
      <c r="M86" s="841">
        <f t="shared" si="66"/>
        <v>658.412725978342</v>
      </c>
      <c r="N86" s="841">
        <f t="shared" si="66"/>
        <v>640.3352826655356</v>
      </c>
      <c r="O86" s="841">
        <f t="shared" si="66"/>
        <v>622.90108098937503</v>
      </c>
      <c r="P86" s="841">
        <f t="shared" si="66"/>
        <v>607.43739515620712</v>
      </c>
      <c r="Q86" s="842">
        <f t="shared" si="66"/>
        <v>594.87378777508729</v>
      </c>
    </row>
    <row r="87" spans="1:17">
      <c r="A87" s="481">
        <v>20</v>
      </c>
      <c r="B87" s="841">
        <f t="shared" ref="B87:E106" si="67">C87/C730</f>
        <v>586.27446243668908</v>
      </c>
      <c r="C87" s="841">
        <f t="shared" si="67"/>
        <v>597.92493711173813</v>
      </c>
      <c r="D87" s="841">
        <f t="shared" si="67"/>
        <v>611.33824716875836</v>
      </c>
      <c r="E87" s="841">
        <f t="shared" si="67"/>
        <v>625.1292569532086</v>
      </c>
      <c r="F87" s="4">
        <v>637.36900000000003</v>
      </c>
      <c r="G87" s="841">
        <f t="shared" si="46"/>
        <v>646.57933564652114</v>
      </c>
      <c r="H87" s="841">
        <f>G87*H730</f>
        <v>652.68713781772453</v>
      </c>
      <c r="I87" s="841">
        <f t="shared" ref="I87:Q87" si="68">H87*I730</f>
        <v>655.88835599626179</v>
      </c>
      <c r="J87" s="841">
        <f t="shared" si="68"/>
        <v>655.34452518571413</v>
      </c>
      <c r="K87" s="841">
        <f t="shared" si="68"/>
        <v>650.11565583886852</v>
      </c>
      <c r="L87" s="841">
        <f t="shared" si="68"/>
        <v>639.78216047656872</v>
      </c>
      <c r="M87" s="841">
        <f t="shared" si="68"/>
        <v>623.69087415664262</v>
      </c>
      <c r="N87" s="841">
        <f t="shared" si="68"/>
        <v>602.65399328544333</v>
      </c>
      <c r="O87" s="841">
        <f t="shared" si="68"/>
        <v>579.54473364663477</v>
      </c>
      <c r="P87" s="841">
        <f t="shared" si="68"/>
        <v>558.27143546484501</v>
      </c>
      <c r="Q87" s="842">
        <f t="shared" si="68"/>
        <v>541.64341795330779</v>
      </c>
    </row>
    <row r="88" spans="1:17">
      <c r="A88" s="481">
        <v>21</v>
      </c>
      <c r="B88" s="841">
        <f t="shared" si="67"/>
        <v>647.14318637011445</v>
      </c>
      <c r="C88" s="841">
        <f t="shared" si="67"/>
        <v>658.79191641426132</v>
      </c>
      <c r="D88" s="841">
        <f t="shared" si="67"/>
        <v>673.58391547454892</v>
      </c>
      <c r="E88" s="841">
        <f t="shared" si="67"/>
        <v>690.61043484351649</v>
      </c>
      <c r="F88" s="4">
        <v>708.471</v>
      </c>
      <c r="G88" s="841">
        <f t="shared" si="46"/>
        <v>725.84640663244613</v>
      </c>
      <c r="H88" s="841">
        <f t="shared" ref="H88:Q88" si="69">G88*H731</f>
        <v>743.34166630128732</v>
      </c>
      <c r="I88" s="841">
        <f t="shared" si="69"/>
        <v>760.54057702397358</v>
      </c>
      <c r="J88" s="841">
        <f t="shared" si="69"/>
        <v>773.9238924510156</v>
      </c>
      <c r="K88" s="841">
        <f t="shared" si="69"/>
        <v>778.92816717611208</v>
      </c>
      <c r="L88" s="841">
        <f t="shared" si="69"/>
        <v>772.68267470423973</v>
      </c>
      <c r="M88" s="841">
        <f t="shared" si="69"/>
        <v>753.30670745744658</v>
      </c>
      <c r="N88" s="841">
        <f t="shared" si="69"/>
        <v>722.73515315342468</v>
      </c>
      <c r="O88" s="841">
        <f t="shared" si="69"/>
        <v>686.63229912865154</v>
      </c>
      <c r="P88" s="841">
        <f t="shared" si="69"/>
        <v>652.96426774735539</v>
      </c>
      <c r="Q88" s="842">
        <f t="shared" si="69"/>
        <v>627.46758653233394</v>
      </c>
    </row>
    <row r="89" spans="1:17">
      <c r="A89" s="481">
        <v>22</v>
      </c>
      <c r="B89" s="841">
        <f t="shared" si="67"/>
        <v>651.54916790792572</v>
      </c>
      <c r="C89" s="841">
        <f t="shared" si="67"/>
        <v>661.22258119937192</v>
      </c>
      <c r="D89" s="841">
        <f t="shared" si="67"/>
        <v>674.42703961266454</v>
      </c>
      <c r="E89" s="841">
        <f t="shared" si="67"/>
        <v>691.08174513381789</v>
      </c>
      <c r="F89" s="4">
        <v>710.83600000000001</v>
      </c>
      <c r="G89" s="841">
        <f t="shared" si="46"/>
        <v>732.97121761874189</v>
      </c>
      <c r="H89" s="841">
        <f t="shared" ref="H89:Q89" si="70">G89*H732</f>
        <v>758.65896919283705</v>
      </c>
      <c r="I89" s="841">
        <f t="shared" si="70"/>
        <v>786.8952964208454</v>
      </c>
      <c r="J89" s="841">
        <f t="shared" si="70"/>
        <v>812.20484452521987</v>
      </c>
      <c r="K89" s="841">
        <f t="shared" si="70"/>
        <v>827.32266867396299</v>
      </c>
      <c r="L89" s="841">
        <f t="shared" si="70"/>
        <v>827.47395006185116</v>
      </c>
      <c r="M89" s="841">
        <f t="shared" si="70"/>
        <v>810.02501725428442</v>
      </c>
      <c r="N89" s="841">
        <f t="shared" si="70"/>
        <v>777.57945731895313</v>
      </c>
      <c r="O89" s="841">
        <f t="shared" si="70"/>
        <v>737.07128705184971</v>
      </c>
      <c r="P89" s="841">
        <f t="shared" si="70"/>
        <v>698.41631378637749</v>
      </c>
      <c r="Q89" s="842">
        <f t="shared" si="70"/>
        <v>668.7883697004653</v>
      </c>
    </row>
    <row r="90" spans="1:17">
      <c r="A90" s="481">
        <v>23</v>
      </c>
      <c r="B90" s="841">
        <f t="shared" si="67"/>
        <v>729.42855557546943</v>
      </c>
      <c r="C90" s="841">
        <f t="shared" si="67"/>
        <v>737.12458614936099</v>
      </c>
      <c r="D90" s="841">
        <f t="shared" si="67"/>
        <v>747.56567885802292</v>
      </c>
      <c r="E90" s="841">
        <f t="shared" si="67"/>
        <v>761.78776199719812</v>
      </c>
      <c r="F90" s="4">
        <v>780.94799999999998</v>
      </c>
      <c r="G90" s="841">
        <f t="shared" si="46"/>
        <v>805.3302628466131</v>
      </c>
      <c r="H90" s="841">
        <f t="shared" ref="H90:Q90" si="71">G90*H733</f>
        <v>836.49484976839869</v>
      </c>
      <c r="I90" s="841">
        <f t="shared" si="71"/>
        <v>872.89427510948997</v>
      </c>
      <c r="J90" s="841">
        <f t="shared" si="71"/>
        <v>907.9275761709431</v>
      </c>
      <c r="K90" s="841">
        <f t="shared" si="71"/>
        <v>932.71395947545773</v>
      </c>
      <c r="L90" s="841">
        <f t="shared" si="71"/>
        <v>941.23400151960698</v>
      </c>
      <c r="M90" s="841">
        <f t="shared" si="71"/>
        <v>930.6785722911485</v>
      </c>
      <c r="N90" s="841">
        <f t="shared" si="71"/>
        <v>903.80357618103994</v>
      </c>
      <c r="O90" s="841">
        <f t="shared" si="71"/>
        <v>867.04734204541126</v>
      </c>
      <c r="P90" s="841">
        <f t="shared" si="71"/>
        <v>829.81601995683479</v>
      </c>
      <c r="Q90" s="842">
        <f t="shared" si="71"/>
        <v>799.02696936300163</v>
      </c>
    </row>
    <row r="91" spans="1:17">
      <c r="A91" s="481">
        <v>24</v>
      </c>
      <c r="B91" s="841">
        <f t="shared" si="67"/>
        <v>695.49581353613519</v>
      </c>
      <c r="C91" s="841">
        <f t="shared" si="67"/>
        <v>699.47977910922145</v>
      </c>
      <c r="D91" s="841">
        <f t="shared" si="67"/>
        <v>703.94757315735626</v>
      </c>
      <c r="E91" s="841">
        <f t="shared" si="67"/>
        <v>711.00689728542591</v>
      </c>
      <c r="F91" s="4">
        <v>723.35500000000002</v>
      </c>
      <c r="G91" s="841">
        <f t="shared" si="46"/>
        <v>742.47955862002664</v>
      </c>
      <c r="H91" s="841">
        <f t="shared" ref="H91:Q91" si="72">G91*H734</f>
        <v>769.84158275323125</v>
      </c>
      <c r="I91" s="841">
        <f t="shared" si="72"/>
        <v>803.73719613610626</v>
      </c>
      <c r="J91" s="841">
        <f t="shared" si="72"/>
        <v>838.62332450726967</v>
      </c>
      <c r="K91" s="841">
        <f t="shared" si="72"/>
        <v>866.89300324031922</v>
      </c>
      <c r="L91" s="841">
        <f t="shared" si="72"/>
        <v>883.18792721591876</v>
      </c>
      <c r="M91" s="841">
        <f t="shared" si="72"/>
        <v>885.60040266335534</v>
      </c>
      <c r="N91" s="841">
        <f t="shared" si="72"/>
        <v>876.01812256992446</v>
      </c>
      <c r="O91" s="841">
        <f t="shared" si="72"/>
        <v>857.60121071556898</v>
      </c>
      <c r="P91" s="841">
        <f t="shared" si="72"/>
        <v>835.26795498444301</v>
      </c>
      <c r="Q91" s="842">
        <f t="shared" si="72"/>
        <v>812.82136148061875</v>
      </c>
    </row>
    <row r="92" spans="1:17">
      <c r="A92" s="481">
        <v>25</v>
      </c>
      <c r="B92" s="841">
        <f t="shared" si="67"/>
        <v>717.41959915042685</v>
      </c>
      <c r="C92" s="841">
        <f t="shared" si="67"/>
        <v>717.68393872453692</v>
      </c>
      <c r="D92" s="841">
        <f t="shared" si="67"/>
        <v>716.28842527480106</v>
      </c>
      <c r="E92" s="841">
        <f t="shared" si="67"/>
        <v>716.63855052201859</v>
      </c>
      <c r="F92" s="4">
        <v>723.26300000000003</v>
      </c>
      <c r="G92" s="841">
        <f t="shared" si="46"/>
        <v>739.01165357000014</v>
      </c>
      <c r="H92" s="841">
        <f t="shared" ref="H92:Q92" si="73">G92*H735</f>
        <v>765.42965085577953</v>
      </c>
      <c r="I92" s="841">
        <f t="shared" si="73"/>
        <v>800.48008087495009</v>
      </c>
      <c r="J92" s="841">
        <f t="shared" si="73"/>
        <v>838.97590292799327</v>
      </c>
      <c r="K92" s="841">
        <f t="shared" si="73"/>
        <v>873.64428744948771</v>
      </c>
      <c r="L92" s="841">
        <f t="shared" si="73"/>
        <v>899.13160993283407</v>
      </c>
      <c r="M92" s="841">
        <f t="shared" si="73"/>
        <v>914.15707032838213</v>
      </c>
      <c r="N92" s="841">
        <f t="shared" si="73"/>
        <v>920.00944874839661</v>
      </c>
      <c r="O92" s="841">
        <f t="shared" si="73"/>
        <v>917.12764863668326</v>
      </c>
      <c r="P92" s="841">
        <f t="shared" si="73"/>
        <v>906.77251988635578</v>
      </c>
      <c r="Q92" s="842">
        <f t="shared" si="73"/>
        <v>890.25079775056201</v>
      </c>
    </row>
    <row r="93" spans="1:17">
      <c r="A93" s="481">
        <v>26</v>
      </c>
      <c r="B93" s="841">
        <f t="shared" si="67"/>
        <v>835.88278136160613</v>
      </c>
      <c r="C93" s="841">
        <f t="shared" si="67"/>
        <v>830.90860126030509</v>
      </c>
      <c r="D93" s="841">
        <f t="shared" si="67"/>
        <v>821.10293327967042</v>
      </c>
      <c r="E93" s="841">
        <f t="shared" si="67"/>
        <v>812.12157821767221</v>
      </c>
      <c r="F93" s="4">
        <v>811.63099999999997</v>
      </c>
      <c r="G93" s="841">
        <f t="shared" si="46"/>
        <v>824.7327403806197</v>
      </c>
      <c r="H93" s="841">
        <f t="shared" ref="H93:Q93" si="74">G93*H736</f>
        <v>853.34901689512174</v>
      </c>
      <c r="I93" s="841">
        <f t="shared" si="74"/>
        <v>894.68023173400206</v>
      </c>
      <c r="J93" s="841">
        <f t="shared" si="74"/>
        <v>943.20737994844876</v>
      </c>
      <c r="K93" s="841">
        <f t="shared" si="74"/>
        <v>990.95031057935671</v>
      </c>
      <c r="L93" s="841">
        <f t="shared" si="74"/>
        <v>1031.7355212961643</v>
      </c>
      <c r="M93" s="841">
        <f t="shared" si="74"/>
        <v>1064.9085147171213</v>
      </c>
      <c r="N93" s="841">
        <f t="shared" si="74"/>
        <v>1091.1992617959274</v>
      </c>
      <c r="O93" s="841">
        <f t="shared" si="74"/>
        <v>1107.6124051458341</v>
      </c>
      <c r="P93" s="841">
        <f t="shared" si="74"/>
        <v>1110.8919677019551</v>
      </c>
      <c r="Q93" s="842">
        <f t="shared" si="74"/>
        <v>1099.3421526445482</v>
      </c>
    </row>
    <row r="94" spans="1:17">
      <c r="A94" s="481">
        <v>27</v>
      </c>
      <c r="B94" s="841">
        <f t="shared" si="67"/>
        <v>759.67509846644214</v>
      </c>
      <c r="C94" s="841">
        <f t="shared" si="67"/>
        <v>752.73469971877489</v>
      </c>
      <c r="D94" s="841">
        <f t="shared" si="67"/>
        <v>739.99703951913068</v>
      </c>
      <c r="E94" s="841">
        <f t="shared" si="67"/>
        <v>727.17997967858696</v>
      </c>
      <c r="F94" s="4">
        <v>722.08100000000002</v>
      </c>
      <c r="G94" s="841">
        <f t="shared" si="46"/>
        <v>730.02749008783212</v>
      </c>
      <c r="H94" s="841">
        <f t="shared" ref="H94:Q94" si="75">G94*H737</f>
        <v>752.61505642426891</v>
      </c>
      <c r="I94" s="841">
        <f t="shared" si="75"/>
        <v>787.32140082785941</v>
      </c>
      <c r="J94" s="841">
        <f t="shared" si="75"/>
        <v>830.15913859260945</v>
      </c>
      <c r="K94" s="841">
        <f t="shared" si="75"/>
        <v>875.17329665105672</v>
      </c>
      <c r="L94" s="841">
        <f t="shared" si="75"/>
        <v>917.50853257888105</v>
      </c>
      <c r="M94" s="841">
        <f t="shared" si="75"/>
        <v>957.23772001909981</v>
      </c>
      <c r="N94" s="841">
        <f t="shared" si="75"/>
        <v>994.31626465285183</v>
      </c>
      <c r="O94" s="841">
        <f t="shared" si="75"/>
        <v>1023.6973947846074</v>
      </c>
      <c r="P94" s="841">
        <f t="shared" si="75"/>
        <v>1039.2086040841655</v>
      </c>
      <c r="Q94" s="842">
        <f t="shared" si="75"/>
        <v>1037.0223947936449</v>
      </c>
    </row>
    <row r="95" spans="1:17">
      <c r="A95" s="481">
        <v>28</v>
      </c>
      <c r="B95" s="841">
        <f t="shared" si="67"/>
        <v>697.25273314221158</v>
      </c>
      <c r="C95" s="841">
        <f t="shared" si="67"/>
        <v>692.28376198053945</v>
      </c>
      <c r="D95" s="841">
        <f t="shared" si="67"/>
        <v>682.67268558448018</v>
      </c>
      <c r="E95" s="841">
        <f t="shared" si="67"/>
        <v>672.77839305887926</v>
      </c>
      <c r="F95" s="4">
        <v>668.52</v>
      </c>
      <c r="G95" s="841">
        <f t="shared" si="46"/>
        <v>674.01784429246493</v>
      </c>
      <c r="H95" s="841">
        <f t="shared" ref="H95:Q95" si="76">G95*H738</f>
        <v>690.26470505703298</v>
      </c>
      <c r="I95" s="841">
        <f t="shared" si="76"/>
        <v>715.5318472807669</v>
      </c>
      <c r="J95" s="841">
        <f t="shared" si="76"/>
        <v>747.73829223405949</v>
      </c>
      <c r="K95" s="841">
        <f t="shared" si="76"/>
        <v>783.62350153666762</v>
      </c>
      <c r="L95" s="841">
        <f t="shared" si="76"/>
        <v>820.28628630604612</v>
      </c>
      <c r="M95" s="841">
        <f t="shared" si="76"/>
        <v>858.18953742058545</v>
      </c>
      <c r="N95" s="841">
        <f t="shared" si="76"/>
        <v>896.71809726558251</v>
      </c>
      <c r="O95" s="841">
        <f t="shared" si="76"/>
        <v>930.6045518761922</v>
      </c>
      <c r="P95" s="841">
        <f t="shared" si="76"/>
        <v>953.15525552410702</v>
      </c>
      <c r="Q95" s="842">
        <f t="shared" si="76"/>
        <v>959.97071464146472</v>
      </c>
    </row>
    <row r="96" spans="1:17">
      <c r="A96" s="481">
        <v>29</v>
      </c>
      <c r="B96" s="841">
        <f t="shared" si="67"/>
        <v>682.24863858993569</v>
      </c>
      <c r="C96" s="841">
        <f t="shared" si="67"/>
        <v>681.17911223383317</v>
      </c>
      <c r="D96" s="841">
        <f t="shared" si="67"/>
        <v>677.52169601797425</v>
      </c>
      <c r="E96" s="841">
        <f t="shared" si="67"/>
        <v>673.73286352017442</v>
      </c>
      <c r="F96" s="4">
        <v>673.096</v>
      </c>
      <c r="G96" s="841">
        <f t="shared" si="46"/>
        <v>677.97154406000232</v>
      </c>
      <c r="H96" s="841">
        <f t="shared" ref="H96:Q96" si="77">G96*H739</f>
        <v>688.65669867626264</v>
      </c>
      <c r="I96" s="841">
        <f t="shared" si="77"/>
        <v>704.39531478038339</v>
      </c>
      <c r="J96" s="841">
        <f t="shared" si="77"/>
        <v>725.08225934681207</v>
      </c>
      <c r="K96" s="841">
        <f t="shared" si="77"/>
        <v>750.29295669543217</v>
      </c>
      <c r="L96" s="841">
        <f t="shared" si="77"/>
        <v>779.2550834462229</v>
      </c>
      <c r="M96" s="841">
        <f t="shared" si="77"/>
        <v>812.64694979289368</v>
      </c>
      <c r="N96" s="841">
        <f t="shared" si="77"/>
        <v>849.37375701743042</v>
      </c>
      <c r="O96" s="841">
        <f t="shared" si="77"/>
        <v>884.70654075891855</v>
      </c>
      <c r="P96" s="841">
        <f t="shared" si="77"/>
        <v>912.42425640917793</v>
      </c>
      <c r="Q96" s="842">
        <f t="shared" si="77"/>
        <v>928.2012865034045</v>
      </c>
    </row>
    <row r="97" spans="1:17">
      <c r="A97" s="481">
        <v>30</v>
      </c>
      <c r="B97" s="841">
        <f t="shared" si="67"/>
        <v>704.87679729862361</v>
      </c>
      <c r="C97" s="841">
        <f t="shared" si="67"/>
        <v>707.59135162507903</v>
      </c>
      <c r="D97" s="841">
        <f t="shared" si="67"/>
        <v>709.42404721608318</v>
      </c>
      <c r="E97" s="841">
        <f t="shared" si="67"/>
        <v>711.11241935579812</v>
      </c>
      <c r="F97" s="4">
        <v>713.55</v>
      </c>
      <c r="G97" s="841">
        <f t="shared" si="46"/>
        <v>717.52420091969339</v>
      </c>
      <c r="H97" s="841">
        <f t="shared" ref="H97:Q97" si="78">G97*H740</f>
        <v>722.62858180720343</v>
      </c>
      <c r="I97" s="841">
        <f t="shared" si="78"/>
        <v>729.05203659142342</v>
      </c>
      <c r="J97" s="841">
        <f t="shared" si="78"/>
        <v>738.78325753497177</v>
      </c>
      <c r="K97" s="841">
        <f t="shared" si="78"/>
        <v>754.37867988899416</v>
      </c>
      <c r="L97" s="841">
        <f t="shared" si="78"/>
        <v>777.25076331279968</v>
      </c>
      <c r="M97" s="841">
        <f t="shared" si="78"/>
        <v>808.41932278204274</v>
      </c>
      <c r="N97" s="841">
        <f t="shared" si="78"/>
        <v>846.18749654222643</v>
      </c>
      <c r="O97" s="841">
        <f t="shared" si="78"/>
        <v>885.86795603199289</v>
      </c>
      <c r="P97" s="841">
        <f t="shared" si="78"/>
        <v>921.0531644948378</v>
      </c>
      <c r="Q97" s="842">
        <f t="shared" si="78"/>
        <v>947.02714091951498</v>
      </c>
    </row>
    <row r="98" spans="1:17">
      <c r="A98" s="481">
        <v>31</v>
      </c>
      <c r="B98" s="841">
        <f t="shared" si="67"/>
        <v>690.41188252104791</v>
      </c>
      <c r="C98" s="841">
        <f t="shared" si="67"/>
        <v>697.2946279992359</v>
      </c>
      <c r="D98" s="841">
        <f t="shared" si="67"/>
        <v>705.15579780778444</v>
      </c>
      <c r="E98" s="841">
        <f t="shared" si="67"/>
        <v>712.77420861311509</v>
      </c>
      <c r="F98" s="4">
        <v>718.34500000000003</v>
      </c>
      <c r="G98" s="841">
        <f t="shared" si="46"/>
        <v>720.88024837273542</v>
      </c>
      <c r="H98" s="841">
        <f t="shared" ref="H98:Q98" si="79">G98*H741</f>
        <v>719.18937914162711</v>
      </c>
      <c r="I98" s="841">
        <f t="shared" si="79"/>
        <v>714.50307490559669</v>
      </c>
      <c r="J98" s="841">
        <f t="shared" si="79"/>
        <v>711.11394812589083</v>
      </c>
      <c r="K98" s="841">
        <f t="shared" si="79"/>
        <v>714.86404698864226</v>
      </c>
      <c r="L98" s="841">
        <f t="shared" si="79"/>
        <v>729.59213016647334</v>
      </c>
      <c r="M98" s="841">
        <f t="shared" si="79"/>
        <v>756.68720134736054</v>
      </c>
      <c r="N98" s="841">
        <f t="shared" si="79"/>
        <v>793.83355073539144</v>
      </c>
      <c r="O98" s="841">
        <f t="shared" si="79"/>
        <v>836.52008276642334</v>
      </c>
      <c r="P98" s="841">
        <f t="shared" si="79"/>
        <v>878.29257437664398</v>
      </c>
      <c r="Q98" s="842">
        <f t="shared" si="79"/>
        <v>914.13224704300694</v>
      </c>
    </row>
    <row r="99" spans="1:17">
      <c r="A99" s="481">
        <v>32</v>
      </c>
      <c r="B99" s="841">
        <f t="shared" si="67"/>
        <v>551.79028663088036</v>
      </c>
      <c r="C99" s="841">
        <f t="shared" si="67"/>
        <v>560.03299002415315</v>
      </c>
      <c r="D99" s="841">
        <f t="shared" si="67"/>
        <v>570.20263682939276</v>
      </c>
      <c r="E99" s="841">
        <f t="shared" si="67"/>
        <v>580.18001655361559</v>
      </c>
      <c r="F99" s="4">
        <v>586.93499999999995</v>
      </c>
      <c r="G99" s="841">
        <f t="shared" ref="G99:G130" si="80">F99*G742</f>
        <v>588.61584154826528</v>
      </c>
      <c r="H99" s="841">
        <f t="shared" ref="H99:Q99" si="81">G99*H742</f>
        <v>583.88521683489614</v>
      </c>
      <c r="I99" s="841">
        <f t="shared" si="81"/>
        <v>574.30946167990794</v>
      </c>
      <c r="J99" s="841">
        <f t="shared" si="81"/>
        <v>564.42266111385288</v>
      </c>
      <c r="K99" s="841">
        <f t="shared" si="81"/>
        <v>560.48844937607259</v>
      </c>
      <c r="L99" s="841">
        <f t="shared" si="81"/>
        <v>566.79480963341791</v>
      </c>
      <c r="M99" s="841">
        <f t="shared" si="81"/>
        <v>584.55601531755394</v>
      </c>
      <c r="N99" s="841">
        <f t="shared" si="81"/>
        <v>611.72292660502342</v>
      </c>
      <c r="O99" s="841">
        <f t="shared" si="81"/>
        <v>645.20303431271896</v>
      </c>
      <c r="P99" s="841">
        <f t="shared" si="81"/>
        <v>680.37936493516099</v>
      </c>
      <c r="Q99" s="842">
        <f t="shared" si="81"/>
        <v>713.48433820478408</v>
      </c>
    </row>
    <row r="100" spans="1:17">
      <c r="A100" s="481">
        <v>33</v>
      </c>
      <c r="B100" s="841">
        <f t="shared" si="67"/>
        <v>648.17111401893328</v>
      </c>
      <c r="C100" s="841">
        <f t="shared" si="67"/>
        <v>659.41896537163996</v>
      </c>
      <c r="D100" s="841">
        <f t="shared" si="67"/>
        <v>673.4787795625233</v>
      </c>
      <c r="E100" s="841">
        <f t="shared" si="67"/>
        <v>687.4423283589465</v>
      </c>
      <c r="F100" s="4">
        <v>697.15499999999997</v>
      </c>
      <c r="G100" s="841">
        <f t="shared" si="80"/>
        <v>699.998375756369</v>
      </c>
      <c r="H100" s="841">
        <f t="shared" ref="H100:Q100" si="82">G100*H743</f>
        <v>694.45450235540886</v>
      </c>
      <c r="I100" s="841">
        <f t="shared" si="82"/>
        <v>682.49124712387243</v>
      </c>
      <c r="J100" s="841">
        <f t="shared" si="82"/>
        <v>669.20358272855333</v>
      </c>
      <c r="K100" s="841">
        <f t="shared" si="82"/>
        <v>661.67360224188997</v>
      </c>
      <c r="L100" s="841">
        <f t="shared" si="82"/>
        <v>664.8534002188984</v>
      </c>
      <c r="M100" s="841">
        <f t="shared" si="82"/>
        <v>679.92754767140866</v>
      </c>
      <c r="N100" s="841">
        <f t="shared" si="82"/>
        <v>704.84609835739138</v>
      </c>
      <c r="O100" s="841">
        <f t="shared" si="82"/>
        <v>737.27030985143699</v>
      </c>
      <c r="P100" s="841">
        <f t="shared" si="82"/>
        <v>773.50967092592771</v>
      </c>
      <c r="Q100" s="842">
        <f t="shared" si="82"/>
        <v>810.35297068566308</v>
      </c>
    </row>
    <row r="101" spans="1:17">
      <c r="A101" s="481">
        <v>34</v>
      </c>
      <c r="B101" s="841">
        <f t="shared" si="67"/>
        <v>570.77797095827214</v>
      </c>
      <c r="C101" s="841">
        <f t="shared" si="67"/>
        <v>581.13309844057858</v>
      </c>
      <c r="D101" s="841">
        <f t="shared" si="67"/>
        <v>593.94688324245328</v>
      </c>
      <c r="E101" s="841">
        <f t="shared" si="67"/>
        <v>606.84966514657219</v>
      </c>
      <c r="F101" s="4">
        <v>616.41999999999996</v>
      </c>
      <c r="G101" s="841">
        <f t="shared" si="80"/>
        <v>620.4536363410981</v>
      </c>
      <c r="H101" s="841">
        <f t="shared" ref="H101:Q101" si="83">G101*H744</f>
        <v>617.94913202946452</v>
      </c>
      <c r="I101" s="841">
        <f t="shared" si="83"/>
        <v>610.4302253307917</v>
      </c>
      <c r="J101" s="841">
        <f t="shared" si="83"/>
        <v>601.28330093349439</v>
      </c>
      <c r="K101" s="841">
        <f t="shared" si="83"/>
        <v>595.2494771934787</v>
      </c>
      <c r="L101" s="841">
        <f t="shared" si="83"/>
        <v>595.74030969676357</v>
      </c>
      <c r="M101" s="841">
        <f t="shared" si="83"/>
        <v>603.36349582836874</v>
      </c>
      <c r="N101" s="841">
        <f t="shared" si="83"/>
        <v>616.98005247169681</v>
      </c>
      <c r="O101" s="841">
        <f t="shared" si="83"/>
        <v>636.01913962750621</v>
      </c>
      <c r="P101" s="841">
        <f t="shared" si="83"/>
        <v>659.32918873039762</v>
      </c>
      <c r="Q101" s="842">
        <f t="shared" si="83"/>
        <v>685.65525074266827</v>
      </c>
    </row>
    <row r="102" spans="1:17">
      <c r="A102" s="481">
        <v>35</v>
      </c>
      <c r="B102" s="841">
        <f t="shared" si="67"/>
        <v>639.70327253109872</v>
      </c>
      <c r="C102" s="841">
        <f t="shared" si="67"/>
        <v>652.27508092623964</v>
      </c>
      <c r="D102" s="841">
        <f t="shared" si="67"/>
        <v>667.74651281901549</v>
      </c>
      <c r="E102" s="841">
        <f t="shared" si="67"/>
        <v>683.53391629825387</v>
      </c>
      <c r="F102" s="4">
        <v>695.86900000000003</v>
      </c>
      <c r="G102" s="841">
        <f t="shared" si="80"/>
        <v>702.25243883519238</v>
      </c>
      <c r="H102" s="841">
        <f t="shared" ref="H102:Q102" si="84">G102*H745</f>
        <v>701.88973190153592</v>
      </c>
      <c r="I102" s="841">
        <f t="shared" si="84"/>
        <v>696.31400178414981</v>
      </c>
      <c r="J102" s="841">
        <f t="shared" si="84"/>
        <v>688.20846700344555</v>
      </c>
      <c r="K102" s="841">
        <f t="shared" si="84"/>
        <v>681.39729814284874</v>
      </c>
      <c r="L102" s="841">
        <f t="shared" si="84"/>
        <v>678.76691088448274</v>
      </c>
      <c r="M102" s="841">
        <f t="shared" si="84"/>
        <v>680.52863027652859</v>
      </c>
      <c r="N102" s="841">
        <f t="shared" si="84"/>
        <v>686.11756820942594</v>
      </c>
      <c r="O102" s="841">
        <f t="shared" si="84"/>
        <v>696.62082949833552</v>
      </c>
      <c r="P102" s="841">
        <f t="shared" si="84"/>
        <v>713.15701451848395</v>
      </c>
      <c r="Q102" s="842">
        <f t="shared" si="84"/>
        <v>736.10914991969867</v>
      </c>
    </row>
    <row r="103" spans="1:17">
      <c r="A103" s="481">
        <v>36</v>
      </c>
      <c r="B103" s="841">
        <f t="shared" si="67"/>
        <v>543.59482999880242</v>
      </c>
      <c r="C103" s="841">
        <f t="shared" si="67"/>
        <v>555.24032118705225</v>
      </c>
      <c r="D103" s="841">
        <f t="shared" si="67"/>
        <v>569.59978180803751</v>
      </c>
      <c r="E103" s="841">
        <f t="shared" si="67"/>
        <v>584.48652293859391</v>
      </c>
      <c r="F103" s="4">
        <v>596.702</v>
      </c>
      <c r="G103" s="841">
        <f t="shared" si="80"/>
        <v>604.04470792254187</v>
      </c>
      <c r="H103" s="841">
        <f t="shared" ref="H103:Q103" si="85">G103*H746</f>
        <v>606.13552766214752</v>
      </c>
      <c r="I103" s="841">
        <f t="shared" si="85"/>
        <v>604.1283755736473</v>
      </c>
      <c r="J103" s="841">
        <f t="shared" si="85"/>
        <v>599.26606489117125</v>
      </c>
      <c r="K103" s="841">
        <f t="shared" si="85"/>
        <v>593.4058431616553</v>
      </c>
      <c r="L103" s="841">
        <f t="shared" si="85"/>
        <v>588.13739575610452</v>
      </c>
      <c r="M103" s="841">
        <f t="shared" si="85"/>
        <v>583.17747281400534</v>
      </c>
      <c r="N103" s="841">
        <f t="shared" si="85"/>
        <v>578.71519808837752</v>
      </c>
      <c r="O103" s="841">
        <f t="shared" si="85"/>
        <v>577.34514030152457</v>
      </c>
      <c r="P103" s="841">
        <f t="shared" si="85"/>
        <v>582.35212629737066</v>
      </c>
      <c r="Q103" s="842">
        <f t="shared" si="85"/>
        <v>595.77729814767758</v>
      </c>
    </row>
    <row r="104" spans="1:17">
      <c r="A104" s="481">
        <v>37</v>
      </c>
      <c r="B104" s="841">
        <f t="shared" si="67"/>
        <v>596.94241577471155</v>
      </c>
      <c r="C104" s="841">
        <f t="shared" si="67"/>
        <v>610.96302477593667</v>
      </c>
      <c r="D104" s="841">
        <f t="shared" si="67"/>
        <v>627.76938374492249</v>
      </c>
      <c r="E104" s="841">
        <f t="shared" si="67"/>
        <v>645.14720339802705</v>
      </c>
      <c r="F104" s="4">
        <v>659.83500000000004</v>
      </c>
      <c r="G104" s="841">
        <f t="shared" si="80"/>
        <v>669.54112918305498</v>
      </c>
      <c r="H104" s="841">
        <f t="shared" ref="H104:Q104" si="86">G104*H747</f>
        <v>674.1002444548327</v>
      </c>
      <c r="I104" s="841">
        <f t="shared" si="86"/>
        <v>674.57984597652978</v>
      </c>
      <c r="J104" s="841">
        <f t="shared" si="86"/>
        <v>671.47113853246503</v>
      </c>
      <c r="K104" s="841">
        <f t="shared" si="86"/>
        <v>665.62986274098921</v>
      </c>
      <c r="L104" s="841">
        <f t="shared" si="86"/>
        <v>658.04132898639511</v>
      </c>
      <c r="M104" s="841">
        <f t="shared" si="86"/>
        <v>648.1012006738024</v>
      </c>
      <c r="N104" s="841">
        <f t="shared" si="86"/>
        <v>636.52888008575678</v>
      </c>
      <c r="O104" s="841">
        <f t="shared" si="86"/>
        <v>627.22596427880603</v>
      </c>
      <c r="P104" s="841">
        <f t="shared" si="86"/>
        <v>625.28531860532598</v>
      </c>
      <c r="Q104" s="842">
        <f t="shared" si="86"/>
        <v>634.0950957508544</v>
      </c>
    </row>
    <row r="105" spans="1:17">
      <c r="A105" s="481">
        <v>38</v>
      </c>
      <c r="B105" s="841">
        <f t="shared" si="67"/>
        <v>565.86509701144405</v>
      </c>
      <c r="C105" s="841">
        <f t="shared" si="67"/>
        <v>580.64004207214828</v>
      </c>
      <c r="D105" s="841">
        <f t="shared" si="67"/>
        <v>597.23693674341291</v>
      </c>
      <c r="E105" s="841">
        <f t="shared" si="67"/>
        <v>613.90151707451014</v>
      </c>
      <c r="F105" s="4">
        <v>628.07100000000003</v>
      </c>
      <c r="G105" s="841">
        <f t="shared" si="80"/>
        <v>637.93456231915729</v>
      </c>
      <c r="H105" s="841">
        <f t="shared" ref="H105:Q105" si="87">G105*H748</f>
        <v>643.42915437624742</v>
      </c>
      <c r="I105" s="841">
        <f t="shared" si="87"/>
        <v>645.35865928188434</v>
      </c>
      <c r="J105" s="841">
        <f t="shared" si="87"/>
        <v>643.91037160163205</v>
      </c>
      <c r="K105" s="841">
        <f t="shared" si="87"/>
        <v>639.48669649120723</v>
      </c>
      <c r="L105" s="841">
        <f t="shared" si="87"/>
        <v>632.71720330713435</v>
      </c>
      <c r="M105" s="841">
        <f t="shared" si="87"/>
        <v>623.10769401255402</v>
      </c>
      <c r="N105" s="841">
        <f t="shared" si="87"/>
        <v>611.43887169758943</v>
      </c>
      <c r="O105" s="841">
        <f t="shared" si="87"/>
        <v>601.15343300550342</v>
      </c>
      <c r="P105" s="841">
        <f t="shared" si="87"/>
        <v>596.76684592786364</v>
      </c>
      <c r="Q105" s="842">
        <f t="shared" si="87"/>
        <v>601.36483479237779</v>
      </c>
    </row>
    <row r="106" spans="1:17">
      <c r="A106" s="481">
        <v>39</v>
      </c>
      <c r="B106" s="841">
        <f t="shared" si="67"/>
        <v>569.90126461897989</v>
      </c>
      <c r="C106" s="841">
        <f t="shared" si="67"/>
        <v>586.52239492062643</v>
      </c>
      <c r="D106" s="841">
        <f t="shared" si="67"/>
        <v>603.7682374090092</v>
      </c>
      <c r="E106" s="841">
        <f t="shared" si="67"/>
        <v>620.31553808858689</v>
      </c>
      <c r="F106" s="4">
        <v>634.29300000000001</v>
      </c>
      <c r="G106" s="841">
        <f t="shared" si="80"/>
        <v>644.39062061833522</v>
      </c>
      <c r="H106" s="841">
        <f t="shared" ref="H106:Q106" si="88">G106*H749</f>
        <v>650.52794458620974</v>
      </c>
      <c r="I106" s="841">
        <f t="shared" si="88"/>
        <v>653.31453955249947</v>
      </c>
      <c r="J106" s="841">
        <f t="shared" si="88"/>
        <v>653.01732799699175</v>
      </c>
      <c r="K106" s="841">
        <f t="shared" si="88"/>
        <v>650.1152559295175</v>
      </c>
      <c r="L106" s="841">
        <f t="shared" si="88"/>
        <v>645.21694446533638</v>
      </c>
      <c r="M106" s="841">
        <f t="shared" si="88"/>
        <v>638.143498750974</v>
      </c>
      <c r="N106" s="841">
        <f t="shared" si="88"/>
        <v>629.51395177146867</v>
      </c>
      <c r="O106" s="841">
        <f t="shared" si="88"/>
        <v>621.7078890381157</v>
      </c>
      <c r="P106" s="841">
        <f t="shared" si="88"/>
        <v>617.81006360632853</v>
      </c>
      <c r="Q106" s="842">
        <f t="shared" si="88"/>
        <v>620.00602159606774</v>
      </c>
    </row>
    <row r="107" spans="1:17">
      <c r="A107" s="481">
        <v>40</v>
      </c>
      <c r="B107" s="841">
        <f t="shared" ref="B107:E126" si="89">C107/C750</f>
        <v>547.59460984010923</v>
      </c>
      <c r="C107" s="841">
        <f t="shared" si="89"/>
        <v>565.15723705827497</v>
      </c>
      <c r="D107" s="841">
        <f t="shared" si="89"/>
        <v>582.11970089429428</v>
      </c>
      <c r="E107" s="841">
        <f t="shared" si="89"/>
        <v>597.71379221901964</v>
      </c>
      <c r="F107" s="4">
        <v>610.91</v>
      </c>
      <c r="G107" s="841">
        <f t="shared" si="80"/>
        <v>621.0038247594232</v>
      </c>
      <c r="H107" s="841">
        <f t="shared" ref="H107:Q107" si="90">G107*H750</f>
        <v>627.94910008327793</v>
      </c>
      <c r="I107" s="841">
        <f t="shared" si="90"/>
        <v>632.0856107786874</v>
      </c>
      <c r="J107" s="841">
        <f t="shared" si="90"/>
        <v>633.60171581481734</v>
      </c>
      <c r="K107" s="841">
        <f t="shared" si="90"/>
        <v>632.82612005942804</v>
      </c>
      <c r="L107" s="841">
        <f t="shared" si="90"/>
        <v>630.17616789518138</v>
      </c>
      <c r="M107" s="841">
        <f t="shared" si="90"/>
        <v>625.74049883697899</v>
      </c>
      <c r="N107" s="841">
        <f t="shared" si="90"/>
        <v>620.00755354505986</v>
      </c>
      <c r="O107" s="841">
        <f t="shared" si="90"/>
        <v>614.3327779347951</v>
      </c>
      <c r="P107" s="841">
        <f t="shared" si="90"/>
        <v>610.42802263772217</v>
      </c>
      <c r="Q107" s="842">
        <f t="shared" si="90"/>
        <v>609.62565036220644</v>
      </c>
    </row>
    <row r="108" spans="1:17">
      <c r="A108" s="481">
        <v>41</v>
      </c>
      <c r="B108" s="841">
        <f t="shared" si="89"/>
        <v>510.08949856933663</v>
      </c>
      <c r="C108" s="841">
        <f t="shared" si="89"/>
        <v>527.78686812874753</v>
      </c>
      <c r="D108" s="841">
        <f t="shared" si="89"/>
        <v>543.60737633664189</v>
      </c>
      <c r="E108" s="841">
        <f t="shared" si="89"/>
        <v>557.43131648670806</v>
      </c>
      <c r="F108" s="4">
        <v>569.21500000000003</v>
      </c>
      <c r="G108" s="841">
        <f t="shared" si="80"/>
        <v>578.94269898809728</v>
      </c>
      <c r="H108" s="841">
        <f t="shared" ref="H108:Q108" si="91">G108*H751</f>
        <v>586.64062659836736</v>
      </c>
      <c r="I108" s="841">
        <f t="shared" si="91"/>
        <v>592.3323746634411</v>
      </c>
      <c r="J108" s="841">
        <f t="shared" si="91"/>
        <v>596.04415633068595</v>
      </c>
      <c r="K108" s="841">
        <f t="shared" si="91"/>
        <v>597.8196601790479</v>
      </c>
      <c r="L108" s="841">
        <f t="shared" si="91"/>
        <v>597.79519457483809</v>
      </c>
      <c r="M108" s="841">
        <f t="shared" si="91"/>
        <v>596.29755008857228</v>
      </c>
      <c r="N108" s="841">
        <f t="shared" si="91"/>
        <v>593.70157472760604</v>
      </c>
      <c r="O108" s="841">
        <f t="shared" si="91"/>
        <v>590.30871968666634</v>
      </c>
      <c r="P108" s="841">
        <f t="shared" si="91"/>
        <v>586.45101816574208</v>
      </c>
      <c r="Q108" s="842">
        <f t="shared" si="91"/>
        <v>582.59681173113347</v>
      </c>
    </row>
    <row r="109" spans="1:17">
      <c r="A109" s="481">
        <v>42</v>
      </c>
      <c r="B109" s="841">
        <f t="shared" si="89"/>
        <v>513.16924133085377</v>
      </c>
      <c r="C109" s="841">
        <f t="shared" si="89"/>
        <v>532.85529181636343</v>
      </c>
      <c r="D109" s="841">
        <f t="shared" si="89"/>
        <v>549.92975272499018</v>
      </c>
      <c r="E109" s="841">
        <f t="shared" si="89"/>
        <v>564.56114277684355</v>
      </c>
      <c r="F109" s="4">
        <v>577.16399999999999</v>
      </c>
      <c r="G109" s="841">
        <f t="shared" si="80"/>
        <v>588.04652440663835</v>
      </c>
      <c r="H109" s="841">
        <f t="shared" ref="H109:Q109" si="92">G109*H752</f>
        <v>597.21772769302106</v>
      </c>
      <c r="I109" s="841">
        <f t="shared" si="92"/>
        <v>604.54063207595766</v>
      </c>
      <c r="J109" s="841">
        <f t="shared" si="92"/>
        <v>610.04497615311459</v>
      </c>
      <c r="K109" s="841">
        <f t="shared" si="92"/>
        <v>613.76410320066327</v>
      </c>
      <c r="L109" s="841">
        <f t="shared" si="92"/>
        <v>615.77190912795618</v>
      </c>
      <c r="M109" s="841">
        <f t="shared" si="92"/>
        <v>616.58746763971556</v>
      </c>
      <c r="N109" s="841">
        <f t="shared" si="92"/>
        <v>616.47211792755513</v>
      </c>
      <c r="O109" s="841">
        <f t="shared" si="92"/>
        <v>614.98879272274166</v>
      </c>
      <c r="P109" s="841">
        <f t="shared" si="92"/>
        <v>611.485946385494</v>
      </c>
      <c r="Q109" s="842">
        <f t="shared" si="92"/>
        <v>605.80677540084389</v>
      </c>
    </row>
    <row r="110" spans="1:17">
      <c r="A110" s="481">
        <v>43</v>
      </c>
      <c r="B110" s="841">
        <f t="shared" si="89"/>
        <v>516.85581662330151</v>
      </c>
      <c r="C110" s="841">
        <f t="shared" si="89"/>
        <v>539.49969401878411</v>
      </c>
      <c r="D110" s="841">
        <f t="shared" si="89"/>
        <v>559.85607286462925</v>
      </c>
      <c r="E110" s="841">
        <f t="shared" si="89"/>
        <v>577.82873672699657</v>
      </c>
      <c r="F110" s="4">
        <v>593.47900000000004</v>
      </c>
      <c r="G110" s="841">
        <f t="shared" si="80"/>
        <v>606.87289356960878</v>
      </c>
      <c r="H110" s="841">
        <f t="shared" ref="H110:Q110" si="93">G110*H753</f>
        <v>617.86137629320706</v>
      </c>
      <c r="I110" s="841">
        <f t="shared" si="93"/>
        <v>626.37653068808402</v>
      </c>
      <c r="J110" s="841">
        <f t="shared" si="93"/>
        <v>632.69285658019612</v>
      </c>
      <c r="K110" s="841">
        <f t="shared" si="93"/>
        <v>637.20936918046971</v>
      </c>
      <c r="L110" s="841">
        <f t="shared" si="93"/>
        <v>640.24301674155583</v>
      </c>
      <c r="M110" s="841">
        <f t="shared" si="93"/>
        <v>642.40128341436832</v>
      </c>
      <c r="N110" s="841">
        <f t="shared" si="93"/>
        <v>643.80113819690939</v>
      </c>
      <c r="O110" s="841">
        <f t="shared" si="93"/>
        <v>643.7369939076824</v>
      </c>
      <c r="P110" s="841">
        <f t="shared" si="93"/>
        <v>641.17499553208859</v>
      </c>
      <c r="Q110" s="842">
        <f t="shared" si="93"/>
        <v>635.68877220644276</v>
      </c>
    </row>
    <row r="111" spans="1:17">
      <c r="A111" s="481">
        <v>44</v>
      </c>
      <c r="B111" s="841">
        <f t="shared" si="89"/>
        <v>545.53451727905872</v>
      </c>
      <c r="C111" s="841">
        <f t="shared" si="89"/>
        <v>573.1621986962075</v>
      </c>
      <c r="D111" s="841">
        <f t="shared" si="89"/>
        <v>599.53250731174273</v>
      </c>
      <c r="E111" s="841">
        <f t="shared" si="89"/>
        <v>623.85775450701658</v>
      </c>
      <c r="F111" s="4">
        <v>645.23099999999999</v>
      </c>
      <c r="G111" s="841">
        <f t="shared" si="80"/>
        <v>663.0319259276672</v>
      </c>
      <c r="H111" s="841">
        <f t="shared" ref="H111:Q111" si="94">G111*H754</f>
        <v>676.84733573707558</v>
      </c>
      <c r="I111" s="841">
        <f t="shared" si="94"/>
        <v>686.84355411662477</v>
      </c>
      <c r="J111" s="841">
        <f t="shared" si="94"/>
        <v>693.73504497937802</v>
      </c>
      <c r="K111" s="841">
        <f t="shared" si="94"/>
        <v>698.60239576632262</v>
      </c>
      <c r="L111" s="841">
        <f t="shared" si="94"/>
        <v>702.2615389111179</v>
      </c>
      <c r="M111" s="841">
        <f t="shared" si="94"/>
        <v>705.35266755401938</v>
      </c>
      <c r="N111" s="841">
        <f t="shared" si="94"/>
        <v>707.8213861994501</v>
      </c>
      <c r="O111" s="841">
        <f t="shared" si="94"/>
        <v>709.00239609381072</v>
      </c>
      <c r="P111" s="841">
        <f t="shared" si="94"/>
        <v>707.87264349335931</v>
      </c>
      <c r="Q111" s="842">
        <f t="shared" si="94"/>
        <v>703.96244421513052</v>
      </c>
    </row>
    <row r="112" spans="1:17">
      <c r="A112" s="481">
        <v>45</v>
      </c>
      <c r="B112" s="841">
        <f t="shared" si="89"/>
        <v>515.43888824604642</v>
      </c>
      <c r="C112" s="841">
        <f t="shared" si="89"/>
        <v>545.22038520894762</v>
      </c>
      <c r="D112" s="841">
        <f t="shared" si="89"/>
        <v>574.91957830771719</v>
      </c>
      <c r="E112" s="841">
        <f t="shared" si="89"/>
        <v>603.13521820998596</v>
      </c>
      <c r="F112" s="4">
        <v>628.09100000000001</v>
      </c>
      <c r="G112" s="841">
        <f t="shared" si="80"/>
        <v>648.5544493579132</v>
      </c>
      <c r="H112" s="841">
        <f t="shared" ref="H112:Q112" si="95">G112*H755</f>
        <v>663.86088444428219</v>
      </c>
      <c r="I112" s="841">
        <f t="shared" si="95"/>
        <v>674.39890451633653</v>
      </c>
      <c r="J112" s="841">
        <f t="shared" si="95"/>
        <v>681.30513635594593</v>
      </c>
      <c r="K112" s="841">
        <f t="shared" si="95"/>
        <v>686.29962654135659</v>
      </c>
      <c r="L112" s="841">
        <f t="shared" si="95"/>
        <v>690.65235495075285</v>
      </c>
      <c r="M112" s="841">
        <f t="shared" si="95"/>
        <v>695.00404153908426</v>
      </c>
      <c r="N112" s="841">
        <f t="shared" si="95"/>
        <v>699.08381282946129</v>
      </c>
      <c r="O112" s="841">
        <f t="shared" si="95"/>
        <v>702.20510874007687</v>
      </c>
      <c r="P112" s="841">
        <f t="shared" si="95"/>
        <v>703.27610079485396</v>
      </c>
      <c r="Q112" s="842">
        <f t="shared" si="95"/>
        <v>701.69774188144197</v>
      </c>
    </row>
    <row r="113" spans="1:17">
      <c r="A113" s="481">
        <v>46</v>
      </c>
      <c r="B113" s="841">
        <f t="shared" si="89"/>
        <v>499.70892146491826</v>
      </c>
      <c r="C113" s="841">
        <f t="shared" si="89"/>
        <v>532.56393127649051</v>
      </c>
      <c r="D113" s="841">
        <f t="shared" si="89"/>
        <v>566.72697594796182</v>
      </c>
      <c r="E113" s="841">
        <f t="shared" si="89"/>
        <v>600.0240630076014</v>
      </c>
      <c r="F113" s="4">
        <v>629.59400000000005</v>
      </c>
      <c r="G113" s="841">
        <f t="shared" si="80"/>
        <v>653.43727046174411</v>
      </c>
      <c r="H113" s="841">
        <f t="shared" ref="H113:Q113" si="96">G113*H756</f>
        <v>670.5701722355119</v>
      </c>
      <c r="I113" s="841">
        <f t="shared" si="96"/>
        <v>681.6627788256377</v>
      </c>
      <c r="J113" s="841">
        <f t="shared" si="96"/>
        <v>688.44058302603116</v>
      </c>
      <c r="K113" s="841">
        <f t="shared" si="96"/>
        <v>693.49824645731019</v>
      </c>
      <c r="L113" s="841">
        <f t="shared" si="96"/>
        <v>698.72396346715232</v>
      </c>
      <c r="M113" s="841">
        <f t="shared" si="96"/>
        <v>704.81028606403117</v>
      </c>
      <c r="N113" s="841">
        <f t="shared" si="96"/>
        <v>711.1984628593483</v>
      </c>
      <c r="O113" s="841">
        <f t="shared" si="96"/>
        <v>717.06535243963197</v>
      </c>
      <c r="P113" s="841">
        <f t="shared" si="96"/>
        <v>721.07937103588517</v>
      </c>
      <c r="Q113" s="842">
        <f t="shared" si="96"/>
        <v>722.38740589578435</v>
      </c>
    </row>
    <row r="114" spans="1:17">
      <c r="A114" s="481">
        <v>47</v>
      </c>
      <c r="B114" s="841">
        <f t="shared" si="89"/>
        <v>415.92281181068853</v>
      </c>
      <c r="C114" s="841">
        <f t="shared" si="89"/>
        <v>446.11591628349606</v>
      </c>
      <c r="D114" s="841">
        <f t="shared" si="89"/>
        <v>478.07562347186126</v>
      </c>
      <c r="E114" s="841">
        <f t="shared" si="89"/>
        <v>509.63886224146978</v>
      </c>
      <c r="F114" s="4">
        <v>537.93100000000004</v>
      </c>
      <c r="G114" s="841">
        <f t="shared" si="80"/>
        <v>560.93752299200366</v>
      </c>
      <c r="H114" s="841">
        <f t="shared" ref="H114:Q114" si="97">G114*H757</f>
        <v>577.68760401546524</v>
      </c>
      <c r="I114" s="841">
        <f t="shared" si="97"/>
        <v>588.84076213452192</v>
      </c>
      <c r="J114" s="841">
        <f t="shared" si="97"/>
        <v>596.03396719272757</v>
      </c>
      <c r="K114" s="841">
        <f t="shared" si="97"/>
        <v>601.75484561707776</v>
      </c>
      <c r="L114" s="841">
        <f t="shared" si="97"/>
        <v>607.80311801013886</v>
      </c>
      <c r="M114" s="841">
        <f t="shared" si="97"/>
        <v>614.72097149350384</v>
      </c>
      <c r="N114" s="841">
        <f t="shared" si="97"/>
        <v>621.92647748116963</v>
      </c>
      <c r="O114" s="841">
        <f t="shared" si="97"/>
        <v>628.75822445831307</v>
      </c>
      <c r="P114" s="841">
        <f t="shared" si="97"/>
        <v>634.13751553380621</v>
      </c>
      <c r="Q114" s="842">
        <f t="shared" si="97"/>
        <v>637.31872513729036</v>
      </c>
    </row>
    <row r="115" spans="1:17">
      <c r="A115" s="481">
        <v>48</v>
      </c>
      <c r="B115" s="841">
        <f t="shared" si="89"/>
        <v>371.78745012502196</v>
      </c>
      <c r="C115" s="841">
        <f t="shared" si="89"/>
        <v>400.3203510356982</v>
      </c>
      <c r="D115" s="841">
        <f t="shared" si="89"/>
        <v>430.10247500945741</v>
      </c>
      <c r="E115" s="841">
        <f t="shared" si="89"/>
        <v>459.48434504202771</v>
      </c>
      <c r="F115" s="4">
        <v>486.322</v>
      </c>
      <c r="G115" s="841">
        <f t="shared" si="80"/>
        <v>509.09698771186834</v>
      </c>
      <c r="H115" s="841">
        <f t="shared" ref="H115:Q115" si="98">G115*H758</f>
        <v>527.04828723115668</v>
      </c>
      <c r="I115" s="841">
        <f t="shared" si="98"/>
        <v>540.57884479013853</v>
      </c>
      <c r="J115" s="841">
        <f t="shared" si="98"/>
        <v>550.78621772081817</v>
      </c>
      <c r="K115" s="841">
        <f t="shared" si="98"/>
        <v>559.3782160009597</v>
      </c>
      <c r="L115" s="841">
        <f t="shared" si="98"/>
        <v>567.59688325075433</v>
      </c>
      <c r="M115" s="841">
        <f t="shared" si="98"/>
        <v>575.75632009669596</v>
      </c>
      <c r="N115" s="841">
        <f t="shared" si="98"/>
        <v>583.4490931547042</v>
      </c>
      <c r="O115" s="841">
        <f t="shared" si="98"/>
        <v>590.34943520358729</v>
      </c>
      <c r="P115" s="841">
        <f t="shared" si="98"/>
        <v>595.89645226746393</v>
      </c>
      <c r="Q115" s="842">
        <f t="shared" si="98"/>
        <v>599.69706984803611</v>
      </c>
    </row>
    <row r="116" spans="1:17">
      <c r="A116" s="481">
        <v>49</v>
      </c>
      <c r="B116" s="841">
        <f t="shared" si="89"/>
        <v>484.73187141122793</v>
      </c>
      <c r="C116" s="841">
        <f t="shared" si="89"/>
        <v>522.90783367013262</v>
      </c>
      <c r="D116" s="841">
        <f t="shared" si="89"/>
        <v>561.40923687755787</v>
      </c>
      <c r="E116" s="841">
        <f t="shared" si="89"/>
        <v>599.02499353423809</v>
      </c>
      <c r="F116" s="4">
        <v>634.34900000000005</v>
      </c>
      <c r="G116" s="841">
        <f t="shared" si="80"/>
        <v>666.34282637803756</v>
      </c>
      <c r="H116" s="841">
        <f t="shared" ref="H116:Q116" si="99">G116*H759</f>
        <v>694.38664429693165</v>
      </c>
      <c r="I116" s="841">
        <f t="shared" si="99"/>
        <v>718.49784373103057</v>
      </c>
      <c r="J116" s="841">
        <f t="shared" si="99"/>
        <v>739.09751048777161</v>
      </c>
      <c r="K116" s="841">
        <f t="shared" si="99"/>
        <v>756.96695127180885</v>
      </c>
      <c r="L116" s="841">
        <f t="shared" si="99"/>
        <v>772.70115163406388</v>
      </c>
      <c r="M116" s="841">
        <f t="shared" si="99"/>
        <v>786.34482865143252</v>
      </c>
      <c r="N116" s="841">
        <f t="shared" si="99"/>
        <v>797.7290511445301</v>
      </c>
      <c r="O116" s="841">
        <f t="shared" si="99"/>
        <v>806.99542319019395</v>
      </c>
      <c r="P116" s="841">
        <f t="shared" si="99"/>
        <v>814.2930017114104</v>
      </c>
      <c r="Q116" s="842">
        <f t="shared" si="99"/>
        <v>819.75345365681756</v>
      </c>
    </row>
    <row r="117" spans="1:17">
      <c r="A117" s="481">
        <v>50</v>
      </c>
      <c r="B117" s="841">
        <f t="shared" si="89"/>
        <v>398.05502485008572</v>
      </c>
      <c r="C117" s="841">
        <f t="shared" si="89"/>
        <v>430.21403292479863</v>
      </c>
      <c r="D117" s="841">
        <f t="shared" si="89"/>
        <v>461.58652578274632</v>
      </c>
      <c r="E117" s="841">
        <f t="shared" si="89"/>
        <v>491.9723391087353</v>
      </c>
      <c r="F117" s="4">
        <v>521.37800000000004</v>
      </c>
      <c r="G117" s="841">
        <f t="shared" si="80"/>
        <v>549.72844683834307</v>
      </c>
      <c r="H117" s="841">
        <f t="shared" ref="H117:Q117" si="100">G117*H760</f>
        <v>576.84200875073554</v>
      </c>
      <c r="I117" s="841">
        <f t="shared" si="100"/>
        <v>602.30421506278242</v>
      </c>
      <c r="J117" s="841">
        <f t="shared" si="100"/>
        <v>625.5972493938749</v>
      </c>
      <c r="K117" s="841">
        <f t="shared" si="100"/>
        <v>646.12279449751088</v>
      </c>
      <c r="L117" s="841">
        <f t="shared" si="100"/>
        <v>663.49031238915518</v>
      </c>
      <c r="M117" s="841">
        <f t="shared" si="100"/>
        <v>677.41152294094809</v>
      </c>
      <c r="N117" s="841">
        <f t="shared" si="100"/>
        <v>688.0550428314491</v>
      </c>
      <c r="O117" s="841">
        <f t="shared" si="100"/>
        <v>696.07575748319323</v>
      </c>
      <c r="P117" s="841">
        <f t="shared" si="100"/>
        <v>702.42444739334906</v>
      </c>
      <c r="Q117" s="842">
        <f t="shared" si="100"/>
        <v>707.80821476232791</v>
      </c>
    </row>
    <row r="118" spans="1:17">
      <c r="A118" s="481">
        <v>51</v>
      </c>
      <c r="B118" s="841">
        <f t="shared" si="89"/>
        <v>365.71167464445591</v>
      </c>
      <c r="C118" s="841">
        <f t="shared" si="89"/>
        <v>395.75525626243035</v>
      </c>
      <c r="D118" s="841">
        <f t="shared" si="89"/>
        <v>423.80540463007088</v>
      </c>
      <c r="E118" s="841">
        <f t="shared" si="89"/>
        <v>450.60351453608689</v>
      </c>
      <c r="F118" s="4">
        <v>477.517</v>
      </c>
      <c r="G118" s="841">
        <f t="shared" si="80"/>
        <v>505.40049478401124</v>
      </c>
      <c r="H118" s="841">
        <f t="shared" ref="H118:Q118" si="101">G118*H761</f>
        <v>534.4655207442654</v>
      </c>
      <c r="I118" s="841">
        <f t="shared" si="101"/>
        <v>563.84782948873669</v>
      </c>
      <c r="J118" s="841">
        <f t="shared" si="101"/>
        <v>592.07638265423657</v>
      </c>
      <c r="K118" s="841">
        <f t="shared" si="101"/>
        <v>617.16736162025609</v>
      </c>
      <c r="L118" s="841">
        <f t="shared" si="101"/>
        <v>637.75228407507052</v>
      </c>
      <c r="M118" s="841">
        <f t="shared" si="101"/>
        <v>653.17201372958266</v>
      </c>
      <c r="N118" s="841">
        <f t="shared" si="101"/>
        <v>663.955355224154</v>
      </c>
      <c r="O118" s="841">
        <f t="shared" si="101"/>
        <v>671.38319090988375</v>
      </c>
      <c r="P118" s="841">
        <f t="shared" si="101"/>
        <v>677.35814919987172</v>
      </c>
      <c r="Q118" s="842">
        <f t="shared" si="101"/>
        <v>683.25512215905871</v>
      </c>
    </row>
    <row r="119" spans="1:17">
      <c r="A119" s="481">
        <v>52</v>
      </c>
      <c r="B119" s="841">
        <f t="shared" si="89"/>
        <v>406.67225782614338</v>
      </c>
      <c r="C119" s="841">
        <f t="shared" si="89"/>
        <v>440.67435083060309</v>
      </c>
      <c r="D119" s="841">
        <f t="shared" si="89"/>
        <v>471.86183254193907</v>
      </c>
      <c r="E119" s="841">
        <f t="shared" si="89"/>
        <v>501.6900504471738</v>
      </c>
      <c r="F119" s="4">
        <v>532.58799999999997</v>
      </c>
      <c r="G119" s="841">
        <f t="shared" si="80"/>
        <v>566.11608017858089</v>
      </c>
      <c r="H119" s="841">
        <f t="shared" ref="H119:Q119" si="102">G119*H762</f>
        <v>602.76111496625151</v>
      </c>
      <c r="I119" s="841">
        <f t="shared" si="102"/>
        <v>641.21508518673534</v>
      </c>
      <c r="J119" s="841">
        <f t="shared" si="102"/>
        <v>679.11561340511207</v>
      </c>
      <c r="K119" s="841">
        <f t="shared" si="102"/>
        <v>713.22916347944067</v>
      </c>
      <c r="L119" s="841">
        <f t="shared" si="102"/>
        <v>741.29456611870432</v>
      </c>
      <c r="M119" s="841">
        <f t="shared" si="102"/>
        <v>762.30614546259289</v>
      </c>
      <c r="N119" s="841">
        <f t="shared" si="102"/>
        <v>777.0774100095739</v>
      </c>
      <c r="O119" s="841">
        <f t="shared" si="102"/>
        <v>787.40448403500443</v>
      </c>
      <c r="P119" s="841">
        <f t="shared" si="102"/>
        <v>795.99692734086739</v>
      </c>
      <c r="Q119" s="842">
        <f t="shared" si="102"/>
        <v>804.81100367072247</v>
      </c>
    </row>
    <row r="120" spans="1:17">
      <c r="A120" s="481">
        <v>53</v>
      </c>
      <c r="B120" s="841">
        <f t="shared" si="89"/>
        <v>332.33714188167619</v>
      </c>
      <c r="C120" s="841">
        <f t="shared" si="89"/>
        <v>360.91251695048868</v>
      </c>
      <c r="D120" s="841">
        <f t="shared" si="89"/>
        <v>388.12661468620212</v>
      </c>
      <c r="E120" s="841">
        <f t="shared" si="89"/>
        <v>414.93656532470453</v>
      </c>
      <c r="F120" s="4">
        <v>442.983</v>
      </c>
      <c r="G120" s="841">
        <f t="shared" si="80"/>
        <v>473.27800379405619</v>
      </c>
      <c r="H120" s="841">
        <f t="shared" ref="H120:Q120" si="103">G120*H763</f>
        <v>506.10779986353805</v>
      </c>
      <c r="I120" s="841">
        <f t="shared" si="103"/>
        <v>540.46373780435806</v>
      </c>
      <c r="J120" s="841">
        <f t="shared" si="103"/>
        <v>574.533452588513</v>
      </c>
      <c r="K120" s="841">
        <f t="shared" si="103"/>
        <v>605.86916378020328</v>
      </c>
      <c r="L120" s="841">
        <f t="shared" si="103"/>
        <v>632.73063458690547</v>
      </c>
      <c r="M120" s="841">
        <f t="shared" si="103"/>
        <v>654.3519318413837</v>
      </c>
      <c r="N120" s="841">
        <f t="shared" si="103"/>
        <v>671.24825722563537</v>
      </c>
      <c r="O120" s="841">
        <f t="shared" si="103"/>
        <v>684.54046062116049</v>
      </c>
      <c r="P120" s="841">
        <f t="shared" si="103"/>
        <v>695.97679306886948</v>
      </c>
      <c r="Q120" s="842">
        <f t="shared" si="103"/>
        <v>706.82350581384833</v>
      </c>
    </row>
    <row r="121" spans="1:17">
      <c r="A121" s="481">
        <v>54</v>
      </c>
      <c r="B121" s="841">
        <f t="shared" si="89"/>
        <v>340.77312634333919</v>
      </c>
      <c r="C121" s="841">
        <f t="shared" si="89"/>
        <v>371.02175061401857</v>
      </c>
      <c r="D121" s="841">
        <f t="shared" si="89"/>
        <v>402.04797781753933</v>
      </c>
      <c r="E121" s="841">
        <f t="shared" si="89"/>
        <v>433.98551930963202</v>
      </c>
      <c r="F121" s="4">
        <v>467.24200000000002</v>
      </c>
      <c r="G121" s="841">
        <f t="shared" si="80"/>
        <v>501.96411292939621</v>
      </c>
      <c r="H121" s="841">
        <f t="shared" ref="H121:Q121" si="104">G121*H764</f>
        <v>538.05579362865501</v>
      </c>
      <c r="I121" s="841">
        <f t="shared" si="104"/>
        <v>574.83420546559842</v>
      </c>
      <c r="J121" s="841">
        <f t="shared" si="104"/>
        <v>611.16604733777149</v>
      </c>
      <c r="K121" s="841">
        <f t="shared" si="104"/>
        <v>645.60515953367951</v>
      </c>
      <c r="L121" s="841">
        <f t="shared" si="104"/>
        <v>677.07276402796163</v>
      </c>
      <c r="M121" s="841">
        <f t="shared" si="104"/>
        <v>705.0820476322782</v>
      </c>
      <c r="N121" s="841">
        <f t="shared" si="104"/>
        <v>729.72388214178591</v>
      </c>
      <c r="O121" s="841">
        <f t="shared" si="104"/>
        <v>751.23063971838531</v>
      </c>
      <c r="P121" s="841">
        <f t="shared" si="104"/>
        <v>770.09692256142989</v>
      </c>
      <c r="Q121" s="842">
        <f t="shared" si="104"/>
        <v>786.70309404207592</v>
      </c>
    </row>
    <row r="122" spans="1:17">
      <c r="A122" s="481">
        <v>55</v>
      </c>
      <c r="B122" s="841">
        <f t="shared" si="89"/>
        <v>299.9220789410457</v>
      </c>
      <c r="C122" s="841">
        <f t="shared" si="89"/>
        <v>327.18783795236806</v>
      </c>
      <c r="D122" s="841">
        <f t="shared" si="89"/>
        <v>357.26832359972371</v>
      </c>
      <c r="E122" s="841">
        <f t="shared" si="89"/>
        <v>389.47128587560434</v>
      </c>
      <c r="F122" s="4">
        <v>422.93299999999999</v>
      </c>
      <c r="G122" s="841">
        <f t="shared" si="80"/>
        <v>456.92565082740191</v>
      </c>
      <c r="H122" s="841">
        <f t="shared" ref="H122:Q122" si="105">G122*H765</f>
        <v>490.99324248130466</v>
      </c>
      <c r="I122" s="841">
        <f t="shared" si="105"/>
        <v>524.87919789470527</v>
      </c>
      <c r="J122" s="841">
        <f t="shared" si="105"/>
        <v>558.2799432111002</v>
      </c>
      <c r="K122" s="841">
        <f t="shared" si="105"/>
        <v>590.95033301498643</v>
      </c>
      <c r="L122" s="841">
        <f t="shared" si="105"/>
        <v>622.61727785386074</v>
      </c>
      <c r="M122" s="841">
        <f t="shared" si="105"/>
        <v>653.14613827672179</v>
      </c>
      <c r="N122" s="841">
        <f t="shared" si="105"/>
        <v>682.19396473856511</v>
      </c>
      <c r="O122" s="841">
        <f t="shared" si="105"/>
        <v>709.05072466288266</v>
      </c>
      <c r="P122" s="841">
        <f t="shared" si="105"/>
        <v>732.86539510466412</v>
      </c>
      <c r="Q122" s="842">
        <f t="shared" si="105"/>
        <v>753.06893385590297</v>
      </c>
    </row>
    <row r="123" spans="1:17">
      <c r="A123" s="481">
        <v>56</v>
      </c>
      <c r="B123" s="841">
        <f t="shared" si="89"/>
        <v>203.80038157688895</v>
      </c>
      <c r="C123" s="841">
        <f t="shared" si="89"/>
        <v>222.85111806460864</v>
      </c>
      <c r="D123" s="841">
        <f t="shared" si="89"/>
        <v>245.77332437946498</v>
      </c>
      <c r="E123" s="841">
        <f t="shared" si="89"/>
        <v>271.31435201347966</v>
      </c>
      <c r="F123" s="4">
        <v>297.71699999999998</v>
      </c>
      <c r="G123" s="841">
        <f t="shared" si="80"/>
        <v>323.6606993077645</v>
      </c>
      <c r="H123" s="841">
        <f t="shared" ref="H123:Q123" si="106">G123*H766</f>
        <v>348.48856144730672</v>
      </c>
      <c r="I123" s="841">
        <f t="shared" si="106"/>
        <v>372.3587442085572</v>
      </c>
      <c r="J123" s="841">
        <f t="shared" si="106"/>
        <v>395.74766154768736</v>
      </c>
      <c r="K123" s="841">
        <f t="shared" si="106"/>
        <v>419.49558736702829</v>
      </c>
      <c r="L123" s="841">
        <f t="shared" si="106"/>
        <v>444.08669796826933</v>
      </c>
      <c r="M123" s="841">
        <f t="shared" si="106"/>
        <v>469.72572521444971</v>
      </c>
      <c r="N123" s="841">
        <f t="shared" si="106"/>
        <v>495.77712706627739</v>
      </c>
      <c r="O123" s="841">
        <f t="shared" si="106"/>
        <v>520.90383950826515</v>
      </c>
      <c r="P123" s="841">
        <f t="shared" si="106"/>
        <v>543.31373101892905</v>
      </c>
      <c r="Q123" s="842">
        <f t="shared" si="106"/>
        <v>561.76288572899841</v>
      </c>
    </row>
    <row r="124" spans="1:17">
      <c r="A124" s="481">
        <v>57</v>
      </c>
      <c r="B124" s="841">
        <f t="shared" si="89"/>
        <v>220.08074854152522</v>
      </c>
      <c r="C124" s="841">
        <f t="shared" si="89"/>
        <v>240.02406666856274</v>
      </c>
      <c r="D124" s="841">
        <f t="shared" si="89"/>
        <v>265.55165263947498</v>
      </c>
      <c r="E124" s="841">
        <f t="shared" si="89"/>
        <v>294.84448526593837</v>
      </c>
      <c r="F124" s="4">
        <v>325.28100000000001</v>
      </c>
      <c r="G124" s="841">
        <f t="shared" si="80"/>
        <v>354.93578662007133</v>
      </c>
      <c r="H124" s="841">
        <f t="shared" ref="H124:Q124" si="107">G124*H767</f>
        <v>382.8802538901549</v>
      </c>
      <c r="I124" s="841">
        <f t="shared" si="107"/>
        <v>409.51451708752978</v>
      </c>
      <c r="J124" s="841">
        <f t="shared" si="107"/>
        <v>435.80185952425813</v>
      </c>
      <c r="K124" s="841">
        <f t="shared" si="107"/>
        <v>463.3034246232495</v>
      </c>
      <c r="L124" s="841">
        <f t="shared" si="107"/>
        <v>492.96746246360465</v>
      </c>
      <c r="M124" s="841">
        <f t="shared" si="107"/>
        <v>525.20333954288662</v>
      </c>
      <c r="N124" s="841">
        <f t="shared" si="107"/>
        <v>559.04430334142694</v>
      </c>
      <c r="O124" s="841">
        <f t="shared" si="107"/>
        <v>592.41808051562975</v>
      </c>
      <c r="P124" s="841">
        <f t="shared" si="107"/>
        <v>622.51114369665129</v>
      </c>
      <c r="Q124" s="842">
        <f t="shared" si="107"/>
        <v>647.35529576908982</v>
      </c>
    </row>
    <row r="125" spans="1:17">
      <c r="A125" s="481">
        <v>58</v>
      </c>
      <c r="B125" s="841">
        <f t="shared" si="89"/>
        <v>201.86681277738529</v>
      </c>
      <c r="C125" s="841">
        <f t="shared" si="89"/>
        <v>217.65089155577763</v>
      </c>
      <c r="D125" s="841">
        <f t="shared" si="89"/>
        <v>238.07147336125564</v>
      </c>
      <c r="E125" s="841">
        <f t="shared" si="89"/>
        <v>261.91362163966164</v>
      </c>
      <c r="F125" s="4">
        <v>287.39699999999999</v>
      </c>
      <c r="G125" s="841">
        <f t="shared" si="80"/>
        <v>313.19000208051142</v>
      </c>
      <c r="H125" s="841">
        <f t="shared" ref="H125:Q125" si="108">G125*H768</f>
        <v>338.63523838836466</v>
      </c>
      <c r="I125" s="841">
        <f t="shared" si="108"/>
        <v>363.95595211310479</v>
      </c>
      <c r="J125" s="841">
        <f t="shared" si="108"/>
        <v>389.73212681751988</v>
      </c>
      <c r="K125" s="841">
        <f t="shared" si="108"/>
        <v>416.93301936476075</v>
      </c>
      <c r="L125" s="841">
        <f t="shared" si="108"/>
        <v>446.08925301439945</v>
      </c>
      <c r="M125" s="841">
        <f t="shared" si="108"/>
        <v>477.43977650700435</v>
      </c>
      <c r="N125" s="841">
        <f t="shared" si="108"/>
        <v>510.20043411648493</v>
      </c>
      <c r="O125" s="841">
        <f t="shared" si="108"/>
        <v>542.6682953818887</v>
      </c>
      <c r="P125" s="841">
        <f t="shared" si="108"/>
        <v>572.56156810454831</v>
      </c>
      <c r="Q125" s="842">
        <f t="shared" si="108"/>
        <v>598.25809322877399</v>
      </c>
    </row>
    <row r="126" spans="1:17">
      <c r="A126" s="481">
        <v>59</v>
      </c>
      <c r="B126" s="841">
        <f t="shared" si="89"/>
        <v>218.37249646233019</v>
      </c>
      <c r="C126" s="841">
        <f t="shared" si="89"/>
        <v>231.38080223069139</v>
      </c>
      <c r="D126" s="841">
        <f t="shared" si="89"/>
        <v>247.48171417867064</v>
      </c>
      <c r="E126" s="841">
        <f t="shared" si="89"/>
        <v>266.51390052322199</v>
      </c>
      <c r="F126" s="4">
        <v>288.18200000000002</v>
      </c>
      <c r="G126" s="841">
        <f t="shared" si="80"/>
        <v>312.20430249553215</v>
      </c>
      <c r="H126" s="841">
        <f t="shared" ref="H126:Q126" si="109">G126*H769</f>
        <v>338.36611263699592</v>
      </c>
      <c r="I126" s="841">
        <f t="shared" si="109"/>
        <v>366.4949295179037</v>
      </c>
      <c r="J126" s="841">
        <f t="shared" si="109"/>
        <v>396.36116560084406</v>
      </c>
      <c r="K126" s="841">
        <f t="shared" si="109"/>
        <v>427.71289510152235</v>
      </c>
      <c r="L126" s="841">
        <f t="shared" si="109"/>
        <v>460.22373141269946</v>
      </c>
      <c r="M126" s="841">
        <f t="shared" si="109"/>
        <v>493.76709113537026</v>
      </c>
      <c r="N126" s="841">
        <f t="shared" si="109"/>
        <v>527.89869135930064</v>
      </c>
      <c r="O126" s="841">
        <f t="shared" si="109"/>
        <v>561.5822856318498</v>
      </c>
      <c r="P126" s="841">
        <f t="shared" si="109"/>
        <v>593.53590678466082</v>
      </c>
      <c r="Q126" s="842">
        <f t="shared" si="109"/>
        <v>622.79528716060554</v>
      </c>
    </row>
    <row r="127" spans="1:17">
      <c r="A127" s="481">
        <v>60</v>
      </c>
      <c r="B127" s="841">
        <f t="shared" ref="B127:E146" si="110">C127/C770</f>
        <v>190.30555747471857</v>
      </c>
      <c r="C127" s="841">
        <f t="shared" si="110"/>
        <v>198.05853012306812</v>
      </c>
      <c r="D127" s="841">
        <f t="shared" si="110"/>
        <v>206.92774534439994</v>
      </c>
      <c r="E127" s="841">
        <f t="shared" si="110"/>
        <v>217.704841046556</v>
      </c>
      <c r="F127" s="4">
        <v>231.46299999999999</v>
      </c>
      <c r="G127" s="841">
        <f t="shared" si="80"/>
        <v>248.89117904502962</v>
      </c>
      <c r="H127" s="841">
        <f t="shared" ref="H127:Q127" si="111">G127*H770</f>
        <v>270.20909358423967</v>
      </c>
      <c r="I127" s="841">
        <f t="shared" si="111"/>
        <v>294.94529398492654</v>
      </c>
      <c r="J127" s="841">
        <f t="shared" si="111"/>
        <v>322.21539814920823</v>
      </c>
      <c r="K127" s="841">
        <f t="shared" si="111"/>
        <v>350.76956770654454</v>
      </c>
      <c r="L127" s="841">
        <f t="shared" si="111"/>
        <v>379.60969851650452</v>
      </c>
      <c r="M127" s="841">
        <f t="shared" si="111"/>
        <v>408.31844172390771</v>
      </c>
      <c r="N127" s="841">
        <f t="shared" si="111"/>
        <v>436.83286377122693</v>
      </c>
      <c r="O127" s="841">
        <f t="shared" si="111"/>
        <v>464.91227140335826</v>
      </c>
      <c r="P127" s="841">
        <f t="shared" si="111"/>
        <v>492.39325819023099</v>
      </c>
      <c r="Q127" s="842">
        <f t="shared" si="111"/>
        <v>519.07598248425893</v>
      </c>
    </row>
    <row r="128" spans="1:17">
      <c r="A128" s="481">
        <v>61</v>
      </c>
      <c r="B128" s="841">
        <f t="shared" si="110"/>
        <v>190.06691529369149</v>
      </c>
      <c r="C128" s="841">
        <f t="shared" si="110"/>
        <v>193.96970148776705</v>
      </c>
      <c r="D128" s="841">
        <f t="shared" si="110"/>
        <v>197.16603539106487</v>
      </c>
      <c r="E128" s="841">
        <f t="shared" si="110"/>
        <v>201.49626428240407</v>
      </c>
      <c r="F128" s="4">
        <v>209.51499999999999</v>
      </c>
      <c r="G128" s="841">
        <f t="shared" si="80"/>
        <v>222.96549448412887</v>
      </c>
      <c r="H128" s="841">
        <f t="shared" ref="H128:Q128" si="112">G128*H771</f>
        <v>242.52629906621706</v>
      </c>
      <c r="I128" s="841">
        <f t="shared" si="112"/>
        <v>267.35257269710382</v>
      </c>
      <c r="J128" s="841">
        <f t="shared" si="112"/>
        <v>295.78699839131525</v>
      </c>
      <c r="K128" s="841">
        <f t="shared" si="112"/>
        <v>325.40107664690436</v>
      </c>
      <c r="L128" s="841">
        <f t="shared" si="112"/>
        <v>354.38347718277748</v>
      </c>
      <c r="M128" s="841">
        <f t="shared" si="112"/>
        <v>381.97194578945408</v>
      </c>
      <c r="N128" s="841">
        <f t="shared" si="112"/>
        <v>408.47897321166988</v>
      </c>
      <c r="O128" s="841">
        <f t="shared" si="112"/>
        <v>434.43802579222393</v>
      </c>
      <c r="P128" s="841">
        <f t="shared" si="112"/>
        <v>460.81336068630111</v>
      </c>
      <c r="Q128" s="842">
        <f t="shared" si="112"/>
        <v>488.16411311930364</v>
      </c>
    </row>
    <row r="129" spans="1:17">
      <c r="A129" s="481">
        <v>62</v>
      </c>
      <c r="B129" s="841">
        <f t="shared" si="110"/>
        <v>228.06179272287724</v>
      </c>
      <c r="C129" s="841">
        <f t="shared" si="110"/>
        <v>229.34178548779849</v>
      </c>
      <c r="D129" s="841">
        <f t="shared" si="110"/>
        <v>228.47530792004628</v>
      </c>
      <c r="E129" s="841">
        <f t="shared" si="110"/>
        <v>228.33656268941718</v>
      </c>
      <c r="F129" s="4">
        <v>232.941</v>
      </c>
      <c r="G129" s="841">
        <f t="shared" si="80"/>
        <v>245.05672322758087</v>
      </c>
      <c r="H129" s="841">
        <f t="shared" ref="H129:Q129" si="113">G129*H772</f>
        <v>265.79369421719252</v>
      </c>
      <c r="I129" s="841">
        <f t="shared" si="113"/>
        <v>293.95897603489658</v>
      </c>
      <c r="J129" s="841">
        <f t="shared" si="113"/>
        <v>327.17757679168932</v>
      </c>
      <c r="K129" s="841">
        <f t="shared" si="113"/>
        <v>361.94685953786598</v>
      </c>
      <c r="L129" s="841">
        <f t="shared" si="113"/>
        <v>395.68643503319731</v>
      </c>
      <c r="M129" s="841">
        <f t="shared" si="113"/>
        <v>427.3067451430374</v>
      </c>
      <c r="N129" s="841">
        <f t="shared" si="113"/>
        <v>457.41309994218949</v>
      </c>
      <c r="O129" s="841">
        <f t="shared" si="113"/>
        <v>487.10457929681354</v>
      </c>
      <c r="P129" s="841">
        <f t="shared" si="113"/>
        <v>518.19575318396028</v>
      </c>
      <c r="Q129" s="842">
        <f t="shared" si="113"/>
        <v>551.78842196450796</v>
      </c>
    </row>
    <row r="130" spans="1:17">
      <c r="A130" s="481">
        <v>63</v>
      </c>
      <c r="B130" s="841">
        <f t="shared" si="110"/>
        <v>168.468510519055</v>
      </c>
      <c r="C130" s="841">
        <f t="shared" si="110"/>
        <v>168.36396620106913</v>
      </c>
      <c r="D130" s="841">
        <f t="shared" si="110"/>
        <v>166.89206501120881</v>
      </c>
      <c r="E130" s="841">
        <f t="shared" si="110"/>
        <v>165.92735902741848</v>
      </c>
      <c r="F130" s="4">
        <v>168.07</v>
      </c>
      <c r="G130" s="841">
        <f t="shared" si="80"/>
        <v>175.13657484048974</v>
      </c>
      <c r="H130" s="841">
        <f t="shared" ref="H130:Q130" si="114">G130*H773</f>
        <v>187.83508665287118</v>
      </c>
      <c r="I130" s="841">
        <f t="shared" si="114"/>
        <v>205.46995344024828</v>
      </c>
      <c r="J130" s="841">
        <f t="shared" si="114"/>
        <v>226.71729220555267</v>
      </c>
      <c r="K130" s="841">
        <f t="shared" si="114"/>
        <v>249.57316433867908</v>
      </c>
      <c r="L130" s="841">
        <f t="shared" si="114"/>
        <v>272.55014226590794</v>
      </c>
      <c r="M130" s="841">
        <f t="shared" si="114"/>
        <v>295.02510044835321</v>
      </c>
      <c r="N130" s="841">
        <f t="shared" si="114"/>
        <v>317.31270693222973</v>
      </c>
      <c r="O130" s="841">
        <f t="shared" si="114"/>
        <v>339.9594904293844</v>
      </c>
      <c r="P130" s="841">
        <f t="shared" si="114"/>
        <v>363.88564795654418</v>
      </c>
      <c r="Q130" s="842">
        <f t="shared" si="114"/>
        <v>389.60665545783752</v>
      </c>
    </row>
    <row r="131" spans="1:17">
      <c r="A131" s="481">
        <v>64</v>
      </c>
      <c r="B131" s="841">
        <f t="shared" si="110"/>
        <v>183.49499472626346</v>
      </c>
      <c r="C131" s="841">
        <f t="shared" si="110"/>
        <v>183.36145948295959</v>
      </c>
      <c r="D131" s="841">
        <f t="shared" si="110"/>
        <v>182.83668940401105</v>
      </c>
      <c r="E131" s="841">
        <f t="shared" si="110"/>
        <v>183.14007210590319</v>
      </c>
      <c r="F131" s="4">
        <v>185.90799999999999</v>
      </c>
      <c r="G131" s="841">
        <f t="shared" ref="G131:G162" si="115">F131*G774</f>
        <v>192.31534895501886</v>
      </c>
      <c r="H131" s="841">
        <f t="shared" ref="H131:Q131" si="116">G131*H774</f>
        <v>202.78029512762188</v>
      </c>
      <c r="I131" s="841">
        <f t="shared" si="116"/>
        <v>216.98891355986666</v>
      </c>
      <c r="J131" s="841">
        <f t="shared" si="116"/>
        <v>234.48437315623994</v>
      </c>
      <c r="K131" s="841">
        <f t="shared" si="116"/>
        <v>254.49006105436922</v>
      </c>
      <c r="L131" s="841">
        <f t="shared" si="116"/>
        <v>276.37695597658632</v>
      </c>
      <c r="M131" s="841">
        <f t="shared" si="116"/>
        <v>299.89087241590056</v>
      </c>
      <c r="N131" s="841">
        <f t="shared" si="116"/>
        <v>325.01658266912813</v>
      </c>
      <c r="O131" s="841">
        <f t="shared" si="116"/>
        <v>351.60883787513148</v>
      </c>
      <c r="P131" s="841">
        <f t="shared" si="116"/>
        <v>379.55753002627409</v>
      </c>
      <c r="Q131" s="842">
        <f t="shared" si="116"/>
        <v>408.6553280869</v>
      </c>
    </row>
    <row r="132" spans="1:17">
      <c r="A132" s="481">
        <v>65</v>
      </c>
      <c r="B132" s="841">
        <f t="shared" si="110"/>
        <v>164.81081209877968</v>
      </c>
      <c r="C132" s="841">
        <f t="shared" si="110"/>
        <v>164.67394228211205</v>
      </c>
      <c r="D132" s="841">
        <f t="shared" si="110"/>
        <v>165.06717143793495</v>
      </c>
      <c r="E132" s="841">
        <f t="shared" si="110"/>
        <v>166.3750385749812</v>
      </c>
      <c r="F132" s="4">
        <v>169.04400000000001</v>
      </c>
      <c r="G132" s="841">
        <f t="shared" si="115"/>
        <v>173.44881830624797</v>
      </c>
      <c r="H132" s="841">
        <f t="shared" ref="H132:Q132" si="117">G132*H775</f>
        <v>179.65358332851386</v>
      </c>
      <c r="I132" s="841">
        <f t="shared" si="117"/>
        <v>187.76366310026413</v>
      </c>
      <c r="J132" s="841">
        <f t="shared" si="117"/>
        <v>198.22768646502038</v>
      </c>
      <c r="K132" s="841">
        <f t="shared" si="117"/>
        <v>211.57140732172812</v>
      </c>
      <c r="L132" s="841">
        <f t="shared" si="117"/>
        <v>228.0902906714476</v>
      </c>
      <c r="M132" s="841">
        <f t="shared" si="117"/>
        <v>247.92555140439151</v>
      </c>
      <c r="N132" s="841">
        <f t="shared" si="117"/>
        <v>270.76760303047831</v>
      </c>
      <c r="O132" s="841">
        <f t="shared" si="117"/>
        <v>295.86474782642227</v>
      </c>
      <c r="P132" s="841">
        <f t="shared" si="117"/>
        <v>322.17959948335368</v>
      </c>
      <c r="Q132" s="842">
        <f t="shared" si="117"/>
        <v>348.87355880708662</v>
      </c>
    </row>
    <row r="133" spans="1:17">
      <c r="A133" s="481">
        <v>66</v>
      </c>
      <c r="B133" s="841">
        <f t="shared" si="110"/>
        <v>162.13168825837298</v>
      </c>
      <c r="C133" s="841">
        <f t="shared" si="110"/>
        <v>162.20334794216231</v>
      </c>
      <c r="D133" s="841">
        <f t="shared" si="110"/>
        <v>163.84270101592747</v>
      </c>
      <c r="E133" s="841">
        <f t="shared" si="110"/>
        <v>166.60215007015356</v>
      </c>
      <c r="F133" s="4">
        <v>169.721</v>
      </c>
      <c r="G133" s="841">
        <f t="shared" si="115"/>
        <v>172.76488287603604</v>
      </c>
      <c r="H133" s="841">
        <f t="shared" ref="H133:Q133" si="118">G133*H776</f>
        <v>175.43172556967284</v>
      </c>
      <c r="I133" s="841">
        <f t="shared" si="118"/>
        <v>178.27165396107776</v>
      </c>
      <c r="J133" s="841">
        <f t="shared" si="118"/>
        <v>182.70904207264792</v>
      </c>
      <c r="K133" s="841">
        <f t="shared" si="118"/>
        <v>190.65775468989526</v>
      </c>
      <c r="L133" s="841">
        <f t="shared" si="118"/>
        <v>203.40215383765943</v>
      </c>
      <c r="M133" s="841">
        <f t="shared" si="118"/>
        <v>221.50779978953929</v>
      </c>
      <c r="N133" s="841">
        <f t="shared" si="118"/>
        <v>244.31542345467298</v>
      </c>
      <c r="O133" s="841">
        <f t="shared" si="118"/>
        <v>270.36647465377916</v>
      </c>
      <c r="P133" s="841">
        <f t="shared" si="118"/>
        <v>297.54313411671473</v>
      </c>
      <c r="Q133" s="842">
        <f t="shared" si="118"/>
        <v>324.26117160339845</v>
      </c>
    </row>
    <row r="134" spans="1:17">
      <c r="A134" s="481">
        <v>67</v>
      </c>
      <c r="B134" s="841">
        <f t="shared" si="110"/>
        <v>144.69553053885895</v>
      </c>
      <c r="C134" s="841">
        <f t="shared" si="110"/>
        <v>144.94421402603572</v>
      </c>
      <c r="D134" s="841">
        <f t="shared" si="110"/>
        <v>146.95784550115133</v>
      </c>
      <c r="E134" s="841">
        <f t="shared" si="110"/>
        <v>149.92895874268442</v>
      </c>
      <c r="F134" s="4">
        <v>152.59399999999999</v>
      </c>
      <c r="G134" s="841">
        <f t="shared" si="115"/>
        <v>154.18074160239109</v>
      </c>
      <c r="H134" s="841">
        <f t="shared" ref="H134:Q134" si="119">G134*H777</f>
        <v>154.24618462533238</v>
      </c>
      <c r="I134" s="841">
        <f t="shared" si="119"/>
        <v>153.50818868970248</v>
      </c>
      <c r="J134" s="841">
        <f t="shared" si="119"/>
        <v>153.71961999458964</v>
      </c>
      <c r="K134" s="841">
        <f t="shared" si="119"/>
        <v>157.28676815275699</v>
      </c>
      <c r="L134" s="841">
        <f t="shared" si="119"/>
        <v>165.85275644789888</v>
      </c>
      <c r="M134" s="841">
        <f t="shared" si="119"/>
        <v>180.13343086941893</v>
      </c>
      <c r="N134" s="841">
        <f t="shared" si="119"/>
        <v>199.39985682332531</v>
      </c>
      <c r="O134" s="841">
        <f t="shared" si="119"/>
        <v>222.07536086460243</v>
      </c>
      <c r="P134" s="841">
        <f t="shared" si="119"/>
        <v>245.83923271817955</v>
      </c>
      <c r="Q134" s="842">
        <f t="shared" si="119"/>
        <v>268.98592652463373</v>
      </c>
    </row>
    <row r="135" spans="1:17">
      <c r="A135" s="481">
        <v>68</v>
      </c>
      <c r="B135" s="841">
        <f t="shared" si="110"/>
        <v>129.891661105098</v>
      </c>
      <c r="C135" s="841">
        <f t="shared" si="110"/>
        <v>130.08153450282842</v>
      </c>
      <c r="D135" s="841">
        <f t="shared" si="110"/>
        <v>131.24724762254851</v>
      </c>
      <c r="E135" s="841">
        <f t="shared" si="110"/>
        <v>132.8602586503836</v>
      </c>
      <c r="F135" s="4">
        <v>134.09899999999999</v>
      </c>
      <c r="G135" s="841">
        <f t="shared" si="115"/>
        <v>134.4842239127031</v>
      </c>
      <c r="H135" s="841">
        <f t="shared" ref="H135:Q135" si="120">G135*H778</f>
        <v>133.72838173327614</v>
      </c>
      <c r="I135" s="841">
        <f t="shared" si="120"/>
        <v>132.38648800893117</v>
      </c>
      <c r="J135" s="841">
        <f t="shared" si="120"/>
        <v>131.81869352148723</v>
      </c>
      <c r="K135" s="841">
        <f t="shared" si="120"/>
        <v>133.87169963444765</v>
      </c>
      <c r="L135" s="841">
        <f t="shared" si="120"/>
        <v>139.82350037099812</v>
      </c>
      <c r="M135" s="841">
        <f t="shared" si="120"/>
        <v>150.22272030823473</v>
      </c>
      <c r="N135" s="841">
        <f t="shared" si="120"/>
        <v>164.57276748286253</v>
      </c>
      <c r="O135" s="841">
        <f t="shared" si="120"/>
        <v>181.81290685563741</v>
      </c>
      <c r="P135" s="841">
        <f t="shared" si="120"/>
        <v>200.36025154355647</v>
      </c>
      <c r="Q135" s="842">
        <f t="shared" si="120"/>
        <v>219.03813419241521</v>
      </c>
    </row>
    <row r="136" spans="1:17">
      <c r="A136" s="481">
        <v>69</v>
      </c>
      <c r="B136" s="841">
        <f t="shared" si="110"/>
        <v>177.88058381478271</v>
      </c>
      <c r="C136" s="841">
        <f t="shared" si="110"/>
        <v>177.9884784305932</v>
      </c>
      <c r="D136" s="841">
        <f t="shared" si="110"/>
        <v>177.81910897554189</v>
      </c>
      <c r="E136" s="841">
        <f t="shared" si="110"/>
        <v>177.41262228341873</v>
      </c>
      <c r="F136" s="4">
        <v>176.76400000000001</v>
      </c>
      <c r="G136" s="841">
        <f t="shared" si="115"/>
        <v>175.9936826266555</v>
      </c>
      <c r="H136" s="841">
        <f t="shared" ref="H136:Q136" si="121">G136*H779</f>
        <v>175.07908756937837</v>
      </c>
      <c r="I136" s="841">
        <f t="shared" si="121"/>
        <v>174.40537351484093</v>
      </c>
      <c r="J136" s="841">
        <f t="shared" si="121"/>
        <v>174.98373883912726</v>
      </c>
      <c r="K136" s="841">
        <f t="shared" si="121"/>
        <v>178.10891893196305</v>
      </c>
      <c r="L136" s="841">
        <f t="shared" si="121"/>
        <v>184.71432767896431</v>
      </c>
      <c r="M136" s="841">
        <f t="shared" si="121"/>
        <v>195.1713232926881</v>
      </c>
      <c r="N136" s="841">
        <f t="shared" si="121"/>
        <v>209.24906147884221</v>
      </c>
      <c r="O136" s="841">
        <f t="shared" si="121"/>
        <v>226.49714494584578</v>
      </c>
      <c r="P136" s="841">
        <f t="shared" si="121"/>
        <v>246.16783891436114</v>
      </c>
      <c r="Q136" s="842">
        <f t="shared" si="121"/>
        <v>267.65894087753912</v>
      </c>
    </row>
    <row r="137" spans="1:17">
      <c r="A137" s="481">
        <v>70</v>
      </c>
      <c r="B137" s="841">
        <f t="shared" si="110"/>
        <v>105.3382829888712</v>
      </c>
      <c r="C137" s="841">
        <f t="shared" si="110"/>
        <v>105.44961844197137</v>
      </c>
      <c r="D137" s="841">
        <f t="shared" si="110"/>
        <v>104.55071542130365</v>
      </c>
      <c r="E137" s="841">
        <f t="shared" si="110"/>
        <v>103.04880763116057</v>
      </c>
      <c r="F137" s="4">
        <v>101.52</v>
      </c>
      <c r="G137" s="841">
        <f t="shared" si="115"/>
        <v>100.42682034976153</v>
      </c>
      <c r="H137" s="841">
        <f t="shared" ref="H137:Q137" si="122">G137*H780</f>
        <v>99.947853736089016</v>
      </c>
      <c r="I137" s="841">
        <f t="shared" si="122"/>
        <v>100.11821939586645</v>
      </c>
      <c r="J137" s="841">
        <f t="shared" si="122"/>
        <v>101.08885532591415</v>
      </c>
      <c r="K137" s="841">
        <f t="shared" si="122"/>
        <v>102.98454689984102</v>
      </c>
      <c r="L137" s="841">
        <f t="shared" si="122"/>
        <v>105.92634340222574</v>
      </c>
      <c r="M137" s="841">
        <f t="shared" si="122"/>
        <v>109.94338632750396</v>
      </c>
      <c r="N137" s="841">
        <f t="shared" si="122"/>
        <v>115.13580286168522</v>
      </c>
      <c r="O137" s="841">
        <f t="shared" si="122"/>
        <v>121.76960254372018</v>
      </c>
      <c r="P137" s="841">
        <f t="shared" si="122"/>
        <v>130.1645945945946</v>
      </c>
      <c r="Q137" s="842">
        <f t="shared" si="122"/>
        <v>140.50235294117647</v>
      </c>
    </row>
    <row r="138" spans="1:17">
      <c r="A138" s="481">
        <v>71</v>
      </c>
      <c r="B138" s="841">
        <f t="shared" si="110"/>
        <v>146.0217410465799</v>
      </c>
      <c r="C138" s="841">
        <f t="shared" si="110"/>
        <v>146.28659682350877</v>
      </c>
      <c r="D138" s="841">
        <f t="shared" si="110"/>
        <v>143.88316047914236</v>
      </c>
      <c r="E138" s="841">
        <f t="shared" si="110"/>
        <v>139.96848823112288</v>
      </c>
      <c r="F138" s="4">
        <v>136.22</v>
      </c>
      <c r="G138" s="841">
        <f t="shared" si="115"/>
        <v>133.88095996218098</v>
      </c>
      <c r="H138" s="841">
        <f t="shared" ref="H138:Q138" si="123">G138*H781</f>
        <v>133.49354347279089</v>
      </c>
      <c r="I138" s="841">
        <f t="shared" si="123"/>
        <v>134.80431990606246</v>
      </c>
      <c r="J138" s="841">
        <f t="shared" si="123"/>
        <v>137.32927831278445</v>
      </c>
      <c r="K138" s="841">
        <f t="shared" si="123"/>
        <v>140.24788510953019</v>
      </c>
      <c r="L138" s="841">
        <f t="shared" si="123"/>
        <v>143.06470419592679</v>
      </c>
      <c r="M138" s="841">
        <f t="shared" si="123"/>
        <v>145.50760924430611</v>
      </c>
      <c r="N138" s="841">
        <f t="shared" si="123"/>
        <v>148.08553880641392</v>
      </c>
      <c r="O138" s="841">
        <f t="shared" si="123"/>
        <v>151.97736075211012</v>
      </c>
      <c r="P138" s="841">
        <f t="shared" si="123"/>
        <v>158.78259624402401</v>
      </c>
      <c r="Q138" s="842">
        <f t="shared" si="123"/>
        <v>169.57417084124401</v>
      </c>
    </row>
    <row r="139" spans="1:17">
      <c r="A139" s="481">
        <v>72</v>
      </c>
      <c r="B139" s="841">
        <f t="shared" si="110"/>
        <v>147.66309662598482</v>
      </c>
      <c r="C139" s="841">
        <f t="shared" si="110"/>
        <v>148.39716423259708</v>
      </c>
      <c r="D139" s="841">
        <f t="shared" si="110"/>
        <v>145.73077160269671</v>
      </c>
      <c r="E139" s="841">
        <f t="shared" si="110"/>
        <v>141.12881541594962</v>
      </c>
      <c r="F139" s="4">
        <v>136.74600000000001</v>
      </c>
      <c r="G139" s="841">
        <f t="shared" si="115"/>
        <v>134.14005999652653</v>
      </c>
      <c r="H139" s="841">
        <f t="shared" ref="H139:Q139" si="124">G139*H782</f>
        <v>134.01051865418319</v>
      </c>
      <c r="I139" s="841">
        <f t="shared" si="124"/>
        <v>135.93528709916797</v>
      </c>
      <c r="J139" s="841">
        <f t="shared" si="124"/>
        <v>139.02592762524279</v>
      </c>
      <c r="K139" s="841">
        <f t="shared" si="124"/>
        <v>141.89418884696153</v>
      </c>
      <c r="L139" s="841">
        <f t="shared" si="124"/>
        <v>143.65703061401709</v>
      </c>
      <c r="M139" s="841">
        <f t="shared" si="124"/>
        <v>143.88372796311796</v>
      </c>
      <c r="N139" s="841">
        <f t="shared" si="124"/>
        <v>143.29431485545578</v>
      </c>
      <c r="O139" s="841">
        <f t="shared" si="124"/>
        <v>143.55879509607342</v>
      </c>
      <c r="P139" s="841">
        <f t="shared" si="124"/>
        <v>146.97005044444796</v>
      </c>
      <c r="Q139" s="842">
        <f t="shared" si="124"/>
        <v>155.10308772123719</v>
      </c>
    </row>
    <row r="140" spans="1:17">
      <c r="A140" s="481">
        <v>73</v>
      </c>
      <c r="B140" s="841">
        <f t="shared" si="110"/>
        <v>111.1184434535708</v>
      </c>
      <c r="C140" s="841">
        <f t="shared" si="110"/>
        <v>112.47604044450608</v>
      </c>
      <c r="D140" s="841">
        <f t="shared" si="110"/>
        <v>111.49526364400347</v>
      </c>
      <c r="E140" s="841">
        <f t="shared" si="110"/>
        <v>109.09945305679527</v>
      </c>
      <c r="F140" s="4">
        <v>106.661</v>
      </c>
      <c r="G140" s="841">
        <f t="shared" si="115"/>
        <v>105.18243763615448</v>
      </c>
      <c r="H140" s="841">
        <f t="shared" ref="H140:Q140" si="125">G140*H783</f>
        <v>105.11281727764498</v>
      </c>
      <c r="I140" s="841">
        <f t="shared" si="125"/>
        <v>106.19106258006086</v>
      </c>
      <c r="J140" s="841">
        <f t="shared" si="125"/>
        <v>107.85934042084477</v>
      </c>
      <c r="K140" s="841">
        <f t="shared" si="125"/>
        <v>109.24652606414658</v>
      </c>
      <c r="L140" s="841">
        <f t="shared" si="125"/>
        <v>109.82089402184995</v>
      </c>
      <c r="M140" s="841">
        <f t="shared" si="125"/>
        <v>109.31440591369332</v>
      </c>
      <c r="N140" s="841">
        <f t="shared" si="125"/>
        <v>108.23616061127743</v>
      </c>
      <c r="O140" s="841">
        <f t="shared" si="125"/>
        <v>107.74794784722954</v>
      </c>
      <c r="P140" s="841">
        <f t="shared" si="125"/>
        <v>109.43624154108493</v>
      </c>
      <c r="Q140" s="842">
        <f t="shared" si="125"/>
        <v>114.40539462970057</v>
      </c>
    </row>
    <row r="141" spans="1:17">
      <c r="A141" s="481">
        <v>74</v>
      </c>
      <c r="B141" s="841">
        <f t="shared" si="110"/>
        <v>110.35688805503966</v>
      </c>
      <c r="C141" s="841">
        <f t="shared" si="110"/>
        <v>112.92588905115649</v>
      </c>
      <c r="D141" s="841">
        <f t="shared" si="110"/>
        <v>113.98145918453486</v>
      </c>
      <c r="E141" s="841">
        <f t="shared" si="110"/>
        <v>113.94314447914907</v>
      </c>
      <c r="F141" s="4">
        <v>113.46899999999999</v>
      </c>
      <c r="G141" s="841">
        <f t="shared" si="115"/>
        <v>113.05424331419889</v>
      </c>
      <c r="H141" s="841">
        <f t="shared" ref="H141:Q141" si="126">G141*H784</f>
        <v>112.9258890511565</v>
      </c>
      <c r="I141" s="841">
        <f t="shared" si="126"/>
        <v>113.01497074117844</v>
      </c>
      <c r="J141" s="841">
        <f t="shared" si="126"/>
        <v>113.2007970622995</v>
      </c>
      <c r="K141" s="841">
        <f t="shared" si="126"/>
        <v>113.25635338510889</v>
      </c>
      <c r="L141" s="841">
        <f t="shared" si="126"/>
        <v>113.09447375485395</v>
      </c>
      <c r="M141" s="841">
        <f t="shared" si="126"/>
        <v>112.65768611345601</v>
      </c>
      <c r="N141" s="841">
        <f t="shared" si="126"/>
        <v>112.26112891271315</v>
      </c>
      <c r="O141" s="841">
        <f t="shared" si="126"/>
        <v>112.61649780516629</v>
      </c>
      <c r="P141" s="841">
        <f t="shared" si="126"/>
        <v>114.66154520513253</v>
      </c>
      <c r="Q141" s="842">
        <f t="shared" si="126"/>
        <v>119.06486272159378</v>
      </c>
    </row>
    <row r="142" spans="1:17">
      <c r="A142" s="481">
        <v>75</v>
      </c>
      <c r="B142" s="841">
        <f t="shared" si="110"/>
        <v>92.702984503318206</v>
      </c>
      <c r="C142" s="841">
        <f t="shared" si="110"/>
        <v>96.088594634821121</v>
      </c>
      <c r="D142" s="841">
        <f t="shared" si="110"/>
        <v>98.938546778966526</v>
      </c>
      <c r="E142" s="841">
        <f t="shared" si="110"/>
        <v>101.15667414943354</v>
      </c>
      <c r="F142" s="4">
        <v>102.654</v>
      </c>
      <c r="G142" s="841">
        <f t="shared" si="115"/>
        <v>103.40266292528324</v>
      </c>
      <c r="H142" s="841">
        <f t="shared" ref="H142:Q142" si="127">G142*H785</f>
        <v>103.38828284508571</v>
      </c>
      <c r="I142" s="841">
        <f t="shared" si="127"/>
        <v>102.72320413595055</v>
      </c>
      <c r="J142" s="841">
        <f t="shared" si="127"/>
        <v>101.6815470766429</v>
      </c>
      <c r="K142" s="841">
        <f t="shared" si="127"/>
        <v>100.63090246721181</v>
      </c>
      <c r="L142" s="841">
        <f t="shared" si="127"/>
        <v>99.882239541928584</v>
      </c>
      <c r="M142" s="841">
        <f t="shared" si="127"/>
        <v>99.576662837731348</v>
      </c>
      <c r="N142" s="841">
        <f t="shared" si="127"/>
        <v>99.805845365879279</v>
      </c>
      <c r="O142" s="841">
        <f t="shared" si="127"/>
        <v>100.77650077921167</v>
      </c>
      <c r="P142" s="841">
        <f t="shared" si="127"/>
        <v>102.70612779071598</v>
      </c>
      <c r="Q142" s="842">
        <f t="shared" si="127"/>
        <v>105.77986993293526</v>
      </c>
    </row>
    <row r="143" spans="1:17">
      <c r="A143" s="481">
        <v>76</v>
      </c>
      <c r="B143" s="841">
        <f t="shared" si="110"/>
        <v>92.662857565177944</v>
      </c>
      <c r="C143" s="841">
        <f t="shared" si="110"/>
        <v>97.725999746089315</v>
      </c>
      <c r="D143" s="841">
        <f t="shared" si="110"/>
        <v>103.25908652006348</v>
      </c>
      <c r="E143" s="841">
        <f t="shared" si="110"/>
        <v>108.55413614146453</v>
      </c>
      <c r="F143" s="4">
        <v>112.65900000000001</v>
      </c>
      <c r="G143" s="841">
        <f t="shared" si="115"/>
        <v>114.94231775107687</v>
      </c>
      <c r="H143" s="841">
        <f t="shared" ref="H143:Q143" si="128">G143*H786</f>
        <v>115.10986321469056</v>
      </c>
      <c r="I143" s="841">
        <f t="shared" si="128"/>
        <v>113.5069435048742</v>
      </c>
      <c r="J143" s="841">
        <f t="shared" si="128"/>
        <v>110.91714014962595</v>
      </c>
      <c r="K143" s="841">
        <f t="shared" si="128"/>
        <v>108.47547150306056</v>
      </c>
      <c r="L143" s="841">
        <f t="shared" si="128"/>
        <v>107.02375135796873</v>
      </c>
      <c r="M143" s="841">
        <f t="shared" si="128"/>
        <v>106.95734614373161</v>
      </c>
      <c r="N143" s="841">
        <f t="shared" si="128"/>
        <v>108.13016438902746</v>
      </c>
      <c r="O143" s="841">
        <f t="shared" si="128"/>
        <v>110.19996383586491</v>
      </c>
      <c r="P143" s="841">
        <f t="shared" si="128"/>
        <v>112.59157316708233</v>
      </c>
      <c r="Q143" s="842">
        <f t="shared" si="128"/>
        <v>114.96172850600773</v>
      </c>
    </row>
    <row r="144" spans="1:17">
      <c r="A144" s="481">
        <v>77</v>
      </c>
      <c r="B144" s="841">
        <f t="shared" si="110"/>
        <v>56.553112481257912</v>
      </c>
      <c r="C144" s="841">
        <f t="shared" si="110"/>
        <v>60.479080821575465</v>
      </c>
      <c r="D144" s="841">
        <f t="shared" si="110"/>
        <v>65.198052170235655</v>
      </c>
      <c r="E144" s="841">
        <f t="shared" si="110"/>
        <v>69.991567221560089</v>
      </c>
      <c r="F144" s="4">
        <v>73.864999999999995</v>
      </c>
      <c r="G144" s="841">
        <f t="shared" si="115"/>
        <v>76.142487601399409</v>
      </c>
      <c r="H144" s="841">
        <f t="shared" ref="H144:Q144" si="129">G144*H787</f>
        <v>76.517335934796819</v>
      </c>
      <c r="I144" s="841">
        <f t="shared" si="129"/>
        <v>75.297658971204498</v>
      </c>
      <c r="J144" s="841">
        <f t="shared" si="129"/>
        <v>73.188427155818701</v>
      </c>
      <c r="K144" s="841">
        <f t="shared" si="129"/>
        <v>71.213374005228573</v>
      </c>
      <c r="L144" s="841">
        <f t="shared" si="129"/>
        <v>70.115096785975183</v>
      </c>
      <c r="M144" s="841">
        <f t="shared" si="129"/>
        <v>70.246435690669344</v>
      </c>
      <c r="N144" s="841">
        <f t="shared" si="129"/>
        <v>71.410737332282508</v>
      </c>
      <c r="O144" s="841">
        <f t="shared" si="129"/>
        <v>73.14583075429627</v>
      </c>
      <c r="P144" s="841">
        <f t="shared" si="129"/>
        <v>74.736806351159146</v>
      </c>
      <c r="Q144" s="842">
        <f t="shared" si="129"/>
        <v>75.737111846910935</v>
      </c>
    </row>
    <row r="145" spans="1:17">
      <c r="A145" s="481">
        <v>78</v>
      </c>
      <c r="B145" s="841">
        <f t="shared" si="110"/>
        <v>56.437230222994749</v>
      </c>
      <c r="C145" s="841">
        <f t="shared" si="110"/>
        <v>60.491988436917083</v>
      </c>
      <c r="D145" s="841">
        <f t="shared" si="110"/>
        <v>65.409798096489737</v>
      </c>
      <c r="E145" s="841">
        <f t="shared" si="110"/>
        <v>70.477256125996277</v>
      </c>
      <c r="F145" s="4">
        <v>74.706999999999994</v>
      </c>
      <c r="G145" s="841">
        <f t="shared" si="115"/>
        <v>77.419673626420206</v>
      </c>
      <c r="H145" s="841">
        <f t="shared" ref="H145:Q145" si="130">G145*H788</f>
        <v>78.319147426657608</v>
      </c>
      <c r="I145" s="841">
        <f t="shared" si="130"/>
        <v>77.696008447091728</v>
      </c>
      <c r="J145" s="841">
        <f t="shared" si="130"/>
        <v>76.17022850602001</v>
      </c>
      <c r="K145" s="841">
        <f t="shared" si="130"/>
        <v>74.661076161607596</v>
      </c>
      <c r="L145" s="841">
        <f t="shared" si="130"/>
        <v>73.832071699593016</v>
      </c>
      <c r="M145" s="841">
        <f t="shared" si="130"/>
        <v>74.00705735967442</v>
      </c>
      <c r="N145" s="841">
        <f t="shared" si="130"/>
        <v>75.007880320501954</v>
      </c>
      <c r="O145" s="841">
        <f t="shared" si="130"/>
        <v>76.415683504324249</v>
      </c>
      <c r="P145" s="841">
        <f t="shared" si="130"/>
        <v>77.578031689842305</v>
      </c>
      <c r="Q145" s="842">
        <f t="shared" si="130"/>
        <v>78.097446137866726</v>
      </c>
    </row>
    <row r="146" spans="1:17">
      <c r="A146" s="481">
        <v>79</v>
      </c>
      <c r="B146" s="841">
        <f t="shared" si="110"/>
        <v>105.11409312270585</v>
      </c>
      <c r="C146" s="841">
        <f t="shared" si="110"/>
        <v>111.77301476734466</v>
      </c>
      <c r="D146" s="841">
        <f t="shared" si="110"/>
        <v>119.43963263352998</v>
      </c>
      <c r="E146" s="841">
        <f t="shared" si="110"/>
        <v>127.28503531321549</v>
      </c>
      <c r="F146" s="4">
        <v>134.16499999999999</v>
      </c>
      <c r="G146" s="841">
        <f t="shared" si="115"/>
        <v>139.27499503313265</v>
      </c>
      <c r="H146" s="841">
        <f t="shared" ref="H146:Q146" si="131">G146*H789</f>
        <v>142.31596217912221</v>
      </c>
      <c r="I146" s="841">
        <f t="shared" si="131"/>
        <v>143.58045840551443</v>
      </c>
      <c r="J146" s="841">
        <f t="shared" si="131"/>
        <v>143.60158751983715</v>
      </c>
      <c r="K146" s="841">
        <f t="shared" si="131"/>
        <v>143.18225586635492</v>
      </c>
      <c r="L146" s="841">
        <f t="shared" si="131"/>
        <v>142.93683307691376</v>
      </c>
      <c r="M146" s="841">
        <f t="shared" si="131"/>
        <v>143.17737991689583</v>
      </c>
      <c r="N146" s="841">
        <f t="shared" si="131"/>
        <v>143.8177546125238</v>
      </c>
      <c r="O146" s="841">
        <f t="shared" si="131"/>
        <v>144.61741032381553</v>
      </c>
      <c r="P146" s="841">
        <f t="shared" si="131"/>
        <v>145.16514197972066</v>
      </c>
      <c r="Q146" s="842">
        <f t="shared" si="131"/>
        <v>145.27403818430716</v>
      </c>
    </row>
    <row r="147" spans="1:17">
      <c r="A147" s="481">
        <v>80</v>
      </c>
      <c r="B147" s="841">
        <f t="shared" ref="B147:E165" si="132">C147/C790</f>
        <v>68.304174792232061</v>
      </c>
      <c r="C147" s="841">
        <f t="shared" si="132"/>
        <v>72.026824476537328</v>
      </c>
      <c r="D147" s="841">
        <f t="shared" si="132"/>
        <v>76.060582157973926</v>
      </c>
      <c r="E147" s="841">
        <f t="shared" si="132"/>
        <v>80.190156370846395</v>
      </c>
      <c r="F147" s="4">
        <v>84.120999999999995</v>
      </c>
      <c r="G147" s="841">
        <f t="shared" si="115"/>
        <v>87.629541138750994</v>
      </c>
      <c r="H147" s="841">
        <f t="shared" ref="H147:Q147" si="133">G147*H790</f>
        <v>90.687389703711005</v>
      </c>
      <c r="I147" s="841">
        <f t="shared" si="133"/>
        <v>93.325301618550768</v>
      </c>
      <c r="J147" s="841">
        <f t="shared" si="133"/>
        <v>95.454557872681519</v>
      </c>
      <c r="K147" s="841">
        <f t="shared" si="133"/>
        <v>96.985256535373281</v>
      </c>
      <c r="L147" s="841">
        <f t="shared" si="133"/>
        <v>97.889007523237652</v>
      </c>
      <c r="M147" s="841">
        <f t="shared" si="133"/>
        <v>98.16817667655701</v>
      </c>
      <c r="N147" s="841">
        <f t="shared" si="133"/>
        <v>97.931592648320262</v>
      </c>
      <c r="O147" s="841">
        <f t="shared" si="133"/>
        <v>97.372071421540355</v>
      </c>
      <c r="P147" s="841">
        <f t="shared" si="133"/>
        <v>96.752221267560074</v>
      </c>
      <c r="Q147" s="842">
        <f t="shared" si="133"/>
        <v>96.309809134757359</v>
      </c>
    </row>
    <row r="148" spans="1:17">
      <c r="A148" s="481">
        <v>81</v>
      </c>
      <c r="B148" s="841">
        <f t="shared" si="132"/>
        <v>57.993490723312732</v>
      </c>
      <c r="C148" s="841">
        <f t="shared" si="132"/>
        <v>60.400020233933866</v>
      </c>
      <c r="D148" s="841">
        <f t="shared" si="132"/>
        <v>62.684743378596409</v>
      </c>
      <c r="E148" s="841">
        <f t="shared" si="132"/>
        <v>65.042322667383715</v>
      </c>
      <c r="F148" s="4">
        <v>67.738</v>
      </c>
      <c r="G148" s="841">
        <f t="shared" si="115"/>
        <v>70.920902796450662</v>
      </c>
      <c r="H148" s="841">
        <f t="shared" ref="H148:Q148" si="134">G148*H791</f>
        <v>74.756095758268359</v>
      </c>
      <c r="I148" s="841">
        <f t="shared" si="134"/>
        <v>79.085344447432107</v>
      </c>
      <c r="J148" s="841">
        <f t="shared" si="134"/>
        <v>83.345152124226956</v>
      </c>
      <c r="K148" s="841">
        <f t="shared" si="134"/>
        <v>86.760283880075292</v>
      </c>
      <c r="L148" s="841">
        <f t="shared" si="134"/>
        <v>88.808224556332362</v>
      </c>
      <c r="M148" s="841">
        <f t="shared" si="134"/>
        <v>89.272682475127738</v>
      </c>
      <c r="N148" s="841">
        <f t="shared" si="134"/>
        <v>88.42117629066955</v>
      </c>
      <c r="O148" s="841">
        <f t="shared" si="134"/>
        <v>86.826309760688375</v>
      </c>
      <c r="P148" s="841">
        <f t="shared" si="134"/>
        <v>85.308852883839748</v>
      </c>
      <c r="Q148" s="842">
        <f t="shared" si="134"/>
        <v>84.488082885184198</v>
      </c>
    </row>
    <row r="149" spans="1:17">
      <c r="A149" s="481">
        <v>82</v>
      </c>
      <c r="B149" s="841">
        <f t="shared" si="132"/>
        <v>66.523835446109075</v>
      </c>
      <c r="C149" s="841">
        <f t="shared" si="132"/>
        <v>68.570722690604725</v>
      </c>
      <c r="D149" s="841">
        <f t="shared" si="132"/>
        <v>70.087157457390674</v>
      </c>
      <c r="E149" s="841">
        <f t="shared" si="132"/>
        <v>71.665028810578036</v>
      </c>
      <c r="F149" s="4">
        <v>74.114999999999995</v>
      </c>
      <c r="G149" s="841">
        <f t="shared" si="115"/>
        <v>77.942049796809599</v>
      </c>
      <c r="H149" s="841">
        <f t="shared" ref="H149:Q149" si="135">G149*H792</f>
        <v>83.523788439376474</v>
      </c>
      <c r="I149" s="841">
        <f t="shared" si="135"/>
        <v>90.499088675926487</v>
      </c>
      <c r="J149" s="841">
        <f t="shared" si="135"/>
        <v>97.763590404561157</v>
      </c>
      <c r="K149" s="841">
        <f t="shared" si="135"/>
        <v>103.78137896524534</v>
      </c>
      <c r="L149" s="841">
        <f t="shared" si="135"/>
        <v>107.49454630921331</v>
      </c>
      <c r="M149" s="841">
        <f t="shared" si="135"/>
        <v>108.4490610784254</v>
      </c>
      <c r="N149" s="841">
        <f t="shared" si="135"/>
        <v>107.11393916418996</v>
      </c>
      <c r="O149" s="841">
        <f t="shared" si="135"/>
        <v>104.4901473888518</v>
      </c>
      <c r="P149" s="841">
        <f t="shared" si="135"/>
        <v>102.05066537271787</v>
      </c>
      <c r="Q149" s="842">
        <f t="shared" si="135"/>
        <v>100.85789652453447</v>
      </c>
    </row>
    <row r="150" spans="1:17">
      <c r="A150" s="481">
        <v>83</v>
      </c>
      <c r="B150" s="841">
        <f t="shared" si="132"/>
        <v>37.135394767483305</v>
      </c>
      <c r="C150" s="841">
        <f t="shared" si="132"/>
        <v>38.2604725898819</v>
      </c>
      <c r="D150" s="841">
        <f t="shared" si="132"/>
        <v>39.03041715181903</v>
      </c>
      <c r="E150" s="841">
        <f t="shared" si="132"/>
        <v>39.825798255827763</v>
      </c>
      <c r="F150" s="4">
        <v>41.170999999999999</v>
      </c>
      <c r="G150" s="841">
        <f t="shared" si="115"/>
        <v>43.400610745431649</v>
      </c>
      <c r="H150" s="841">
        <f t="shared" ref="H150:Q150" si="136">G150*H793</f>
        <v>46.733776085355132</v>
      </c>
      <c r="I150" s="841">
        <f t="shared" si="136"/>
        <v>50.951350426538035</v>
      </c>
      <c r="J150" s="841">
        <f t="shared" si="136"/>
        <v>55.403723617612819</v>
      </c>
      <c r="K150" s="841">
        <f t="shared" si="136"/>
        <v>59.183006772330877</v>
      </c>
      <c r="L150" s="841">
        <f t="shared" si="136"/>
        <v>61.660134638690224</v>
      </c>
      <c r="M150" s="841">
        <f t="shared" si="136"/>
        <v>62.571936839103692</v>
      </c>
      <c r="N150" s="841">
        <f t="shared" si="136"/>
        <v>62.178648765534788</v>
      </c>
      <c r="O150" s="841">
        <f t="shared" si="136"/>
        <v>61.020307772734846</v>
      </c>
      <c r="P150" s="841">
        <f t="shared" si="136"/>
        <v>59.89327329325382</v>
      </c>
      <c r="Q150" s="842">
        <f t="shared" si="136"/>
        <v>59.375737494950471</v>
      </c>
    </row>
    <row r="151" spans="1:17">
      <c r="A151" s="481">
        <v>84</v>
      </c>
      <c r="B151" s="841">
        <f t="shared" si="132"/>
        <v>45.539588537679087</v>
      </c>
      <c r="C151" s="841">
        <f t="shared" si="132"/>
        <v>47.359509788909534</v>
      </c>
      <c r="D151" s="841">
        <f t="shared" si="132"/>
        <v>48.85843705567099</v>
      </c>
      <c r="E151" s="841">
        <f t="shared" si="132"/>
        <v>50.383158481898711</v>
      </c>
      <c r="F151" s="4">
        <v>52.408000000000001</v>
      </c>
      <c r="G151" s="841">
        <f t="shared" si="115"/>
        <v>55.236759488132996</v>
      </c>
      <c r="H151" s="841">
        <f t="shared" ref="H151:Q151" si="137">G151*H794</f>
        <v>59.054295089139224</v>
      </c>
      <c r="I151" s="841">
        <f t="shared" si="137"/>
        <v>63.654253527288631</v>
      </c>
      <c r="J151" s="841">
        <f t="shared" si="137"/>
        <v>68.474895329760457</v>
      </c>
      <c r="K151" s="841">
        <f t="shared" si="137"/>
        <v>72.72519960625614</v>
      </c>
      <c r="L151" s="841">
        <f t="shared" si="137"/>
        <v>75.847725910532631</v>
      </c>
      <c r="M151" s="841">
        <f t="shared" si="137"/>
        <v>77.638986984578352</v>
      </c>
      <c r="N151" s="841">
        <f t="shared" si="137"/>
        <v>78.303903095264118</v>
      </c>
      <c r="O151" s="841">
        <f t="shared" si="137"/>
        <v>78.212190528272984</v>
      </c>
      <c r="P151" s="841">
        <f t="shared" si="137"/>
        <v>77.927021765284906</v>
      </c>
      <c r="Q151" s="842">
        <f t="shared" si="137"/>
        <v>77.86110335776003</v>
      </c>
    </row>
    <row r="152" spans="1:17">
      <c r="A152" s="481">
        <v>85</v>
      </c>
      <c r="B152" s="841">
        <f t="shared" si="132"/>
        <v>33.578707954325523</v>
      </c>
      <c r="C152" s="841">
        <f t="shared" si="132"/>
        <v>35.235010644474542</v>
      </c>
      <c r="D152" s="841">
        <f t="shared" si="132"/>
        <v>36.709994484226819</v>
      </c>
      <c r="E152" s="841">
        <f t="shared" si="132"/>
        <v>38.173404780336746</v>
      </c>
      <c r="F152" s="4">
        <v>39.866999999999997</v>
      </c>
      <c r="G152" s="841">
        <f t="shared" si="115"/>
        <v>41.946380007741432</v>
      </c>
      <c r="H152" s="841">
        <f t="shared" ref="H152:Q152" si="138">G152*H795</f>
        <v>44.479700116121535</v>
      </c>
      <c r="I152" s="841">
        <f t="shared" si="138"/>
        <v>47.369228178827164</v>
      </c>
      <c r="J152" s="841">
        <f t="shared" si="138"/>
        <v>50.395066866653757</v>
      </c>
      <c r="K152" s="841">
        <f t="shared" si="138"/>
        <v>53.253732146313133</v>
      </c>
      <c r="L152" s="841">
        <f t="shared" si="138"/>
        <v>55.716325043545567</v>
      </c>
      <c r="M152" s="841">
        <f t="shared" si="138"/>
        <v>57.735265434488085</v>
      </c>
      <c r="N152" s="841">
        <f t="shared" si="138"/>
        <v>59.361991290884454</v>
      </c>
      <c r="O152" s="841">
        <f t="shared" si="138"/>
        <v>60.606790207083421</v>
      </c>
      <c r="P152" s="841">
        <f t="shared" si="138"/>
        <v>61.515956357654346</v>
      </c>
      <c r="Q152" s="842">
        <f t="shared" si="138"/>
        <v>62.133212018579442</v>
      </c>
    </row>
    <row r="153" spans="1:17">
      <c r="A153" s="481">
        <v>86</v>
      </c>
      <c r="B153" s="841">
        <f t="shared" si="132"/>
        <v>30.093199393774537</v>
      </c>
      <c r="C153" s="841">
        <f t="shared" si="132"/>
        <v>31.960237826914859</v>
      </c>
      <c r="D153" s="841">
        <f t="shared" si="132"/>
        <v>33.717704892550429</v>
      </c>
      <c r="E153" s="841">
        <f t="shared" si="132"/>
        <v>35.408852446275212</v>
      </c>
      <c r="F153" s="4">
        <v>37.1</v>
      </c>
      <c r="G153" s="841">
        <f t="shared" si="115"/>
        <v>38.840166323397973</v>
      </c>
      <c r="H153" s="841">
        <f t="shared" ref="H153:Q153" si="139">G153*H796</f>
        <v>40.596191660513739</v>
      </c>
      <c r="I153" s="841">
        <f t="shared" si="139"/>
        <v>42.353658726149298</v>
      </c>
      <c r="J153" s="841">
        <f t="shared" si="139"/>
        <v>44.212046788170831</v>
      </c>
      <c r="K153" s="841">
        <f t="shared" si="139"/>
        <v>46.301111413360275</v>
      </c>
      <c r="L153" s="841">
        <f t="shared" si="139"/>
        <v>48.685730385108606</v>
      </c>
      <c r="M153" s="841">
        <f t="shared" si="139"/>
        <v>51.465382971282004</v>
      </c>
      <c r="N153" s="841">
        <f t="shared" si="139"/>
        <v>54.550682003652888</v>
      </c>
      <c r="O153" s="841">
        <f t="shared" si="139"/>
        <v>57.578311895231785</v>
      </c>
      <c r="P153" s="841">
        <f t="shared" si="139"/>
        <v>60.053759763727498</v>
      </c>
      <c r="Q153" s="842">
        <f t="shared" si="139"/>
        <v>61.648311506625717</v>
      </c>
    </row>
    <row r="154" spans="1:17">
      <c r="A154" s="481">
        <v>87</v>
      </c>
      <c r="B154" s="841">
        <f t="shared" si="132"/>
        <v>26.762622304726548</v>
      </c>
      <c r="C154" s="841">
        <f t="shared" si="132"/>
        <v>28.811835213479934</v>
      </c>
      <c r="D154" s="841">
        <f t="shared" si="132"/>
        <v>30.821734685134942</v>
      </c>
      <c r="E154" s="841">
        <f t="shared" si="132"/>
        <v>32.72024608501119</v>
      </c>
      <c r="F154" s="4">
        <v>34.414000000000001</v>
      </c>
      <c r="G154" s="841">
        <f t="shared" si="115"/>
        <v>35.8685971726403</v>
      </c>
      <c r="H154" s="841">
        <f t="shared" ref="H154:Q154" si="140">G154*H797</f>
        <v>36.954630872483222</v>
      </c>
      <c r="I154" s="841">
        <f t="shared" si="140"/>
        <v>37.737623494692748</v>
      </c>
      <c r="J154" s="841">
        <f t="shared" si="140"/>
        <v>38.582862392308051</v>
      </c>
      <c r="K154" s="841">
        <f t="shared" si="140"/>
        <v>39.985041648817166</v>
      </c>
      <c r="L154" s="841">
        <f t="shared" si="140"/>
        <v>42.261944880765377</v>
      </c>
      <c r="M154" s="841">
        <f t="shared" si="140"/>
        <v>45.636348231710208</v>
      </c>
      <c r="N154" s="841">
        <f t="shared" si="140"/>
        <v>49.895303917368736</v>
      </c>
      <c r="O154" s="841">
        <f t="shared" si="140"/>
        <v>54.378673806463887</v>
      </c>
      <c r="P154" s="841">
        <f t="shared" si="140"/>
        <v>58.157677947546269</v>
      </c>
      <c r="Q154" s="842">
        <f t="shared" si="140"/>
        <v>60.598387167404425</v>
      </c>
    </row>
    <row r="155" spans="1:17">
      <c r="A155" s="481">
        <v>88</v>
      </c>
      <c r="B155" s="841">
        <f t="shared" si="132"/>
        <v>9.7569875261116081</v>
      </c>
      <c r="C155" s="841">
        <f t="shared" si="132"/>
        <v>10.598651984482242</v>
      </c>
      <c r="D155" s="841">
        <f t="shared" si="132"/>
        <v>11.435691912861831</v>
      </c>
      <c r="E155" s="841">
        <f t="shared" si="132"/>
        <v>12.224945031333929</v>
      </c>
      <c r="F155" s="4">
        <v>12.914</v>
      </c>
      <c r="G155" s="841">
        <f t="shared" si="115"/>
        <v>13.472026618919726</v>
      </c>
      <c r="H155" s="841">
        <f t="shared" ref="H155:Q155" si="141">G155*H798</f>
        <v>13.841989018203522</v>
      </c>
      <c r="I155" s="841">
        <f t="shared" si="141"/>
        <v>14.057029662787228</v>
      </c>
      <c r="J155" s="841">
        <f t="shared" si="141"/>
        <v>14.291339182333635</v>
      </c>
      <c r="K155" s="841">
        <f t="shared" si="141"/>
        <v>14.784622381378693</v>
      </c>
      <c r="L155" s="841">
        <f t="shared" si="141"/>
        <v>15.687947239629962</v>
      </c>
      <c r="M155" s="841">
        <f t="shared" si="141"/>
        <v>17.104594926887497</v>
      </c>
      <c r="N155" s="841">
        <f t="shared" si="141"/>
        <v>18.935138048343781</v>
      </c>
      <c r="O155" s="841">
        <f t="shared" si="141"/>
        <v>20.892084989555361</v>
      </c>
      <c r="P155" s="841">
        <f t="shared" si="141"/>
        <v>22.571560131304093</v>
      </c>
      <c r="Q155" s="842">
        <f t="shared" si="141"/>
        <v>23.694550164130117</v>
      </c>
    </row>
    <row r="156" spans="1:17">
      <c r="A156" s="481">
        <v>89</v>
      </c>
      <c r="B156" s="841">
        <f t="shared" si="132"/>
        <v>30.395620177127444</v>
      </c>
      <c r="C156" s="841">
        <f t="shared" si="132"/>
        <v>33.116070542934146</v>
      </c>
      <c r="D156" s="841">
        <f t="shared" si="132"/>
        <v>35.808280939545625</v>
      </c>
      <c r="E156" s="841">
        <f t="shared" si="132"/>
        <v>38.387531459376198</v>
      </c>
      <c r="F156" s="4">
        <v>40.744</v>
      </c>
      <c r="G156" s="841">
        <f t="shared" si="115"/>
        <v>42.830619946091652</v>
      </c>
      <c r="H156" s="841">
        <f t="shared" ref="H156:Q156" si="142">G156*H799</f>
        <v>44.50305367731999</v>
      </c>
      <c r="I156" s="841">
        <f t="shared" si="142"/>
        <v>45.8334700038506</v>
      </c>
      <c r="J156" s="841">
        <f t="shared" si="142"/>
        <v>47.245468463611864</v>
      </c>
      <c r="K156" s="841">
        <f t="shared" si="142"/>
        <v>49.313261763573358</v>
      </c>
      <c r="L156" s="841">
        <f t="shared" si="142"/>
        <v>52.416520600693111</v>
      </c>
      <c r="M156" s="841">
        <f t="shared" si="142"/>
        <v>56.784302502887961</v>
      </c>
      <c r="N156" s="841">
        <f t="shared" si="142"/>
        <v>62.17186107046593</v>
      </c>
      <c r="O156" s="841">
        <f t="shared" si="142"/>
        <v>67.866921524836357</v>
      </c>
      <c r="P156" s="841">
        <f t="shared" si="142"/>
        <v>72.871671621101271</v>
      </c>
      <c r="Q156" s="842">
        <f t="shared" si="142"/>
        <v>76.489525452445122</v>
      </c>
    </row>
    <row r="157" spans="1:17">
      <c r="A157" s="481">
        <v>90</v>
      </c>
      <c r="B157" s="841">
        <f t="shared" si="132"/>
        <v>11.834532710280374</v>
      </c>
      <c r="C157" s="841">
        <f t="shared" si="132"/>
        <v>12.982296395193591</v>
      </c>
      <c r="D157" s="841">
        <f t="shared" si="132"/>
        <v>14.130060080106809</v>
      </c>
      <c r="E157" s="841">
        <f t="shared" si="132"/>
        <v>15.251014686248332</v>
      </c>
      <c r="F157" s="4">
        <v>16.315000000000001</v>
      </c>
      <c r="G157" s="841">
        <f t="shared" si="115"/>
        <v>17.301909212283046</v>
      </c>
      <c r="H157" s="841">
        <f t="shared" ref="H157:Q157" si="143">G157*H800</f>
        <v>18.17152870493992</v>
      </c>
      <c r="I157" s="841">
        <f t="shared" si="143"/>
        <v>18.94061415220294</v>
      </c>
      <c r="J157" s="841">
        <f t="shared" si="143"/>
        <v>19.731481975967959</v>
      </c>
      <c r="K157" s="841">
        <f t="shared" si="143"/>
        <v>20.710013351134851</v>
      </c>
      <c r="L157" s="841">
        <f t="shared" si="143"/>
        <v>21.985120160213626</v>
      </c>
      <c r="M157" s="841">
        <f t="shared" si="143"/>
        <v>23.615447263017362</v>
      </c>
      <c r="N157" s="841">
        <f t="shared" si="143"/>
        <v>25.527269692923902</v>
      </c>
      <c r="O157" s="841">
        <f t="shared" si="143"/>
        <v>27.541301735647536</v>
      </c>
      <c r="P157" s="841">
        <f t="shared" si="143"/>
        <v>29.406208277703612</v>
      </c>
      <c r="Q157" s="842">
        <f t="shared" si="143"/>
        <v>30.939352469959957</v>
      </c>
    </row>
    <row r="158" spans="1:17">
      <c r="A158" s="481">
        <v>91</v>
      </c>
      <c r="B158" s="841">
        <f t="shared" si="132"/>
        <v>13.025679215346891</v>
      </c>
      <c r="C158" s="841">
        <f t="shared" si="132"/>
        <v>14.451808740804845</v>
      </c>
      <c r="D158" s="841">
        <f t="shared" si="132"/>
        <v>15.924205827203231</v>
      </c>
      <c r="E158" s="841">
        <f t="shared" si="132"/>
        <v>17.410211019760567</v>
      </c>
      <c r="F158" s="4">
        <v>18.869</v>
      </c>
      <c r="G158" s="841">
        <f t="shared" si="115"/>
        <v>20.286964661762582</v>
      </c>
      <c r="H158" s="841">
        <f t="shared" ref="H158:Q158" si="144">G158*H801</f>
        <v>21.636888792730417</v>
      </c>
      <c r="I158" s="841">
        <f t="shared" si="144"/>
        <v>22.932380499062454</v>
      </c>
      <c r="J158" s="841">
        <f t="shared" si="144"/>
        <v>24.206099235540169</v>
      </c>
      <c r="K158" s="841">
        <f t="shared" si="144"/>
        <v>25.507034184335783</v>
      </c>
      <c r="L158" s="841">
        <f t="shared" si="144"/>
        <v>26.873288042694362</v>
      </c>
      <c r="M158" s="841">
        <f t="shared" si="144"/>
        <v>28.285809461993367</v>
      </c>
      <c r="N158" s="841">
        <f t="shared" si="144"/>
        <v>29.733711957305641</v>
      </c>
      <c r="O158" s="841">
        <f t="shared" si="144"/>
        <v>31.26870633203519</v>
      </c>
      <c r="P158" s="841">
        <f t="shared" si="144"/>
        <v>32.94250338958603</v>
      </c>
      <c r="Q158" s="842">
        <f t="shared" si="144"/>
        <v>34.787762584739646</v>
      </c>
    </row>
    <row r="159" spans="1:17">
      <c r="A159" s="481">
        <v>92</v>
      </c>
      <c r="B159" s="841">
        <f t="shared" si="132"/>
        <v>3.1697318364753233</v>
      </c>
      <c r="C159" s="841">
        <f t="shared" si="132"/>
        <v>3.5727167972887104</v>
      </c>
      <c r="D159" s="841">
        <f t="shared" si="132"/>
        <v>4.003816987926287</v>
      </c>
      <c r="E159" s="841">
        <f t="shared" si="132"/>
        <v>4.4526193603050199</v>
      </c>
      <c r="F159" s="4">
        <v>4.9160000000000004</v>
      </c>
      <c r="G159" s="841">
        <f t="shared" si="115"/>
        <v>5.3825045541198895</v>
      </c>
      <c r="H159" s="841">
        <f t="shared" ref="H159:Q159" si="145">G159*H802</f>
        <v>5.8625460707477224</v>
      </c>
      <c r="I159" s="841">
        <f t="shared" si="145"/>
        <v>6.3488354162253753</v>
      </c>
      <c r="J159" s="841">
        <f t="shared" si="145"/>
        <v>6.8132573607286577</v>
      </c>
      <c r="K159" s="841">
        <f t="shared" si="145"/>
        <v>7.215201016733741</v>
      </c>
      <c r="L159" s="841">
        <f t="shared" si="145"/>
        <v>7.5317576784579519</v>
      </c>
      <c r="M159" s="841">
        <f t="shared" si="145"/>
        <v>7.7285642872272797</v>
      </c>
      <c r="N159" s="841">
        <f t="shared" si="145"/>
        <v>7.828529548824398</v>
      </c>
      <c r="O159" s="841">
        <f t="shared" si="145"/>
        <v>7.9337013344630343</v>
      </c>
      <c r="P159" s="841">
        <f t="shared" si="145"/>
        <v>8.1888210124973497</v>
      </c>
      <c r="Q159" s="842">
        <f t="shared" si="145"/>
        <v>8.6834407964414311</v>
      </c>
    </row>
    <row r="160" spans="1:17">
      <c r="A160" s="481">
        <v>93</v>
      </c>
      <c r="B160" s="841">
        <f t="shared" si="132"/>
        <v>6.0955345812182715</v>
      </c>
      <c r="C160" s="841">
        <f t="shared" si="132"/>
        <v>7.0155539340101498</v>
      </c>
      <c r="D160" s="841">
        <f t="shared" si="132"/>
        <v>8.0265999365482212</v>
      </c>
      <c r="E160" s="841">
        <f t="shared" si="132"/>
        <v>9.1124178299492371</v>
      </c>
      <c r="F160" s="4">
        <v>10.247</v>
      </c>
      <c r="G160" s="841">
        <f t="shared" si="115"/>
        <v>11.410840736040608</v>
      </c>
      <c r="H160" s="841">
        <f t="shared" ref="H160:Q160" si="146">G160*H803</f>
        <v>12.626696700507614</v>
      </c>
      <c r="I160" s="841">
        <f t="shared" si="146"/>
        <v>13.881564086294414</v>
      </c>
      <c r="J160" s="841">
        <f t="shared" si="146"/>
        <v>15.064910532994926</v>
      </c>
      <c r="K160" s="841">
        <f t="shared" si="146"/>
        <v>16.03369416243655</v>
      </c>
      <c r="L160" s="841">
        <f t="shared" si="146"/>
        <v>16.706641180203047</v>
      </c>
      <c r="M160" s="841">
        <f t="shared" si="146"/>
        <v>16.969968274111675</v>
      </c>
      <c r="N160" s="841">
        <f t="shared" si="146"/>
        <v>16.895196383248734</v>
      </c>
      <c r="O160" s="841">
        <f t="shared" si="146"/>
        <v>16.830177347715736</v>
      </c>
      <c r="P160" s="841">
        <f t="shared" si="146"/>
        <v>17.230044416243658</v>
      </c>
      <c r="Q160" s="842">
        <f t="shared" si="146"/>
        <v>18.410139911167519</v>
      </c>
    </row>
    <row r="161" spans="1:18">
      <c r="A161" s="481">
        <v>94</v>
      </c>
      <c r="B161" s="841">
        <f t="shared" si="132"/>
        <v>5.0542900763358771</v>
      </c>
      <c r="C161" s="841">
        <f t="shared" si="132"/>
        <v>5.9493206106870229</v>
      </c>
      <c r="D161" s="841">
        <f t="shared" si="132"/>
        <v>6.9671984732824424</v>
      </c>
      <c r="E161" s="841">
        <f t="shared" si="132"/>
        <v>8.0640496183206096</v>
      </c>
      <c r="F161" s="4">
        <v>9.1959999999999997</v>
      </c>
      <c r="G161" s="841">
        <f t="shared" si="115"/>
        <v>10.327950381679388</v>
      </c>
      <c r="H161" s="841">
        <f t="shared" ref="H161:Q161" si="147">G161*H804</f>
        <v>11.473062977099236</v>
      </c>
      <c r="I161" s="841">
        <f t="shared" si="147"/>
        <v>12.63133778625954</v>
      </c>
      <c r="J161" s="841">
        <f t="shared" si="147"/>
        <v>13.732576335877861</v>
      </c>
      <c r="K161" s="841">
        <f t="shared" si="147"/>
        <v>14.693417938931297</v>
      </c>
      <c r="L161" s="841">
        <f t="shared" si="147"/>
        <v>15.469988549618318</v>
      </c>
      <c r="M161" s="841">
        <f t="shared" si="147"/>
        <v>15.970152671755724</v>
      </c>
      <c r="N161" s="841">
        <f t="shared" si="147"/>
        <v>16.255333969465646</v>
      </c>
      <c r="O161" s="841">
        <f t="shared" si="147"/>
        <v>16.575614503816791</v>
      </c>
      <c r="P161" s="841">
        <f t="shared" si="147"/>
        <v>17.299536259541984</v>
      </c>
      <c r="Q161" s="842">
        <f t="shared" si="147"/>
        <v>18.646469465648856</v>
      </c>
    </row>
    <row r="162" spans="1:18">
      <c r="A162" s="481">
        <v>95</v>
      </c>
      <c r="B162" s="841">
        <f t="shared" si="132"/>
        <v>6.4786865079365086</v>
      </c>
      <c r="C162" s="841">
        <f t="shared" si="132"/>
        <v>6.3400555555555567</v>
      </c>
      <c r="D162" s="841">
        <f t="shared" si="132"/>
        <v>7.1441150793650801</v>
      </c>
      <c r="E162" s="841">
        <f t="shared" si="132"/>
        <v>8.1699841269841276</v>
      </c>
      <c r="F162" s="4">
        <v>9.3160000000000007</v>
      </c>
      <c r="G162" s="841">
        <f t="shared" si="115"/>
        <v>13.983242063492064</v>
      </c>
      <c r="H162" s="841">
        <f t="shared" ref="H162:Q162" si="148">G162*H805</f>
        <v>15.656055555555556</v>
      </c>
      <c r="I162" s="841">
        <f t="shared" si="148"/>
        <v>17.319626984126984</v>
      </c>
      <c r="J162" s="841">
        <f t="shared" si="148"/>
        <v>18.946230158730156</v>
      </c>
      <c r="K162" s="841">
        <f t="shared" si="148"/>
        <v>20.443444444444449</v>
      </c>
      <c r="L162" s="841">
        <f t="shared" si="148"/>
        <v>21.746575396825399</v>
      </c>
      <c r="M162" s="841">
        <f t="shared" si="148"/>
        <v>22.800170634920637</v>
      </c>
      <c r="N162" s="841">
        <f t="shared" si="148"/>
        <v>23.631956349206348</v>
      </c>
      <c r="O162" s="841">
        <f t="shared" si="148"/>
        <v>24.528436507936505</v>
      </c>
      <c r="P162" s="841">
        <f t="shared" si="148"/>
        <v>25.896261904761904</v>
      </c>
      <c r="Q162" s="842">
        <f t="shared" si="148"/>
        <v>27.957242063492064</v>
      </c>
    </row>
    <row r="163" spans="1:18">
      <c r="A163" s="481">
        <v>96</v>
      </c>
      <c r="B163" s="841">
        <f t="shared" si="132"/>
        <v>0</v>
      </c>
      <c r="C163" s="841">
        <f t="shared" si="132"/>
        <v>0</v>
      </c>
      <c r="D163" s="841">
        <f t="shared" si="132"/>
        <v>0</v>
      </c>
      <c r="E163" s="841">
        <f t="shared" si="132"/>
        <v>0</v>
      </c>
      <c r="F163" s="4">
        <v>0</v>
      </c>
      <c r="G163" s="841">
        <f>F163*G806</f>
        <v>0</v>
      </c>
      <c r="H163" s="841">
        <f t="shared" ref="H163:Q163" si="149">G163*H806</f>
        <v>0</v>
      </c>
      <c r="I163" s="841">
        <f t="shared" si="149"/>
        <v>0</v>
      </c>
      <c r="J163" s="841">
        <f t="shared" si="149"/>
        <v>0</v>
      </c>
      <c r="K163" s="841">
        <f t="shared" si="149"/>
        <v>0</v>
      </c>
      <c r="L163" s="841">
        <f t="shared" si="149"/>
        <v>0</v>
      </c>
      <c r="M163" s="841">
        <f t="shared" si="149"/>
        <v>0</v>
      </c>
      <c r="N163" s="841">
        <f t="shared" si="149"/>
        <v>0</v>
      </c>
      <c r="O163" s="841">
        <f t="shared" si="149"/>
        <v>0</v>
      </c>
      <c r="P163" s="841">
        <f t="shared" si="149"/>
        <v>0</v>
      </c>
      <c r="Q163" s="842">
        <f t="shared" si="149"/>
        <v>0</v>
      </c>
    </row>
    <row r="164" spans="1:18">
      <c r="A164" s="481">
        <v>97</v>
      </c>
      <c r="B164" s="841">
        <f t="shared" si="132"/>
        <v>0</v>
      </c>
      <c r="C164" s="841">
        <f t="shared" si="132"/>
        <v>0</v>
      </c>
      <c r="D164" s="841">
        <f t="shared" si="132"/>
        <v>0</v>
      </c>
      <c r="E164" s="841">
        <f t="shared" si="132"/>
        <v>0</v>
      </c>
      <c r="F164" s="4">
        <v>0</v>
      </c>
      <c r="G164" s="841">
        <f>F164*G807</f>
        <v>0</v>
      </c>
      <c r="H164" s="841">
        <f t="shared" ref="H164:Q164" si="150">G164*H807</f>
        <v>0</v>
      </c>
      <c r="I164" s="841">
        <f t="shared" si="150"/>
        <v>0</v>
      </c>
      <c r="J164" s="841">
        <f t="shared" si="150"/>
        <v>0</v>
      </c>
      <c r="K164" s="841">
        <f t="shared" si="150"/>
        <v>0</v>
      </c>
      <c r="L164" s="841">
        <f t="shared" si="150"/>
        <v>0</v>
      </c>
      <c r="M164" s="841">
        <f t="shared" si="150"/>
        <v>0</v>
      </c>
      <c r="N164" s="841">
        <f t="shared" si="150"/>
        <v>0</v>
      </c>
      <c r="O164" s="841">
        <f t="shared" si="150"/>
        <v>0</v>
      </c>
      <c r="P164" s="841">
        <f t="shared" si="150"/>
        <v>0</v>
      </c>
      <c r="Q164" s="842">
        <f t="shared" si="150"/>
        <v>0</v>
      </c>
    </row>
    <row r="165" spans="1:18">
      <c r="A165" s="481">
        <v>98</v>
      </c>
      <c r="B165" s="841">
        <f t="shared" si="132"/>
        <v>0</v>
      </c>
      <c r="C165" s="841">
        <f t="shared" si="132"/>
        <v>0</v>
      </c>
      <c r="D165" s="841">
        <f t="shared" si="132"/>
        <v>0</v>
      </c>
      <c r="E165" s="841">
        <f t="shared" si="132"/>
        <v>0</v>
      </c>
      <c r="F165" s="4">
        <v>0</v>
      </c>
      <c r="G165" s="841">
        <f>F165*G808</f>
        <v>0</v>
      </c>
      <c r="H165" s="841">
        <f t="shared" ref="H165:Q165" si="151">G165*H808</f>
        <v>0</v>
      </c>
      <c r="I165" s="841">
        <f t="shared" si="151"/>
        <v>0</v>
      </c>
      <c r="J165" s="841">
        <f t="shared" si="151"/>
        <v>0</v>
      </c>
      <c r="K165" s="841">
        <f t="shared" si="151"/>
        <v>0</v>
      </c>
      <c r="L165" s="841">
        <f t="shared" si="151"/>
        <v>0</v>
      </c>
      <c r="M165" s="841">
        <f t="shared" si="151"/>
        <v>0</v>
      </c>
      <c r="N165" s="841">
        <f t="shared" si="151"/>
        <v>0</v>
      </c>
      <c r="O165" s="841">
        <f t="shared" si="151"/>
        <v>0</v>
      </c>
      <c r="P165" s="841">
        <f t="shared" si="151"/>
        <v>0</v>
      </c>
      <c r="Q165" s="842">
        <f t="shared" si="151"/>
        <v>0</v>
      </c>
    </row>
    <row r="166" spans="1:18">
      <c r="A166" s="481">
        <v>99</v>
      </c>
      <c r="B166" s="841">
        <v>0</v>
      </c>
      <c r="C166" s="841">
        <f t="shared" ref="C166:E167" si="152">D166/D809</f>
        <v>0</v>
      </c>
      <c r="D166" s="841">
        <f t="shared" si="152"/>
        <v>0</v>
      </c>
      <c r="E166" s="841">
        <f t="shared" si="152"/>
        <v>0</v>
      </c>
      <c r="F166" s="4">
        <v>0</v>
      </c>
      <c r="G166" s="841">
        <f>F166*G809</f>
        <v>0</v>
      </c>
      <c r="H166" s="841">
        <f t="shared" ref="H166:Q166" si="153">G166*H809</f>
        <v>0</v>
      </c>
      <c r="I166" s="841">
        <f t="shared" si="153"/>
        <v>0</v>
      </c>
      <c r="J166" s="841">
        <f t="shared" si="153"/>
        <v>0</v>
      </c>
      <c r="K166" s="841">
        <f t="shared" si="153"/>
        <v>0</v>
      </c>
      <c r="L166" s="841">
        <f t="shared" si="153"/>
        <v>0</v>
      </c>
      <c r="M166" s="841">
        <f t="shared" si="153"/>
        <v>0</v>
      </c>
      <c r="N166" s="841">
        <f t="shared" si="153"/>
        <v>0</v>
      </c>
      <c r="O166" s="841">
        <f t="shared" si="153"/>
        <v>0</v>
      </c>
      <c r="P166" s="841">
        <f t="shared" si="153"/>
        <v>0</v>
      </c>
      <c r="Q166" s="842">
        <f t="shared" si="153"/>
        <v>0</v>
      </c>
    </row>
    <row r="167" spans="1:18">
      <c r="A167" s="482">
        <v>100</v>
      </c>
      <c r="B167" s="844">
        <f>C167/C810</f>
        <v>0</v>
      </c>
      <c r="C167" s="844">
        <f t="shared" si="152"/>
        <v>0</v>
      </c>
      <c r="D167" s="844">
        <f t="shared" si="152"/>
        <v>0</v>
      </c>
      <c r="E167" s="844">
        <f t="shared" si="152"/>
        <v>0</v>
      </c>
      <c r="F167" s="15">
        <v>0</v>
      </c>
      <c r="G167" s="844">
        <f>F167*G810</f>
        <v>0</v>
      </c>
      <c r="H167" s="844">
        <f t="shared" ref="H167:Q167" si="154">G167*H810</f>
        <v>0</v>
      </c>
      <c r="I167" s="844">
        <f t="shared" si="154"/>
        <v>0</v>
      </c>
      <c r="J167" s="844">
        <f t="shared" si="154"/>
        <v>0</v>
      </c>
      <c r="K167" s="844">
        <f t="shared" si="154"/>
        <v>0</v>
      </c>
      <c r="L167" s="844">
        <f t="shared" si="154"/>
        <v>0</v>
      </c>
      <c r="M167" s="844">
        <f t="shared" si="154"/>
        <v>0</v>
      </c>
      <c r="N167" s="844">
        <f t="shared" si="154"/>
        <v>0</v>
      </c>
      <c r="O167" s="844">
        <f t="shared" si="154"/>
        <v>0</v>
      </c>
      <c r="P167" s="844">
        <f t="shared" si="154"/>
        <v>0</v>
      </c>
      <c r="Q167" s="845">
        <f t="shared" si="154"/>
        <v>0</v>
      </c>
    </row>
    <row r="168" spans="1:18">
      <c r="A168" s="482" t="s">
        <v>760</v>
      </c>
      <c r="B168" s="846">
        <f>SUM(B67:B167)</f>
        <v>40413.681955561187</v>
      </c>
      <c r="C168" s="847">
        <f t="shared" ref="C168:Q168" si="155">SUM(C67:C167)</f>
        <v>40984.6497813776</v>
      </c>
      <c r="D168" s="847">
        <f t="shared" si="155"/>
        <v>41547.572026141264</v>
      </c>
      <c r="E168" s="848">
        <f t="shared" si="155"/>
        <v>42106.262414365454</v>
      </c>
      <c r="F168" s="5">
        <f t="shared" si="155"/>
        <v>42667.238999999987</v>
      </c>
      <c r="G168" s="846">
        <f t="shared" si="155"/>
        <v>43238.429575253154</v>
      </c>
      <c r="H168" s="847">
        <f t="shared" si="155"/>
        <v>43813.835469231126</v>
      </c>
      <c r="I168" s="847">
        <f t="shared" si="155"/>
        <v>44393.893258681732</v>
      </c>
      <c r="J168" s="847">
        <f t="shared" si="155"/>
        <v>44976.12396496725</v>
      </c>
      <c r="K168" s="847">
        <f t="shared" si="155"/>
        <v>45556.787506068147</v>
      </c>
      <c r="L168" s="847">
        <f t="shared" si="155"/>
        <v>46132.494438900874</v>
      </c>
      <c r="M168" s="847">
        <f t="shared" si="155"/>
        <v>46702.569216269672</v>
      </c>
      <c r="N168" s="847">
        <f t="shared" si="155"/>
        <v>47265.744345696774</v>
      </c>
      <c r="O168" s="847">
        <f t="shared" si="155"/>
        <v>47817.341871007149</v>
      </c>
      <c r="P168" s="847">
        <f t="shared" si="155"/>
        <v>48351.685305825369</v>
      </c>
      <c r="Q168" s="848">
        <f t="shared" si="155"/>
        <v>48864.499734316007</v>
      </c>
      <c r="R168" s="78"/>
    </row>
    <row r="169" spans="1:18" ht="9.9499999999999993" customHeight="1"/>
    <row r="170" spans="1:18" ht="17.25">
      <c r="A170" s="18" t="s">
        <v>784</v>
      </c>
    </row>
    <row r="171" spans="1:18" ht="9.9499999999999993" customHeight="1"/>
    <row r="172" spans="1:18" ht="17.25">
      <c r="A172" s="467"/>
      <c r="B172" s="1488" t="s">
        <v>730</v>
      </c>
      <c r="C172" s="1489"/>
      <c r="D172" s="1489"/>
      <c r="E172" s="1489"/>
      <c r="F172" s="1489"/>
      <c r="G172" s="1489"/>
      <c r="H172" s="1488" t="s">
        <v>734</v>
      </c>
      <c r="I172" s="1489"/>
      <c r="J172" s="1489"/>
      <c r="K172" s="1489"/>
      <c r="L172" s="1489"/>
      <c r="M172" s="1489"/>
      <c r="N172" s="1489"/>
      <c r="O172" s="1489"/>
      <c r="P172" s="1489"/>
      <c r="Q172" s="1490"/>
      <c r="R172" s="1491" t="s">
        <v>744</v>
      </c>
    </row>
    <row r="173" spans="1:18">
      <c r="A173" s="468" t="s">
        <v>746</v>
      </c>
      <c r="B173" s="471">
        <v>2005</v>
      </c>
      <c r="C173" s="472">
        <v>2006</v>
      </c>
      <c r="D173" s="472">
        <v>2007</v>
      </c>
      <c r="E173" s="472">
        <v>2008</v>
      </c>
      <c r="F173" s="472">
        <v>2009</v>
      </c>
      <c r="G173" s="473">
        <v>2010</v>
      </c>
      <c r="H173" s="469">
        <v>2011</v>
      </c>
      <c r="I173" s="469">
        <v>2012</v>
      </c>
      <c r="J173" s="469">
        <v>2013</v>
      </c>
      <c r="K173" s="469">
        <v>2014</v>
      </c>
      <c r="L173" s="469">
        <v>2015</v>
      </c>
      <c r="M173" s="469">
        <v>2016</v>
      </c>
      <c r="N173" s="469">
        <v>2017</v>
      </c>
      <c r="O173" s="469">
        <v>2018</v>
      </c>
      <c r="P173" s="469">
        <v>2019</v>
      </c>
      <c r="Q173" s="470">
        <v>2020</v>
      </c>
      <c r="R173" s="1492"/>
    </row>
    <row r="174" spans="1:18">
      <c r="A174" s="483">
        <v>0</v>
      </c>
      <c r="B174" s="849">
        <f t="shared" ref="B174:E193" si="156">C174/C815</f>
        <v>815.11351222668952</v>
      </c>
      <c r="C174" s="849">
        <f t="shared" si="156"/>
        <v>808.3036372980805</v>
      </c>
      <c r="D174" s="849">
        <f t="shared" si="156"/>
        <v>780.93460737636212</v>
      </c>
      <c r="E174" s="849">
        <f t="shared" si="156"/>
        <v>742.37878645204376</v>
      </c>
      <c r="F174" s="2">
        <v>706.76300000000003</v>
      </c>
      <c r="G174" s="849">
        <f t="shared" ref="G174:G205" si="157">F174*G815</f>
        <v>684.15847266398623</v>
      </c>
      <c r="H174" s="849">
        <f t="shared" ref="H174:Q174" si="158">G174*H815</f>
        <v>677.54540332163617</v>
      </c>
      <c r="I174" s="849">
        <f t="shared" si="158"/>
        <v>683.10817346384988</v>
      </c>
      <c r="J174" s="849">
        <f t="shared" si="158"/>
        <v>695.97986127125739</v>
      </c>
      <c r="K174" s="849">
        <f t="shared" si="158"/>
        <v>708.58445578302803</v>
      </c>
      <c r="L174" s="849">
        <f t="shared" si="158"/>
        <v>715.48168829329268</v>
      </c>
      <c r="M174" s="849">
        <f t="shared" si="158"/>
        <v>715.20656211658388</v>
      </c>
      <c r="N174" s="849">
        <f t="shared" si="158"/>
        <v>709.79942904513598</v>
      </c>
      <c r="O174" s="849">
        <f t="shared" si="158"/>
        <v>701.47033548382501</v>
      </c>
      <c r="P174" s="849">
        <f t="shared" si="158"/>
        <v>693.71157647861082</v>
      </c>
      <c r="Q174" s="849">
        <f t="shared" si="158"/>
        <v>688.95912321451385</v>
      </c>
    </row>
    <row r="175" spans="1:18">
      <c r="A175" s="484">
        <v>1</v>
      </c>
      <c r="B175" s="849">
        <f t="shared" si="156"/>
        <v>691.4295694878881</v>
      </c>
      <c r="C175" s="849">
        <f t="shared" si="156"/>
        <v>686.27219547088509</v>
      </c>
      <c r="D175" s="849">
        <f t="shared" si="156"/>
        <v>673.4814696825664</v>
      </c>
      <c r="E175" s="849">
        <f t="shared" si="156"/>
        <v>656.70745077401671</v>
      </c>
      <c r="F175" s="2">
        <v>641.54300000000001</v>
      </c>
      <c r="G175" s="849">
        <f t="shared" si="157"/>
        <v>631.95223808663184</v>
      </c>
      <c r="H175" s="849">
        <f t="shared" ref="H175:Q175" si="159">G175*H816</f>
        <v>629.02525258503658</v>
      </c>
      <c r="I175" s="849">
        <f t="shared" si="159"/>
        <v>631.12599919737931</v>
      </c>
      <c r="J175" s="849">
        <f t="shared" si="159"/>
        <v>636.25233219533857</v>
      </c>
      <c r="K175" s="849">
        <f t="shared" si="159"/>
        <v>641.33484257817736</v>
      </c>
      <c r="L175" s="849">
        <f t="shared" si="159"/>
        <v>644.15683639771294</v>
      </c>
      <c r="M175" s="849">
        <f t="shared" si="159"/>
        <v>644.07193008091679</v>
      </c>
      <c r="N175" s="849">
        <f t="shared" si="159"/>
        <v>641.84428047895403</v>
      </c>
      <c r="O175" s="849">
        <f t="shared" si="159"/>
        <v>638.33664532701107</v>
      </c>
      <c r="P175" s="849">
        <f t="shared" si="159"/>
        <v>634.94313156861131</v>
      </c>
      <c r="Q175" s="849">
        <f t="shared" si="159"/>
        <v>632.62235890951729</v>
      </c>
      <c r="R175" s="17" t="s">
        <v>541</v>
      </c>
    </row>
    <row r="176" spans="1:18">
      <c r="A176" s="484">
        <v>2</v>
      </c>
      <c r="B176" s="849">
        <f t="shared" si="156"/>
        <v>710.69167996668807</v>
      </c>
      <c r="C176" s="849">
        <f t="shared" si="156"/>
        <v>704.94693509904528</v>
      </c>
      <c r="D176" s="849">
        <f t="shared" si="156"/>
        <v>699.67566903217983</v>
      </c>
      <c r="E176" s="849">
        <f t="shared" si="156"/>
        <v>695.05211408987043</v>
      </c>
      <c r="F176" s="2">
        <v>691.471</v>
      </c>
      <c r="G176" s="849">
        <f t="shared" si="157"/>
        <v>689.171527071485</v>
      </c>
      <c r="H176" s="849">
        <f t="shared" ref="H176:Q176" si="160">G176*H817</f>
        <v>688.09561786306585</v>
      </c>
      <c r="I176" s="849">
        <f t="shared" si="160"/>
        <v>687.91941681246476</v>
      </c>
      <c r="J176" s="849">
        <f t="shared" si="160"/>
        <v>688.31906835740369</v>
      </c>
      <c r="K176" s="849">
        <f t="shared" si="160"/>
        <v>688.87818677495352</v>
      </c>
      <c r="L176" s="849">
        <f t="shared" si="160"/>
        <v>689.27586959306996</v>
      </c>
      <c r="M176" s="849">
        <f t="shared" si="160"/>
        <v>689.33296267091839</v>
      </c>
      <c r="N176" s="849">
        <f t="shared" si="160"/>
        <v>689.03470055733101</v>
      </c>
      <c r="O176" s="849">
        <f t="shared" si="160"/>
        <v>688.43128578627807</v>
      </c>
      <c r="P176" s="849">
        <f t="shared" si="160"/>
        <v>687.64773251097938</v>
      </c>
      <c r="Q176" s="849">
        <f t="shared" si="160"/>
        <v>686.75885235068438</v>
      </c>
      <c r="R176" s="77" t="s">
        <v>786</v>
      </c>
    </row>
    <row r="177" spans="1:18">
      <c r="A177" s="484">
        <v>3</v>
      </c>
      <c r="B177" s="849">
        <f t="shared" si="156"/>
        <v>639.96901170019726</v>
      </c>
      <c r="C177" s="849">
        <f t="shared" si="156"/>
        <v>633.51444778139899</v>
      </c>
      <c r="D177" s="849">
        <f t="shared" si="156"/>
        <v>632.90756955559709</v>
      </c>
      <c r="E177" s="849">
        <f t="shared" si="156"/>
        <v>636.04022582461641</v>
      </c>
      <c r="F177" s="2">
        <v>639.84799999999996</v>
      </c>
      <c r="G177" s="849">
        <f t="shared" si="157"/>
        <v>642.09354042170753</v>
      </c>
      <c r="H177" s="849">
        <f t="shared" ref="H177:Q177" si="161">G177*H818</f>
        <v>642.0043739057727</v>
      </c>
      <c r="I177" s="849">
        <f t="shared" si="161"/>
        <v>640.1737307418847</v>
      </c>
      <c r="J177" s="849">
        <f t="shared" si="161"/>
        <v>637.36680521475012</v>
      </c>
      <c r="K177" s="849">
        <f t="shared" si="161"/>
        <v>634.89288932876013</v>
      </c>
      <c r="L177" s="849">
        <f t="shared" si="161"/>
        <v>633.66275535382147</v>
      </c>
      <c r="M177" s="849">
        <f t="shared" si="161"/>
        <v>633.80742347661385</v>
      </c>
      <c r="N177" s="849">
        <f t="shared" si="161"/>
        <v>634.81646088653031</v>
      </c>
      <c r="O177" s="849">
        <f t="shared" si="161"/>
        <v>636.20400105796637</v>
      </c>
      <c r="P177" s="849">
        <f t="shared" si="161"/>
        <v>637.26399076270275</v>
      </c>
      <c r="Q177" s="849">
        <f t="shared" si="161"/>
        <v>637.48235774050261</v>
      </c>
    </row>
    <row r="178" spans="1:18">
      <c r="A178" s="484">
        <v>4</v>
      </c>
      <c r="B178" s="849">
        <f t="shared" si="156"/>
        <v>640.35255130954215</v>
      </c>
      <c r="C178" s="849">
        <f t="shared" si="156"/>
        <v>631.95214282432244</v>
      </c>
      <c r="D178" s="849">
        <f t="shared" si="156"/>
        <v>632.57035866901526</v>
      </c>
      <c r="E178" s="849">
        <f t="shared" si="156"/>
        <v>638.85417927707158</v>
      </c>
      <c r="F178" s="2">
        <v>645.81299999999999</v>
      </c>
      <c r="G178" s="849">
        <f t="shared" si="157"/>
        <v>649.82819742686468</v>
      </c>
      <c r="H178" s="849">
        <f t="shared" ref="H178:Q178" si="162">G178*H819</f>
        <v>649.76133852810528</v>
      </c>
      <c r="I178" s="849">
        <f t="shared" si="162"/>
        <v>646.723380073518</v>
      </c>
      <c r="J178" s="849">
        <f t="shared" si="162"/>
        <v>642.02677140450294</v>
      </c>
      <c r="K178" s="849">
        <f t="shared" si="162"/>
        <v>637.84305291775138</v>
      </c>
      <c r="L178" s="849">
        <f t="shared" si="162"/>
        <v>635.69624115484748</v>
      </c>
      <c r="M178" s="849">
        <f t="shared" si="162"/>
        <v>635.87392096798885</v>
      </c>
      <c r="N178" s="849">
        <f t="shared" si="162"/>
        <v>637.5966824551997</v>
      </c>
      <c r="O178" s="849">
        <f t="shared" si="162"/>
        <v>640.08236808852803</v>
      </c>
      <c r="P178" s="849">
        <f t="shared" si="162"/>
        <v>642.1733114565784</v>
      </c>
      <c r="Q178" s="849">
        <f t="shared" si="162"/>
        <v>643.04064538979947</v>
      </c>
      <c r="R178" s="17" t="s">
        <v>542</v>
      </c>
    </row>
    <row r="179" spans="1:18">
      <c r="A179" s="484">
        <v>5</v>
      </c>
      <c r="B179" s="849">
        <f t="shared" si="156"/>
        <v>706.53586750141881</v>
      </c>
      <c r="C179" s="849">
        <f t="shared" si="156"/>
        <v>694.72058231601397</v>
      </c>
      <c r="D179" s="849">
        <f t="shared" si="156"/>
        <v>694.01110561763471</v>
      </c>
      <c r="E179" s="849">
        <f t="shared" si="156"/>
        <v>700.37641064393961</v>
      </c>
      <c r="F179" s="2">
        <v>707.71199999999999</v>
      </c>
      <c r="G179" s="849">
        <f t="shared" si="157"/>
        <v>711.59713437084338</v>
      </c>
      <c r="H179" s="849">
        <f t="shared" ref="H179:Q179" si="163">G179*H820</f>
        <v>710.72977412550085</v>
      </c>
      <c r="I179" s="849">
        <f t="shared" si="163"/>
        <v>706.52887266073071</v>
      </c>
      <c r="J179" s="849">
        <f t="shared" si="163"/>
        <v>700.53129640203656</v>
      </c>
      <c r="K179" s="849">
        <f t="shared" si="163"/>
        <v>695.27817104516305</v>
      </c>
      <c r="L179" s="849">
        <f t="shared" si="163"/>
        <v>692.55218170265755</v>
      </c>
      <c r="M179" s="849">
        <f t="shared" si="163"/>
        <v>692.69507630528881</v>
      </c>
      <c r="N179" s="849">
        <f t="shared" si="163"/>
        <v>694.78753293403008</v>
      </c>
      <c r="O179" s="849">
        <f t="shared" si="163"/>
        <v>697.87625472936884</v>
      </c>
      <c r="P179" s="849">
        <f t="shared" si="163"/>
        <v>700.55727723887833</v>
      </c>
      <c r="Q179" s="849">
        <f t="shared" si="163"/>
        <v>701.82734045527297</v>
      </c>
    </row>
    <row r="180" spans="1:18">
      <c r="A180" s="484">
        <v>6</v>
      </c>
      <c r="B180" s="849">
        <f t="shared" si="156"/>
        <v>693.45091811527891</v>
      </c>
      <c r="C180" s="849">
        <f t="shared" si="156"/>
        <v>679.28714163191296</v>
      </c>
      <c r="D180" s="849">
        <f t="shared" si="156"/>
        <v>675.27397594003105</v>
      </c>
      <c r="E180" s="849">
        <f t="shared" si="156"/>
        <v>677.93410961276152</v>
      </c>
      <c r="F180" s="2">
        <v>681.90899999999999</v>
      </c>
      <c r="G180" s="849">
        <f t="shared" si="157"/>
        <v>683.30413485425947</v>
      </c>
      <c r="H180" s="849">
        <f t="shared" ref="H180:Q180" si="164">G180*H821</f>
        <v>681.06694329784068</v>
      </c>
      <c r="I180" s="849">
        <f t="shared" si="164"/>
        <v>676.48347556676902</v>
      </c>
      <c r="J180" s="849">
        <f t="shared" si="164"/>
        <v>670.75940375731795</v>
      </c>
      <c r="K180" s="849">
        <f t="shared" si="164"/>
        <v>665.91949148513413</v>
      </c>
      <c r="L180" s="849">
        <f t="shared" si="164"/>
        <v>663.36748554802182</v>
      </c>
      <c r="M180" s="849">
        <f t="shared" si="164"/>
        <v>663.35791672186087</v>
      </c>
      <c r="N180" s="849">
        <f t="shared" si="164"/>
        <v>665.10901190930576</v>
      </c>
      <c r="O180" s="849">
        <f t="shared" si="164"/>
        <v>667.78158505604551</v>
      </c>
      <c r="P180" s="849">
        <f t="shared" si="164"/>
        <v>670.16326588749382</v>
      </c>
      <c r="Q180" s="849">
        <f t="shared" si="164"/>
        <v>671.38042057516043</v>
      </c>
    </row>
    <row r="181" spans="1:18">
      <c r="A181" s="484">
        <v>7</v>
      </c>
      <c r="B181" s="849">
        <f t="shared" si="156"/>
        <v>629.4374396452248</v>
      </c>
      <c r="C181" s="849">
        <f t="shared" si="156"/>
        <v>614.44785565130474</v>
      </c>
      <c r="D181" s="849">
        <f t="shared" si="156"/>
        <v>606.75703633076148</v>
      </c>
      <c r="E181" s="849">
        <f t="shared" si="156"/>
        <v>604.16124838849316</v>
      </c>
      <c r="F181" s="2">
        <v>603.13199999999995</v>
      </c>
      <c r="G181" s="849">
        <f t="shared" si="157"/>
        <v>601.09197260682015</v>
      </c>
      <c r="H181" s="849">
        <f t="shared" ref="H181:Q181" si="165">G181*H822</f>
        <v>597.45434351437234</v>
      </c>
      <c r="I181" s="849">
        <f t="shared" si="165"/>
        <v>593.09724797091428</v>
      </c>
      <c r="J181" s="849">
        <f t="shared" si="165"/>
        <v>588.61590384548458</v>
      </c>
      <c r="K181" s="849">
        <f t="shared" si="165"/>
        <v>585.0496337359258</v>
      </c>
      <c r="L181" s="849">
        <f t="shared" si="165"/>
        <v>583.09859519199574</v>
      </c>
      <c r="M181" s="849">
        <f t="shared" si="165"/>
        <v>582.85849320251043</v>
      </c>
      <c r="N181" s="849">
        <f t="shared" si="165"/>
        <v>583.84324716637866</v>
      </c>
      <c r="O181" s="849">
        <f t="shared" si="165"/>
        <v>585.49121991239178</v>
      </c>
      <c r="P181" s="849">
        <f t="shared" si="165"/>
        <v>587.01914166366225</v>
      </c>
      <c r="Q181" s="849">
        <f t="shared" si="165"/>
        <v>587.86117766175255</v>
      </c>
    </row>
    <row r="182" spans="1:18">
      <c r="A182" s="484">
        <v>8</v>
      </c>
      <c r="B182" s="849">
        <f t="shared" si="156"/>
        <v>792.88132425062111</v>
      </c>
      <c r="C182" s="849">
        <f t="shared" si="156"/>
        <v>771.80058193939374</v>
      </c>
      <c r="D182" s="849">
        <f t="shared" si="156"/>
        <v>756.56848500415458</v>
      </c>
      <c r="E182" s="849">
        <f t="shared" si="156"/>
        <v>745.96101657845304</v>
      </c>
      <c r="F182" s="2">
        <v>737.76599999999996</v>
      </c>
      <c r="G182" s="849">
        <f t="shared" si="157"/>
        <v>730.3436186528611</v>
      </c>
      <c r="H182" s="849">
        <f t="shared" ref="H182:Q182" si="166">G182*H823</f>
        <v>723.52714598712146</v>
      </c>
      <c r="I182" s="849">
        <f t="shared" si="166"/>
        <v>717.91944080826681</v>
      </c>
      <c r="J182" s="849">
        <f t="shared" si="166"/>
        <v>713.49915398490566</v>
      </c>
      <c r="K182" s="849">
        <f t="shared" si="166"/>
        <v>710.3425324148651</v>
      </c>
      <c r="L182" s="849">
        <f t="shared" si="166"/>
        <v>708.45160934875389</v>
      </c>
      <c r="M182" s="849">
        <f t="shared" si="166"/>
        <v>707.74200488631004</v>
      </c>
      <c r="N182" s="849">
        <f t="shared" si="166"/>
        <v>707.95142969900837</v>
      </c>
      <c r="O182" s="849">
        <f t="shared" si="166"/>
        <v>708.6976326724091</v>
      </c>
      <c r="P182" s="849">
        <f t="shared" si="166"/>
        <v>709.51296616650654</v>
      </c>
      <c r="Q182" s="849">
        <f t="shared" si="166"/>
        <v>710.04669445129593</v>
      </c>
    </row>
    <row r="183" spans="1:18">
      <c r="A183" s="484">
        <v>9</v>
      </c>
      <c r="B183" s="849">
        <f t="shared" si="156"/>
        <v>738.42070502444346</v>
      </c>
      <c r="C183" s="849">
        <f t="shared" si="156"/>
        <v>717.34817374334443</v>
      </c>
      <c r="D183" s="849">
        <f t="shared" si="156"/>
        <v>698.23063846659647</v>
      </c>
      <c r="E183" s="849">
        <f t="shared" si="156"/>
        <v>681.48326330850625</v>
      </c>
      <c r="F183" s="2">
        <v>667.30499999999995</v>
      </c>
      <c r="G183" s="849">
        <f t="shared" si="157"/>
        <v>655.78941944649034</v>
      </c>
      <c r="H183" s="849">
        <f t="shared" ref="H183:Q183" si="167">G183*H824</f>
        <v>647.33351665443695</v>
      </c>
      <c r="I183" s="849">
        <f t="shared" si="167"/>
        <v>641.98816512581186</v>
      </c>
      <c r="J183" s="849">
        <f t="shared" si="167"/>
        <v>639.00207225113638</v>
      </c>
      <c r="K183" s="849">
        <f t="shared" si="167"/>
        <v>637.27691546105154</v>
      </c>
      <c r="L183" s="849">
        <f t="shared" si="167"/>
        <v>635.97237351762772</v>
      </c>
      <c r="M183" s="849">
        <f t="shared" si="167"/>
        <v>634.82045208011982</v>
      </c>
      <c r="N183" s="849">
        <f t="shared" si="167"/>
        <v>633.92108124168703</v>
      </c>
      <c r="O183" s="849">
        <f t="shared" si="167"/>
        <v>633.23792278663495</v>
      </c>
      <c r="P183" s="849">
        <f t="shared" si="167"/>
        <v>632.83547704782109</v>
      </c>
      <c r="Q183" s="849">
        <f t="shared" si="167"/>
        <v>632.73645541005419</v>
      </c>
    </row>
    <row r="184" spans="1:18">
      <c r="A184" s="484">
        <v>10</v>
      </c>
      <c r="B184" s="849">
        <f t="shared" si="156"/>
        <v>674.79756064496326</v>
      </c>
      <c r="C184" s="849">
        <f t="shared" si="156"/>
        <v>654.3333533572328</v>
      </c>
      <c r="D184" s="849">
        <f t="shared" si="156"/>
        <v>632.03751488873809</v>
      </c>
      <c r="E184" s="849">
        <f t="shared" si="156"/>
        <v>609.91252271259236</v>
      </c>
      <c r="F184" s="2">
        <v>590.50199999999995</v>
      </c>
      <c r="G184" s="849">
        <f t="shared" si="157"/>
        <v>575.58672136097914</v>
      </c>
      <c r="H184" s="849">
        <f t="shared" ref="H184:Q184" si="168">G184*H825</f>
        <v>566.11071188999767</v>
      </c>
      <c r="I184" s="849">
        <f t="shared" si="168"/>
        <v>561.56063807609075</v>
      </c>
      <c r="J184" s="849">
        <f t="shared" si="168"/>
        <v>560.4465613231921</v>
      </c>
      <c r="K184" s="849">
        <f t="shared" si="168"/>
        <v>560.48470375125135</v>
      </c>
      <c r="L184" s="849">
        <f t="shared" si="168"/>
        <v>559.99361998998791</v>
      </c>
      <c r="M184" s="849">
        <f t="shared" si="168"/>
        <v>558.50924383134691</v>
      </c>
      <c r="N184" s="849">
        <f t="shared" si="168"/>
        <v>556.498025385137</v>
      </c>
      <c r="O184" s="849">
        <f t="shared" si="168"/>
        <v>554.30245186997365</v>
      </c>
      <c r="P184" s="849">
        <f t="shared" si="168"/>
        <v>552.56935529502937</v>
      </c>
      <c r="Q184" s="849">
        <f t="shared" si="168"/>
        <v>551.73340041339645</v>
      </c>
    </row>
    <row r="185" spans="1:18">
      <c r="A185" s="484">
        <v>11</v>
      </c>
      <c r="B185" s="849">
        <f t="shared" si="156"/>
        <v>809.40034230746141</v>
      </c>
      <c r="C185" s="849">
        <f t="shared" si="156"/>
        <v>783.08742575631231</v>
      </c>
      <c r="D185" s="849">
        <f t="shared" si="156"/>
        <v>749.66020545278684</v>
      </c>
      <c r="E185" s="849">
        <f t="shared" si="156"/>
        <v>713.80029355925421</v>
      </c>
      <c r="F185" s="2">
        <v>681.88599999999997</v>
      </c>
      <c r="G185" s="849">
        <f t="shared" si="157"/>
        <v>658.42699276741939</v>
      </c>
      <c r="H185" s="849">
        <f t="shared" ref="H185:Q185" si="169">G185*H826</f>
        <v>645.37652124212002</v>
      </c>
      <c r="I185" s="849">
        <f t="shared" si="169"/>
        <v>641.30717588606126</v>
      </c>
      <c r="J185" s="849">
        <f t="shared" si="169"/>
        <v>643.17490806043838</v>
      </c>
      <c r="K185" s="849">
        <f t="shared" si="169"/>
        <v>646.28445924018558</v>
      </c>
      <c r="L185" s="849">
        <f t="shared" si="169"/>
        <v>647.22241923618299</v>
      </c>
      <c r="M185" s="849">
        <f t="shared" si="169"/>
        <v>645.06811344518201</v>
      </c>
      <c r="N185" s="849">
        <f t="shared" si="169"/>
        <v>640.93963385077234</v>
      </c>
      <c r="O185" s="849">
        <f t="shared" si="169"/>
        <v>635.87683329041738</v>
      </c>
      <c r="P185" s="849">
        <f t="shared" si="169"/>
        <v>631.62189740168787</v>
      </c>
      <c r="Q185" s="849">
        <f t="shared" si="169"/>
        <v>629.3848036769956</v>
      </c>
    </row>
    <row r="186" spans="1:18">
      <c r="A186" s="484">
        <v>12</v>
      </c>
      <c r="B186" s="849">
        <f t="shared" si="156"/>
        <v>848.60989199212213</v>
      </c>
      <c r="C186" s="849">
        <f t="shared" si="156"/>
        <v>822.11223553260152</v>
      </c>
      <c r="D186" s="849">
        <f t="shared" si="156"/>
        <v>785.29594924886862</v>
      </c>
      <c r="E186" s="849">
        <f t="shared" si="156"/>
        <v>744.10287576998826</v>
      </c>
      <c r="F186" s="2">
        <v>706.77200000000005</v>
      </c>
      <c r="G186" s="849">
        <f t="shared" si="157"/>
        <v>679.17297395658738</v>
      </c>
      <c r="H186" s="849">
        <f t="shared" ref="H186:Q186" si="170">G186*H827</f>
        <v>663.67235396413014</v>
      </c>
      <c r="I186" s="849">
        <f t="shared" si="170"/>
        <v>658.4394601596548</v>
      </c>
      <c r="J186" s="849">
        <f t="shared" si="170"/>
        <v>659.99896246961953</v>
      </c>
      <c r="K186" s="849">
        <f t="shared" si="170"/>
        <v>662.91620358594537</v>
      </c>
      <c r="L186" s="849">
        <f t="shared" si="170"/>
        <v>663.2512420644066</v>
      </c>
      <c r="M186" s="849">
        <f t="shared" si="170"/>
        <v>659.99711142830211</v>
      </c>
      <c r="N186" s="849">
        <f t="shared" si="170"/>
        <v>654.51988016992129</v>
      </c>
      <c r="O186" s="849">
        <f t="shared" si="170"/>
        <v>648.0458631620852</v>
      </c>
      <c r="P186" s="849">
        <f t="shared" si="170"/>
        <v>642.61398241598226</v>
      </c>
      <c r="Q186" s="849">
        <f t="shared" si="170"/>
        <v>639.63658245683882</v>
      </c>
    </row>
    <row r="187" spans="1:18">
      <c r="A187" s="484">
        <v>13</v>
      </c>
      <c r="B187" s="849">
        <f t="shared" si="156"/>
        <v>945.4875300958355</v>
      </c>
      <c r="C187" s="849">
        <f t="shared" si="156"/>
        <v>921.82115604868034</v>
      </c>
      <c r="D187" s="849">
        <f t="shared" si="156"/>
        <v>887.11594057719151</v>
      </c>
      <c r="E187" s="849">
        <f t="shared" si="156"/>
        <v>846.95895188972963</v>
      </c>
      <c r="F187" s="2">
        <v>809.18499999999995</v>
      </c>
      <c r="G187" s="849">
        <f t="shared" si="157"/>
        <v>779.44265084017536</v>
      </c>
      <c r="H187" s="849">
        <f t="shared" ref="H187:Q187" si="171">G187*H828</f>
        <v>759.84537618527679</v>
      </c>
      <c r="I187" s="849">
        <f t="shared" si="171"/>
        <v>748.83113385046818</v>
      </c>
      <c r="J187" s="849">
        <f t="shared" si="171"/>
        <v>743.87646723531225</v>
      </c>
      <c r="K187" s="849">
        <f t="shared" si="171"/>
        <v>740.86205380643901</v>
      </c>
      <c r="L187" s="849">
        <f t="shared" si="171"/>
        <v>736.78577967973763</v>
      </c>
      <c r="M187" s="849">
        <f t="shared" si="171"/>
        <v>731.02856776882948</v>
      </c>
      <c r="N187" s="849">
        <f t="shared" si="171"/>
        <v>724.68097770932184</v>
      </c>
      <c r="O187" s="849">
        <f t="shared" si="171"/>
        <v>718.42768415965998</v>
      </c>
      <c r="P187" s="849">
        <f t="shared" si="171"/>
        <v>713.44636853085206</v>
      </c>
      <c r="Q187" s="849">
        <f t="shared" si="171"/>
        <v>710.52522664976095</v>
      </c>
    </row>
    <row r="188" spans="1:18">
      <c r="A188" s="484">
        <v>14</v>
      </c>
      <c r="B188" s="849">
        <f t="shared" si="156"/>
        <v>936.6771195693866</v>
      </c>
      <c r="C188" s="849">
        <f t="shared" si="156"/>
        <v>921.9503532104228</v>
      </c>
      <c r="D188" s="849">
        <f t="shared" si="156"/>
        <v>898.98312194747757</v>
      </c>
      <c r="E188" s="849">
        <f t="shared" si="156"/>
        <v>870.97190139872657</v>
      </c>
      <c r="F188" s="2">
        <v>842.45699999999999</v>
      </c>
      <c r="G188" s="849">
        <f t="shared" si="157"/>
        <v>816.84826529777285</v>
      </c>
      <c r="H188" s="849">
        <f t="shared" ref="H188:Q188" si="172">G188*H829</f>
        <v>795.18896292223906</v>
      </c>
      <c r="I188" s="849">
        <f t="shared" si="172"/>
        <v>776.90873329582951</v>
      </c>
      <c r="J188" s="849">
        <f t="shared" si="172"/>
        <v>761.82908259390911</v>
      </c>
      <c r="K188" s="849">
        <f t="shared" si="172"/>
        <v>749.24834543687837</v>
      </c>
      <c r="L188" s="849">
        <f t="shared" si="172"/>
        <v>738.62078208504875</v>
      </c>
      <c r="M188" s="849">
        <f t="shared" si="172"/>
        <v>730.152583680671</v>
      </c>
      <c r="N188" s="849">
        <f t="shared" si="172"/>
        <v>724.12277505305974</v>
      </c>
      <c r="O188" s="849">
        <f t="shared" si="172"/>
        <v>720.05742432301133</v>
      </c>
      <c r="P188" s="849">
        <f t="shared" si="172"/>
        <v>717.29589917406099</v>
      </c>
      <c r="Q188" s="849">
        <f t="shared" si="172"/>
        <v>715.31400222466573</v>
      </c>
    </row>
    <row r="189" spans="1:18">
      <c r="A189" s="484">
        <v>15</v>
      </c>
      <c r="B189" s="849">
        <f t="shared" si="156"/>
        <v>857.00344685689026</v>
      </c>
      <c r="C189" s="849">
        <f t="shared" si="156"/>
        <v>851.26140877063244</v>
      </c>
      <c r="D189" s="849">
        <f t="shared" si="156"/>
        <v>840.02550382520337</v>
      </c>
      <c r="E189" s="849">
        <f t="shared" si="156"/>
        <v>824.3054668605821</v>
      </c>
      <c r="F189" s="2">
        <v>805.65</v>
      </c>
      <c r="G189" s="849">
        <f t="shared" si="157"/>
        <v>785.40888949765031</v>
      </c>
      <c r="H189" s="849">
        <f t="shared" ref="H189:Q189" si="173">G189*H830</f>
        <v>763.65886004587662</v>
      </c>
      <c r="I189" s="849">
        <f t="shared" si="173"/>
        <v>740.68123551660528</v>
      </c>
      <c r="J189" s="849">
        <f t="shared" si="173"/>
        <v>718.28141422597105</v>
      </c>
      <c r="K189" s="849">
        <f t="shared" si="173"/>
        <v>698.69009556248193</v>
      </c>
      <c r="L189" s="849">
        <f t="shared" si="173"/>
        <v>683.46071774148982</v>
      </c>
      <c r="M189" s="849">
        <f t="shared" si="173"/>
        <v>673.49219104736619</v>
      </c>
      <c r="N189" s="849">
        <f t="shared" si="173"/>
        <v>668.35731997088919</v>
      </c>
      <c r="O189" s="849">
        <f t="shared" si="173"/>
        <v>666.6078075417704</v>
      </c>
      <c r="P189" s="849">
        <f t="shared" si="173"/>
        <v>666.03758205052532</v>
      </c>
      <c r="Q189" s="849">
        <f t="shared" si="173"/>
        <v>665.02121668157872</v>
      </c>
    </row>
    <row r="190" spans="1:18">
      <c r="A190" s="484">
        <v>16</v>
      </c>
      <c r="B190" s="849">
        <f t="shared" si="156"/>
        <v>853.69779496997182</v>
      </c>
      <c r="C190" s="849">
        <f t="shared" si="156"/>
        <v>856.32094282200728</v>
      </c>
      <c r="D190" s="849">
        <f t="shared" si="156"/>
        <v>855.61247359115953</v>
      </c>
      <c r="E190" s="849">
        <f t="shared" si="156"/>
        <v>850.50920666855154</v>
      </c>
      <c r="F190" s="2">
        <v>839.74199999999996</v>
      </c>
      <c r="G190" s="849">
        <f t="shared" si="157"/>
        <v>822.74922723695897</v>
      </c>
      <c r="H190" s="849">
        <f t="shared" ref="H190:Q190" si="174">G190*H831</f>
        <v>798.63266763183969</v>
      </c>
      <c r="I190" s="849">
        <f t="shared" si="174"/>
        <v>768.55276136491364</v>
      </c>
      <c r="J190" s="849">
        <f t="shared" si="174"/>
        <v>736.56103705242924</v>
      </c>
      <c r="K190" s="849">
        <f t="shared" si="174"/>
        <v>708.1374040748475</v>
      </c>
      <c r="L190" s="849">
        <f t="shared" si="174"/>
        <v>687.15603535940204</v>
      </c>
      <c r="M190" s="849">
        <f t="shared" si="174"/>
        <v>675.34281153574943</v>
      </c>
      <c r="N190" s="849">
        <f t="shared" si="174"/>
        <v>671.47054565893507</v>
      </c>
      <c r="O190" s="849">
        <f t="shared" si="174"/>
        <v>672.81596972989917</v>
      </c>
      <c r="P190" s="849">
        <f t="shared" si="174"/>
        <v>675.19024750218875</v>
      </c>
      <c r="Q190" s="849">
        <f t="shared" si="174"/>
        <v>675.55926175836373</v>
      </c>
    </row>
    <row r="191" spans="1:18">
      <c r="A191" s="484">
        <v>17</v>
      </c>
      <c r="B191" s="849">
        <f t="shared" si="156"/>
        <v>759.48112958420484</v>
      </c>
      <c r="C191" s="849">
        <f t="shared" si="156"/>
        <v>767.04251088977151</v>
      </c>
      <c r="D191" s="849">
        <f t="shared" si="156"/>
        <v>773.07541789769971</v>
      </c>
      <c r="E191" s="849">
        <f t="shared" si="156"/>
        <v>775.51632414640869</v>
      </c>
      <c r="F191" s="2">
        <v>771.69600000000003</v>
      </c>
      <c r="G191" s="849">
        <f t="shared" si="157"/>
        <v>760.04633766720963</v>
      </c>
      <c r="H191" s="849">
        <f t="shared" ref="H191:Q191" si="175">G191*H832</f>
        <v>739.30595813352647</v>
      </c>
      <c r="I191" s="849">
        <f t="shared" si="175"/>
        <v>710.91114474402582</v>
      </c>
      <c r="J191" s="849">
        <f t="shared" si="175"/>
        <v>679.31204955468445</v>
      </c>
      <c r="K191" s="849">
        <f t="shared" si="175"/>
        <v>650.66478804274402</v>
      </c>
      <c r="L191" s="849">
        <f t="shared" si="175"/>
        <v>629.35058444918093</v>
      </c>
      <c r="M191" s="849">
        <f t="shared" si="175"/>
        <v>617.1744859293234</v>
      </c>
      <c r="N191" s="849">
        <f t="shared" si="175"/>
        <v>612.77602973459705</v>
      </c>
      <c r="O191" s="849">
        <f t="shared" si="175"/>
        <v>613.47995504529081</v>
      </c>
      <c r="P191" s="849">
        <f t="shared" si="175"/>
        <v>615.1212986399928</v>
      </c>
      <c r="Q191" s="849">
        <f t="shared" si="175"/>
        <v>614.68791500317639</v>
      </c>
    </row>
    <row r="192" spans="1:18">
      <c r="A192" s="484">
        <v>18</v>
      </c>
      <c r="B192" s="849">
        <f t="shared" si="156"/>
        <v>722.72411510599989</v>
      </c>
      <c r="C192" s="849">
        <f t="shared" si="156"/>
        <v>731.14812464594343</v>
      </c>
      <c r="D192" s="849">
        <f t="shared" si="156"/>
        <v>738.53273225377779</v>
      </c>
      <c r="E192" s="849">
        <f t="shared" si="156"/>
        <v>743.08534619151794</v>
      </c>
      <c r="F192" s="2">
        <v>742.49199999999996</v>
      </c>
      <c r="G192" s="849">
        <f t="shared" si="157"/>
        <v>735.33167557880427</v>
      </c>
      <c r="H192" s="849">
        <f t="shared" ref="H192:Q192" si="176">G192*H833</f>
        <v>720.66037503789948</v>
      </c>
      <c r="I192" s="849">
        <f t="shared" si="176"/>
        <v>699.5802661265509</v>
      </c>
      <c r="J192" s="849">
        <f t="shared" si="176"/>
        <v>675.25893041724862</v>
      </c>
      <c r="K192" s="849">
        <f t="shared" si="176"/>
        <v>652.11591831536145</v>
      </c>
      <c r="L192" s="849">
        <f t="shared" si="176"/>
        <v>633.35228649586293</v>
      </c>
      <c r="M192" s="849">
        <f t="shared" si="176"/>
        <v>620.18903932183457</v>
      </c>
      <c r="N192" s="849">
        <f t="shared" si="176"/>
        <v>611.79515737412612</v>
      </c>
      <c r="O192" s="849">
        <f t="shared" si="176"/>
        <v>606.81824651240913</v>
      </c>
      <c r="P192" s="849">
        <f t="shared" si="176"/>
        <v>603.01296423761062</v>
      </c>
      <c r="Q192" s="849">
        <f t="shared" si="176"/>
        <v>598.75409432416211</v>
      </c>
    </row>
    <row r="193" spans="1:17">
      <c r="A193" s="484">
        <v>19</v>
      </c>
      <c r="B193" s="849">
        <f t="shared" si="156"/>
        <v>777.41477667133574</v>
      </c>
      <c r="C193" s="849">
        <f t="shared" si="156"/>
        <v>785.02019591554904</v>
      </c>
      <c r="D193" s="849">
        <f t="shared" si="156"/>
        <v>791.24675246632307</v>
      </c>
      <c r="E193" s="849">
        <f t="shared" si="156"/>
        <v>795.27266260469207</v>
      </c>
      <c r="F193" s="2">
        <v>796.07600000000002</v>
      </c>
      <c r="G193" s="849">
        <f t="shared" si="157"/>
        <v>793.00929869184961</v>
      </c>
      <c r="H193" s="849">
        <f t="shared" ref="H193:Q193" si="177">G193*H834</f>
        <v>785.82630025940568</v>
      </c>
      <c r="I193" s="849">
        <f t="shared" si="177"/>
        <v>774.96418257336404</v>
      </c>
      <c r="J193" s="849">
        <f t="shared" si="177"/>
        <v>761.3406502357127</v>
      </c>
      <c r="K193" s="849">
        <f t="shared" si="177"/>
        <v>746.26539222617293</v>
      </c>
      <c r="L193" s="849">
        <f t="shared" si="177"/>
        <v>730.81475153019198</v>
      </c>
      <c r="M193" s="849">
        <f t="shared" si="177"/>
        <v>715.22945267150715</v>
      </c>
      <c r="N193" s="849">
        <f t="shared" si="177"/>
        <v>699.62662980534719</v>
      </c>
      <c r="O193" s="849">
        <f t="shared" si="177"/>
        <v>684.80316411373985</v>
      </c>
      <c r="P193" s="849">
        <f t="shared" si="177"/>
        <v>671.66384777211226</v>
      </c>
      <c r="Q193" s="849">
        <f t="shared" si="177"/>
        <v>660.84507894666706</v>
      </c>
    </row>
    <row r="194" spans="1:17">
      <c r="A194" s="484">
        <v>20</v>
      </c>
      <c r="B194" s="849">
        <f t="shared" ref="B194:E213" si="178">C194/C835</f>
        <v>631.90807240026857</v>
      </c>
      <c r="C194" s="849">
        <f t="shared" si="178"/>
        <v>637.32105946051433</v>
      </c>
      <c r="D194" s="849">
        <f t="shared" si="178"/>
        <v>641.65622572695383</v>
      </c>
      <c r="E194" s="849">
        <f t="shared" si="178"/>
        <v>644.9790570948503</v>
      </c>
      <c r="F194" s="2">
        <v>647.42899999999997</v>
      </c>
      <c r="G194" s="849">
        <f t="shared" si="157"/>
        <v>649.03687133429162</v>
      </c>
      <c r="H194" s="849">
        <f t="shared" ref="H194:Q194" si="179">G194*H835</f>
        <v>650.16245831052549</v>
      </c>
      <c r="I194" s="849">
        <f t="shared" si="179"/>
        <v>650.61546662128899</v>
      </c>
      <c r="J194" s="849">
        <f t="shared" si="179"/>
        <v>649.25644168899839</v>
      </c>
      <c r="K194" s="849">
        <f t="shared" si="179"/>
        <v>644.55070229759758</v>
      </c>
      <c r="L194" s="849">
        <f t="shared" si="179"/>
        <v>635.5945430924512</v>
      </c>
      <c r="M194" s="849">
        <f t="shared" si="179"/>
        <v>621.75698821213859</v>
      </c>
      <c r="N194" s="849">
        <f t="shared" si="179"/>
        <v>603.89859936265111</v>
      </c>
      <c r="O194" s="849">
        <f t="shared" si="179"/>
        <v>584.43542086806065</v>
      </c>
      <c r="P194" s="849">
        <f t="shared" si="179"/>
        <v>566.69798831923606</v>
      </c>
      <c r="Q194" s="849">
        <f t="shared" si="179"/>
        <v>553.06767703687478</v>
      </c>
    </row>
    <row r="195" spans="1:17">
      <c r="A195" s="484">
        <v>21</v>
      </c>
      <c r="B195" s="849">
        <f t="shared" si="178"/>
        <v>661.9122681488376</v>
      </c>
      <c r="C195" s="849">
        <f t="shared" si="178"/>
        <v>666.78550640648052</v>
      </c>
      <c r="D195" s="849">
        <f t="shared" si="178"/>
        <v>670.7656644505538</v>
      </c>
      <c r="E195" s="849">
        <f t="shared" si="178"/>
        <v>674.68173379337361</v>
      </c>
      <c r="F195" s="2">
        <v>679.66899999999998</v>
      </c>
      <c r="G195" s="849">
        <f t="shared" si="157"/>
        <v>686.31175226887262</v>
      </c>
      <c r="H195" s="849">
        <f t="shared" ref="H195:Q195" si="180">G195*H836</f>
        <v>695.61959572493106</v>
      </c>
      <c r="I195" s="849">
        <f t="shared" si="180"/>
        <v>706.7910054421103</v>
      </c>
      <c r="J195" s="849">
        <f t="shared" si="180"/>
        <v>716.45258523625546</v>
      </c>
      <c r="K195" s="849">
        <f t="shared" si="180"/>
        <v>720.00909199542014</v>
      </c>
      <c r="L195" s="849">
        <f t="shared" si="180"/>
        <v>714.47082942217389</v>
      </c>
      <c r="M195" s="849">
        <f t="shared" si="180"/>
        <v>698.18897002063454</v>
      </c>
      <c r="N195" s="849">
        <f t="shared" si="180"/>
        <v>672.96881759623807</v>
      </c>
      <c r="O195" s="849">
        <f t="shared" si="180"/>
        <v>643.51464928514145</v>
      </c>
      <c r="P195" s="849">
        <f t="shared" si="180"/>
        <v>616.48419913053601</v>
      </c>
      <c r="Q195" s="849">
        <f t="shared" si="180"/>
        <v>596.63834208267258</v>
      </c>
    </row>
    <row r="196" spans="1:17">
      <c r="A196" s="484">
        <v>22</v>
      </c>
      <c r="B196" s="849">
        <f t="shared" si="178"/>
        <v>680.86141355692575</v>
      </c>
      <c r="C196" s="849">
        <f t="shared" si="178"/>
        <v>684.73320988620503</v>
      </c>
      <c r="D196" s="849">
        <f t="shared" si="178"/>
        <v>687.59106909992852</v>
      </c>
      <c r="E196" s="849">
        <f t="shared" si="178"/>
        <v>691.04567255353652</v>
      </c>
      <c r="F196" s="2">
        <v>697.27099999999996</v>
      </c>
      <c r="G196" s="849">
        <f t="shared" si="157"/>
        <v>707.47638268651815</v>
      </c>
      <c r="H196" s="849">
        <f t="shared" ref="H196:Q196" si="181">G196*H837</f>
        <v>723.16864382648657</v>
      </c>
      <c r="I196" s="849">
        <f t="shared" si="181"/>
        <v>743.02227187821495</v>
      </c>
      <c r="J196" s="849">
        <f t="shared" si="181"/>
        <v>762.02479125742389</v>
      </c>
      <c r="K196" s="849">
        <f t="shared" si="181"/>
        <v>773.30924243671234</v>
      </c>
      <c r="L196" s="849">
        <f t="shared" si="181"/>
        <v>772.30146639737961</v>
      </c>
      <c r="M196" s="849">
        <f t="shared" si="181"/>
        <v>756.69458017078716</v>
      </c>
      <c r="N196" s="849">
        <f t="shared" si="181"/>
        <v>728.89668440637979</v>
      </c>
      <c r="O196" s="849">
        <f t="shared" si="181"/>
        <v>694.82153212448657</v>
      </c>
      <c r="P196" s="849">
        <f t="shared" si="181"/>
        <v>662.95732605290243</v>
      </c>
      <c r="Q196" s="849">
        <f t="shared" si="181"/>
        <v>639.39384996118486</v>
      </c>
    </row>
    <row r="197" spans="1:17">
      <c r="A197" s="484">
        <v>23</v>
      </c>
      <c r="B197" s="849">
        <f t="shared" si="178"/>
        <v>674.83434796135975</v>
      </c>
      <c r="C197" s="849">
        <f t="shared" si="178"/>
        <v>677.44216856778576</v>
      </c>
      <c r="D197" s="849">
        <f t="shared" si="178"/>
        <v>678.44202604167333</v>
      </c>
      <c r="E197" s="849">
        <f t="shared" si="178"/>
        <v>680.00458157744595</v>
      </c>
      <c r="F197" s="2">
        <v>685.08399999999995</v>
      </c>
      <c r="G197" s="849">
        <f t="shared" si="157"/>
        <v>695.44583551300332</v>
      </c>
      <c r="H197" s="849">
        <f t="shared" ref="H197:Q197" si="182">G197*H838</f>
        <v>712.65887606747071</v>
      </c>
      <c r="I197" s="849">
        <f t="shared" si="182"/>
        <v>735.18193440846096</v>
      </c>
      <c r="J197" s="849">
        <f t="shared" si="182"/>
        <v>757.90888176238116</v>
      </c>
      <c r="K197" s="849">
        <f t="shared" si="182"/>
        <v>773.77928200462929</v>
      </c>
      <c r="L197" s="849">
        <f t="shared" si="182"/>
        <v>777.98705263828219</v>
      </c>
      <c r="M197" s="849">
        <f t="shared" si="182"/>
        <v>768.41228213589022</v>
      </c>
      <c r="N197" s="849">
        <f t="shared" si="182"/>
        <v>747.27281997871228</v>
      </c>
      <c r="O197" s="849">
        <f t="shared" si="182"/>
        <v>719.42282729554142</v>
      </c>
      <c r="P197" s="849">
        <f t="shared" si="182"/>
        <v>691.96013470243372</v>
      </c>
      <c r="Q197" s="849">
        <f t="shared" si="182"/>
        <v>670.05408547044078</v>
      </c>
    </row>
    <row r="198" spans="1:17">
      <c r="A198" s="484">
        <v>24</v>
      </c>
      <c r="B198" s="849">
        <f t="shared" si="178"/>
        <v>833.1952818594732</v>
      </c>
      <c r="C198" s="849">
        <f t="shared" si="178"/>
        <v>834.89994529900139</v>
      </c>
      <c r="D198" s="849">
        <f t="shared" si="178"/>
        <v>833.51344104759733</v>
      </c>
      <c r="E198" s="849">
        <f t="shared" si="178"/>
        <v>832.22071003058761</v>
      </c>
      <c r="F198" s="2">
        <v>835.40899999999999</v>
      </c>
      <c r="G198" s="849">
        <f t="shared" si="157"/>
        <v>845.85801754681358</v>
      </c>
      <c r="H198" s="849">
        <f t="shared" ref="H198:Q198" si="183">G198*H839</f>
        <v>865.27130976252806</v>
      </c>
      <c r="I198" s="849">
        <f t="shared" si="183"/>
        <v>891.71647820980013</v>
      </c>
      <c r="J198" s="849">
        <f t="shared" si="183"/>
        <v>919.91877845394026</v>
      </c>
      <c r="K198" s="849">
        <f t="shared" si="183"/>
        <v>942.49803367849711</v>
      </c>
      <c r="L198" s="849">
        <f t="shared" si="183"/>
        <v>954.25429476669069</v>
      </c>
      <c r="M198" s="849">
        <f t="shared" si="183"/>
        <v>953.41480104925438</v>
      </c>
      <c r="N198" s="849">
        <f t="shared" si="183"/>
        <v>941.90302017930344</v>
      </c>
      <c r="O198" s="849">
        <f t="shared" si="183"/>
        <v>922.78444384311445</v>
      </c>
      <c r="P198" s="849">
        <f t="shared" si="183"/>
        <v>900.79015498549472</v>
      </c>
      <c r="Q198" s="849">
        <f t="shared" si="183"/>
        <v>879.54047026288833</v>
      </c>
    </row>
    <row r="199" spans="1:17">
      <c r="A199" s="484">
        <v>25</v>
      </c>
      <c r="B199" s="849">
        <f t="shared" si="178"/>
        <v>808.23897464341633</v>
      </c>
      <c r="C199" s="849">
        <f t="shared" si="178"/>
        <v>808.09582683127417</v>
      </c>
      <c r="D199" s="849">
        <f t="shared" si="178"/>
        <v>803.86856182501253</v>
      </c>
      <c r="E199" s="849">
        <f t="shared" si="178"/>
        <v>799.22506702652197</v>
      </c>
      <c r="F199" s="2">
        <v>799.25699999999995</v>
      </c>
      <c r="G199" s="849">
        <f t="shared" si="157"/>
        <v>807.32613205675568</v>
      </c>
      <c r="H199" s="849">
        <f t="shared" ref="H199:Q199" si="184">G199*H840</f>
        <v>824.92009930605207</v>
      </c>
      <c r="I199" s="849">
        <f t="shared" si="184"/>
        <v>850.08438354363932</v>
      </c>
      <c r="J199" s="849">
        <f t="shared" si="184"/>
        <v>878.4904151577399</v>
      </c>
      <c r="K199" s="849">
        <f t="shared" si="184"/>
        <v>903.96742230800714</v>
      </c>
      <c r="L199" s="849">
        <f t="shared" si="184"/>
        <v>921.98532730864781</v>
      </c>
      <c r="M199" s="849">
        <f t="shared" si="184"/>
        <v>931.54209547466621</v>
      </c>
      <c r="N199" s="849">
        <f t="shared" si="184"/>
        <v>933.8137411396616</v>
      </c>
      <c r="O199" s="849">
        <f t="shared" si="184"/>
        <v>929.1592349710063</v>
      </c>
      <c r="P199" s="849">
        <f t="shared" si="184"/>
        <v>918.60153325700878</v>
      </c>
      <c r="Q199" s="849">
        <f t="shared" si="184"/>
        <v>903.20763776663682</v>
      </c>
    </row>
    <row r="200" spans="1:17">
      <c r="A200" s="484">
        <v>26</v>
      </c>
      <c r="B200" s="849">
        <f t="shared" si="178"/>
        <v>781.73728668995489</v>
      </c>
      <c r="C200" s="849">
        <f t="shared" si="178"/>
        <v>779.42960311440436</v>
      </c>
      <c r="D200" s="849">
        <f t="shared" si="178"/>
        <v>771.88496141057487</v>
      </c>
      <c r="E200" s="849">
        <f t="shared" si="178"/>
        <v>763.36678261879615</v>
      </c>
      <c r="F200" s="2">
        <v>759.81700000000001</v>
      </c>
      <c r="G200" s="849">
        <f t="shared" si="157"/>
        <v>765.27270617251224</v>
      </c>
      <c r="H200" s="849">
        <f t="shared" ref="H200:Q200" si="185">G200*H841</f>
        <v>781.05072104617295</v>
      </c>
      <c r="I200" s="849">
        <f t="shared" si="185"/>
        <v>805.12491793404888</v>
      </c>
      <c r="J200" s="849">
        <f t="shared" si="185"/>
        <v>834.04081039502978</v>
      </c>
      <c r="K200" s="849">
        <f t="shared" si="185"/>
        <v>862.72604278956669</v>
      </c>
      <c r="L200" s="849">
        <f t="shared" si="185"/>
        <v>887.23123829924896</v>
      </c>
      <c r="M200" s="849">
        <f t="shared" si="185"/>
        <v>907.32681976874267</v>
      </c>
      <c r="N200" s="849">
        <f t="shared" si="185"/>
        <v>923.46327821983527</v>
      </c>
      <c r="O200" s="849">
        <f t="shared" si="185"/>
        <v>933.26254085482196</v>
      </c>
      <c r="P200" s="849">
        <f t="shared" si="185"/>
        <v>933.99675458744662</v>
      </c>
      <c r="Q200" s="849">
        <f t="shared" si="185"/>
        <v>924.17366790803851</v>
      </c>
    </row>
    <row r="201" spans="1:17">
      <c r="A201" s="484">
        <v>27</v>
      </c>
      <c r="B201" s="849">
        <f t="shared" si="178"/>
        <v>734.60827065120202</v>
      </c>
      <c r="C201" s="849">
        <f t="shared" si="178"/>
        <v>731.67076433115449</v>
      </c>
      <c r="D201" s="849">
        <f t="shared" si="178"/>
        <v>723.44884963465529</v>
      </c>
      <c r="E201" s="849">
        <f t="shared" si="178"/>
        <v>714.01262774810834</v>
      </c>
      <c r="F201" s="2">
        <v>709.053</v>
      </c>
      <c r="G201" s="849">
        <f t="shared" si="157"/>
        <v>712.5107759253234</v>
      </c>
      <c r="H201" s="849">
        <f t="shared" ref="H201:Q201" si="186">G201*H842</f>
        <v>725.37788107370045</v>
      </c>
      <c r="I201" s="849">
        <f t="shared" si="186"/>
        <v>745.87939965456712</v>
      </c>
      <c r="J201" s="849">
        <f t="shared" si="186"/>
        <v>771.70876860675935</v>
      </c>
      <c r="K201" s="849">
        <f t="shared" si="186"/>
        <v>799.35339234475578</v>
      </c>
      <c r="L201" s="849">
        <f t="shared" si="186"/>
        <v>825.86542121639559</v>
      </c>
      <c r="M201" s="849">
        <f t="shared" si="186"/>
        <v>851.59549418030451</v>
      </c>
      <c r="N201" s="849">
        <f t="shared" si="186"/>
        <v>876.36880892377553</v>
      </c>
      <c r="O201" s="849">
        <f t="shared" si="186"/>
        <v>896.13698525784173</v>
      </c>
      <c r="P201" s="849">
        <f t="shared" si="186"/>
        <v>905.81937844867446</v>
      </c>
      <c r="Q201" s="849">
        <f t="shared" si="186"/>
        <v>902.23541387157434</v>
      </c>
    </row>
    <row r="202" spans="1:17">
      <c r="A202" s="484">
        <v>28</v>
      </c>
      <c r="B202" s="849">
        <f t="shared" si="178"/>
        <v>671.12745192438854</v>
      </c>
      <c r="C202" s="849">
        <f t="shared" si="178"/>
        <v>669.6711980890326</v>
      </c>
      <c r="D202" s="849">
        <f t="shared" si="178"/>
        <v>664.33800462340241</v>
      </c>
      <c r="E202" s="849">
        <f t="shared" si="178"/>
        <v>658.05094568382196</v>
      </c>
      <c r="F202" s="2">
        <v>654.88099999999997</v>
      </c>
      <c r="G202" s="849">
        <f t="shared" si="157"/>
        <v>657.6955275313934</v>
      </c>
      <c r="H202" s="849">
        <f t="shared" ref="H202:Q202" si="187">G202*H843</f>
        <v>667.02765550664526</v>
      </c>
      <c r="I202" s="849">
        <f t="shared" si="187"/>
        <v>681.71026756034837</v>
      </c>
      <c r="J202" s="849">
        <f t="shared" si="187"/>
        <v>700.72802048407834</v>
      </c>
      <c r="K202" s="849">
        <f t="shared" si="187"/>
        <v>722.4066066030166</v>
      </c>
      <c r="L202" s="849">
        <f t="shared" si="187"/>
        <v>745.15144717924045</v>
      </c>
      <c r="M202" s="849">
        <f t="shared" si="187"/>
        <v>769.52160536062399</v>
      </c>
      <c r="N202" s="849">
        <f t="shared" si="187"/>
        <v>794.96089976809662</v>
      </c>
      <c r="O202" s="849">
        <f t="shared" si="187"/>
        <v>817.42620877038325</v>
      </c>
      <c r="P202" s="849">
        <f t="shared" si="187"/>
        <v>831.68808257877913</v>
      </c>
      <c r="Q202" s="849">
        <f t="shared" si="187"/>
        <v>834.31337395874459</v>
      </c>
    </row>
    <row r="203" spans="1:17">
      <c r="A203" s="484">
        <v>29</v>
      </c>
      <c r="B203" s="849">
        <f t="shared" si="178"/>
        <v>698.31464214659013</v>
      </c>
      <c r="C203" s="849">
        <f t="shared" si="178"/>
        <v>699.45531069127026</v>
      </c>
      <c r="D203" s="849">
        <f t="shared" si="178"/>
        <v>698.43551441445902</v>
      </c>
      <c r="E203" s="849">
        <f t="shared" si="178"/>
        <v>696.86823786553498</v>
      </c>
      <c r="F203" s="2">
        <v>696.98199999999997</v>
      </c>
      <c r="G203" s="849">
        <f t="shared" si="157"/>
        <v>700.38775390054593</v>
      </c>
      <c r="H203" s="849">
        <f t="shared" ref="H203:Q203" si="188">G203*H844</f>
        <v>707.17285263470853</v>
      </c>
      <c r="I203" s="849">
        <f t="shared" si="188"/>
        <v>716.82028793067775</v>
      </c>
      <c r="J203" s="849">
        <f t="shared" si="188"/>
        <v>729.53523792382828</v>
      </c>
      <c r="K203" s="849">
        <f t="shared" si="188"/>
        <v>745.41622874847349</v>
      </c>
      <c r="L203" s="849">
        <f t="shared" si="188"/>
        <v>764.19409106860235</v>
      </c>
      <c r="M203" s="849">
        <f t="shared" si="188"/>
        <v>786.50365822386357</v>
      </c>
      <c r="N203" s="849">
        <f t="shared" si="188"/>
        <v>811.47444673893096</v>
      </c>
      <c r="O203" s="849">
        <f t="shared" si="188"/>
        <v>835.48333577776305</v>
      </c>
      <c r="P203" s="849">
        <f t="shared" si="188"/>
        <v>853.7299695592742</v>
      </c>
      <c r="Q203" s="849">
        <f t="shared" si="188"/>
        <v>862.88680565036316</v>
      </c>
    </row>
    <row r="204" spans="1:17">
      <c r="A204" s="484">
        <v>30</v>
      </c>
      <c r="B204" s="849">
        <f t="shared" si="178"/>
        <v>690.82479125633949</v>
      </c>
      <c r="C204" s="849">
        <f t="shared" si="178"/>
        <v>694.55173637154019</v>
      </c>
      <c r="D204" s="849">
        <f t="shared" si="178"/>
        <v>697.89292429792772</v>
      </c>
      <c r="E204" s="849">
        <f t="shared" si="178"/>
        <v>701.0504183248803</v>
      </c>
      <c r="F204" s="2">
        <v>704.26199999999994</v>
      </c>
      <c r="G204" s="849">
        <f t="shared" si="157"/>
        <v>707.80014860744814</v>
      </c>
      <c r="H204" s="849">
        <f t="shared" ref="H204:Q204" si="189">G204*H845</f>
        <v>711.25155287349651</v>
      </c>
      <c r="I204" s="849">
        <f t="shared" si="189"/>
        <v>714.81011191421544</v>
      </c>
      <c r="J204" s="849">
        <f t="shared" si="189"/>
        <v>720.02803917982908</v>
      </c>
      <c r="K204" s="849">
        <f t="shared" si="189"/>
        <v>728.95760373569055</v>
      </c>
      <c r="L204" s="849">
        <f t="shared" si="189"/>
        <v>742.79179540646294</v>
      </c>
      <c r="M204" s="849">
        <f t="shared" si="189"/>
        <v>762.28375917982919</v>
      </c>
      <c r="N204" s="849">
        <f t="shared" si="189"/>
        <v>786.22213584118265</v>
      </c>
      <c r="O204" s="849">
        <f t="shared" si="189"/>
        <v>811.40758997536614</v>
      </c>
      <c r="P204" s="849">
        <f t="shared" si="189"/>
        <v>833.43555008259693</v>
      </c>
      <c r="Q204" s="849">
        <f t="shared" si="189"/>
        <v>849.07198301115795</v>
      </c>
    </row>
    <row r="205" spans="1:17">
      <c r="A205" s="484">
        <v>31</v>
      </c>
      <c r="B205" s="849">
        <f t="shared" si="178"/>
        <v>646.48753540432403</v>
      </c>
      <c r="C205" s="849">
        <f t="shared" si="178"/>
        <v>652.66726985570619</v>
      </c>
      <c r="D205" s="849">
        <f t="shared" si="178"/>
        <v>660.26630595581253</v>
      </c>
      <c r="E205" s="849">
        <f t="shared" si="178"/>
        <v>668.03026432542197</v>
      </c>
      <c r="F205" s="2">
        <v>674.14499999999998</v>
      </c>
      <c r="G205" s="849">
        <f t="shared" si="157"/>
        <v>677.50359351188172</v>
      </c>
      <c r="H205" s="849">
        <f t="shared" ref="H205:Q205" si="190">G205*H846</f>
        <v>677.18927106882859</v>
      </c>
      <c r="I205" s="849">
        <f t="shared" si="190"/>
        <v>674.11977659407614</v>
      </c>
      <c r="J205" s="849">
        <f t="shared" si="190"/>
        <v>671.19192124489689</v>
      </c>
      <c r="K205" s="849">
        <f t="shared" si="190"/>
        <v>672.41040577722606</v>
      </c>
      <c r="L205" s="849">
        <f t="shared" si="190"/>
        <v>680.44018004003476</v>
      </c>
      <c r="M205" s="849">
        <f t="shared" si="190"/>
        <v>696.14660088271592</v>
      </c>
      <c r="N205" s="849">
        <f t="shared" si="190"/>
        <v>718.00947303284943</v>
      </c>
      <c r="O205" s="849">
        <f t="shared" si="190"/>
        <v>743.33474271155183</v>
      </c>
      <c r="P205" s="849">
        <f t="shared" si="190"/>
        <v>768.23606514453149</v>
      </c>
      <c r="Q205" s="849">
        <f t="shared" si="190"/>
        <v>789.6546172980037</v>
      </c>
    </row>
    <row r="206" spans="1:17">
      <c r="A206" s="484">
        <v>32</v>
      </c>
      <c r="B206" s="849">
        <f t="shared" si="178"/>
        <v>616.35092077780132</v>
      </c>
      <c r="C206" s="849">
        <f t="shared" si="178"/>
        <v>624.49697731460549</v>
      </c>
      <c r="D206" s="849">
        <f t="shared" si="178"/>
        <v>635.19669475218745</v>
      </c>
      <c r="E206" s="849">
        <f t="shared" si="178"/>
        <v>646.26162221958361</v>
      </c>
      <c r="F206" s="2">
        <v>654.56500000000005</v>
      </c>
      <c r="G206" s="849">
        <f t="shared" ref="G206:G237" si="191">F206*G847</f>
        <v>658.0991093654327</v>
      </c>
      <c r="H206" s="849">
        <f t="shared" ref="H206:Q206" si="192">G206*H847</f>
        <v>655.68310455281573</v>
      </c>
      <c r="I206" s="849">
        <f t="shared" si="192"/>
        <v>648.67013554440939</v>
      </c>
      <c r="J206" s="849">
        <f t="shared" si="192"/>
        <v>640.65049786407928</v>
      </c>
      <c r="K206" s="849">
        <f t="shared" si="192"/>
        <v>636.6434883318359</v>
      </c>
      <c r="L206" s="849">
        <f t="shared" si="192"/>
        <v>640.12515728273127</v>
      </c>
      <c r="M206" s="849">
        <f t="shared" si="192"/>
        <v>651.95047076091987</v>
      </c>
      <c r="N206" s="849">
        <f t="shared" si="192"/>
        <v>670.53685197054051</v>
      </c>
      <c r="O206" s="849">
        <f t="shared" si="192"/>
        <v>693.84474336047697</v>
      </c>
      <c r="P206" s="849">
        <f t="shared" si="192"/>
        <v>718.76892324133462</v>
      </c>
      <c r="Q206" s="849">
        <f t="shared" si="192"/>
        <v>742.70422673377243</v>
      </c>
    </row>
    <row r="207" spans="1:17">
      <c r="A207" s="484">
        <v>33</v>
      </c>
      <c r="B207" s="849">
        <f t="shared" si="178"/>
        <v>669.39597158884101</v>
      </c>
      <c r="C207" s="849">
        <f t="shared" si="178"/>
        <v>679.84995252959936</v>
      </c>
      <c r="D207" s="849">
        <f t="shared" si="178"/>
        <v>693.38387728177781</v>
      </c>
      <c r="E207" s="849">
        <f t="shared" si="178"/>
        <v>707.32149393738268</v>
      </c>
      <c r="F207" s="2">
        <v>717.83900000000006</v>
      </c>
      <c r="G207" s="849">
        <f t="shared" si="191"/>
        <v>722.44559593351471</v>
      </c>
      <c r="H207" s="849">
        <f t="shared" ref="H207:Q207" si="193">G207*H848</f>
        <v>719.87795149192493</v>
      </c>
      <c r="I207" s="849">
        <f t="shared" si="193"/>
        <v>711.71292413556853</v>
      </c>
      <c r="J207" s="849">
        <f t="shared" si="193"/>
        <v>701.73128321379374</v>
      </c>
      <c r="K207" s="849">
        <f t="shared" si="193"/>
        <v>695.2629913703156</v>
      </c>
      <c r="L207" s="849">
        <f t="shared" si="193"/>
        <v>696.07344897338714</v>
      </c>
      <c r="M207" s="849">
        <f t="shared" si="193"/>
        <v>704.94647405884916</v>
      </c>
      <c r="N207" s="849">
        <f t="shared" si="193"/>
        <v>720.40049684915175</v>
      </c>
      <c r="O207" s="849">
        <f t="shared" si="193"/>
        <v>741.07792401424467</v>
      </c>
      <c r="P207" s="849">
        <f t="shared" si="193"/>
        <v>764.74513030166781</v>
      </c>
      <c r="Q207" s="849">
        <f t="shared" si="193"/>
        <v>789.37443480563218</v>
      </c>
    </row>
    <row r="208" spans="1:17">
      <c r="A208" s="484">
        <v>34</v>
      </c>
      <c r="B208" s="849">
        <f t="shared" si="178"/>
        <v>603.82473373926575</v>
      </c>
      <c r="C208" s="849">
        <f t="shared" si="178"/>
        <v>614.21917785407834</v>
      </c>
      <c r="D208" s="849">
        <f t="shared" si="178"/>
        <v>627.06832992169257</v>
      </c>
      <c r="E208" s="849">
        <f t="shared" si="178"/>
        <v>640.15051213157335</v>
      </c>
      <c r="F208" s="2">
        <v>650.298</v>
      </c>
      <c r="G208" s="849">
        <f t="shared" si="191"/>
        <v>655.41816428127834</v>
      </c>
      <c r="H208" s="849">
        <f t="shared" ref="H208:Q208" si="194">G208*H849</f>
        <v>654.60673661458077</v>
      </c>
      <c r="I208" s="849">
        <f t="shared" si="194"/>
        <v>649.11985159148833</v>
      </c>
      <c r="J208" s="849">
        <f t="shared" si="194"/>
        <v>641.66660066671909</v>
      </c>
      <c r="K208" s="849">
        <f t="shared" si="194"/>
        <v>636.09244539114434</v>
      </c>
      <c r="L208" s="849">
        <f t="shared" si="194"/>
        <v>635.177036147021</v>
      </c>
      <c r="M208" s="849">
        <f t="shared" si="194"/>
        <v>639.39386047441292</v>
      </c>
      <c r="N208" s="849">
        <f t="shared" si="194"/>
        <v>647.84793408190524</v>
      </c>
      <c r="O208" s="849">
        <f t="shared" si="194"/>
        <v>660.2170997608664</v>
      </c>
      <c r="P208" s="849">
        <f t="shared" si="194"/>
        <v>675.75956036519653</v>
      </c>
      <c r="Q208" s="849">
        <f t="shared" si="194"/>
        <v>693.61653947419165</v>
      </c>
    </row>
    <row r="209" spans="1:17">
      <c r="A209" s="484">
        <v>35</v>
      </c>
      <c r="B209" s="849">
        <f t="shared" si="178"/>
        <v>583.75053085732873</v>
      </c>
      <c r="C209" s="849">
        <f t="shared" si="178"/>
        <v>594.95319769804041</v>
      </c>
      <c r="D209" s="849">
        <f t="shared" si="178"/>
        <v>608.31789351582393</v>
      </c>
      <c r="E209" s="849">
        <f t="shared" si="178"/>
        <v>621.80891823877846</v>
      </c>
      <c r="F209" s="2">
        <v>632.51800000000003</v>
      </c>
      <c r="G209" s="849">
        <f t="shared" si="191"/>
        <v>638.49425956391735</v>
      </c>
      <c r="H209" s="849">
        <f t="shared" ref="H209:Q209" si="195">G209*H850</f>
        <v>639.06273963718752</v>
      </c>
      <c r="I209" s="849">
        <f t="shared" si="195"/>
        <v>635.31347820157271</v>
      </c>
      <c r="J209" s="849">
        <f t="shared" si="195"/>
        <v>629.24427665742235</v>
      </c>
      <c r="K209" s="849">
        <f t="shared" si="195"/>
        <v>623.72731289873434</v>
      </c>
      <c r="L209" s="849">
        <f t="shared" si="195"/>
        <v>620.92190885461241</v>
      </c>
      <c r="M209" s="849">
        <f t="shared" si="195"/>
        <v>621.05365185571941</v>
      </c>
      <c r="N209" s="849">
        <f t="shared" si="195"/>
        <v>623.67226959005245</v>
      </c>
      <c r="O209" s="849">
        <f t="shared" si="195"/>
        <v>629.39857839159549</v>
      </c>
      <c r="P209" s="849">
        <f t="shared" si="195"/>
        <v>638.81730062142617</v>
      </c>
      <c r="Q209" s="849">
        <f t="shared" si="195"/>
        <v>652.0800309657501</v>
      </c>
    </row>
    <row r="210" spans="1:17">
      <c r="A210" s="484">
        <v>36</v>
      </c>
      <c r="B210" s="849">
        <f t="shared" si="178"/>
        <v>586.35754572080498</v>
      </c>
      <c r="C210" s="849">
        <f t="shared" si="178"/>
        <v>598.84448510986408</v>
      </c>
      <c r="D210" s="849">
        <f t="shared" si="178"/>
        <v>613.2745056446405</v>
      </c>
      <c r="E210" s="849">
        <f t="shared" si="178"/>
        <v>627.72731090204502</v>
      </c>
      <c r="F210" s="2">
        <v>639.46600000000001</v>
      </c>
      <c r="G210" s="849">
        <f t="shared" si="191"/>
        <v>646.61766873848228</v>
      </c>
      <c r="H210" s="849">
        <f t="shared" ref="H210:Q210" si="196">G210*H851</f>
        <v>648.72662266493148</v>
      </c>
      <c r="I210" s="849">
        <f t="shared" si="196"/>
        <v>646.75346568534508</v>
      </c>
      <c r="J210" s="849">
        <f t="shared" si="196"/>
        <v>641.99237004499435</v>
      </c>
      <c r="K210" s="849">
        <f t="shared" si="196"/>
        <v>636.36818911149442</v>
      </c>
      <c r="L210" s="849">
        <f t="shared" si="196"/>
        <v>631.44851180165267</v>
      </c>
      <c r="M210" s="849">
        <f t="shared" si="196"/>
        <v>627.18230033678253</v>
      </c>
      <c r="N210" s="849">
        <f t="shared" si="196"/>
        <v>623.58778249498641</v>
      </c>
      <c r="O210" s="849">
        <f t="shared" si="196"/>
        <v>622.36105302869396</v>
      </c>
      <c r="P210" s="849">
        <f t="shared" si="196"/>
        <v>625.5855469750112</v>
      </c>
      <c r="Q210" s="849">
        <f t="shared" si="196"/>
        <v>634.53447463439147</v>
      </c>
    </row>
    <row r="211" spans="1:17">
      <c r="A211" s="484">
        <v>37</v>
      </c>
      <c r="B211" s="849">
        <f t="shared" si="178"/>
        <v>607.65913676357002</v>
      </c>
      <c r="C211" s="849">
        <f t="shared" si="178"/>
        <v>621.99168200189297</v>
      </c>
      <c r="D211" s="849">
        <f t="shared" si="178"/>
        <v>638.1079345056155</v>
      </c>
      <c r="E211" s="849">
        <f t="shared" si="178"/>
        <v>654.13843185234782</v>
      </c>
      <c r="F211" s="2">
        <v>667.42</v>
      </c>
      <c r="G211" s="849">
        <f t="shared" si="191"/>
        <v>676.09842188742493</v>
      </c>
      <c r="H211" s="849">
        <f t="shared" ref="H211:Q211" si="197">G211*H852</f>
        <v>679.86402611437961</v>
      </c>
      <c r="I211" s="849">
        <f t="shared" si="197"/>
        <v>679.5762699209231</v>
      </c>
      <c r="J211" s="849">
        <f t="shared" si="197"/>
        <v>676.05173296861904</v>
      </c>
      <c r="K211" s="849">
        <f t="shared" si="197"/>
        <v>670.55387457045902</v>
      </c>
      <c r="L211" s="849">
        <f t="shared" si="197"/>
        <v>664.24801202643425</v>
      </c>
      <c r="M211" s="849">
        <f t="shared" si="197"/>
        <v>656.92071027914642</v>
      </c>
      <c r="N211" s="849">
        <f t="shared" si="197"/>
        <v>648.91880129686763</v>
      </c>
      <c r="O211" s="849">
        <f t="shared" si="197"/>
        <v>642.63294828947392</v>
      </c>
      <c r="P211" s="849">
        <f t="shared" si="197"/>
        <v>641.1169876808998</v>
      </c>
      <c r="Q211" s="849">
        <f t="shared" si="197"/>
        <v>646.39378834104025</v>
      </c>
    </row>
    <row r="212" spans="1:17">
      <c r="A212" s="484">
        <v>38</v>
      </c>
      <c r="B212" s="849">
        <f t="shared" si="178"/>
        <v>583.23967496540604</v>
      </c>
      <c r="C212" s="849">
        <f t="shared" si="178"/>
        <v>598.54561422632821</v>
      </c>
      <c r="D212" s="849">
        <f t="shared" si="178"/>
        <v>615.44141954950248</v>
      </c>
      <c r="E212" s="849">
        <f t="shared" si="178"/>
        <v>632.16191292065469</v>
      </c>
      <c r="F212" s="2">
        <v>646.19799999999998</v>
      </c>
      <c r="G212" s="849">
        <f t="shared" si="191"/>
        <v>655.79470611438717</v>
      </c>
      <c r="H212" s="849">
        <f t="shared" ref="H212:Q212" si="198">G212*H853</f>
        <v>660.65613437125</v>
      </c>
      <c r="I212" s="849">
        <f t="shared" si="198"/>
        <v>661.55588354300278</v>
      </c>
      <c r="J212" s="849">
        <f t="shared" si="198"/>
        <v>659.15253292031036</v>
      </c>
      <c r="K212" s="849">
        <f t="shared" si="198"/>
        <v>654.50722997996138</v>
      </c>
      <c r="L212" s="849">
        <f t="shared" si="198"/>
        <v>648.62175730493857</v>
      </c>
      <c r="M212" s="849">
        <f t="shared" si="198"/>
        <v>641.3569784253832</v>
      </c>
      <c r="N212" s="849">
        <f t="shared" si="198"/>
        <v>633.08856180991381</v>
      </c>
      <c r="O212" s="849">
        <f t="shared" si="198"/>
        <v>625.96291940021717</v>
      </c>
      <c r="P212" s="849">
        <f t="shared" si="198"/>
        <v>622.71640177018094</v>
      </c>
      <c r="Q212" s="849">
        <f t="shared" si="198"/>
        <v>625.22271338056885</v>
      </c>
    </row>
    <row r="213" spans="1:17">
      <c r="A213" s="484">
        <v>39</v>
      </c>
      <c r="B213" s="849">
        <f t="shared" si="178"/>
        <v>644.37851823511278</v>
      </c>
      <c r="C213" s="849">
        <f t="shared" si="178"/>
        <v>663.19250481052541</v>
      </c>
      <c r="D213" s="849">
        <f t="shared" si="178"/>
        <v>683.6914194922922</v>
      </c>
      <c r="E213" s="849">
        <f t="shared" si="178"/>
        <v>703.90011731311347</v>
      </c>
      <c r="F213" s="2">
        <v>721.02499999999998</v>
      </c>
      <c r="G213" s="849">
        <f t="shared" si="191"/>
        <v>733.11388938759728</v>
      </c>
      <c r="H213" s="849">
        <f t="shared" ref="H213:Q213" si="199">G213*H854</f>
        <v>739.74085569437341</v>
      </c>
      <c r="I213" s="849">
        <f t="shared" si="199"/>
        <v>741.74105535470483</v>
      </c>
      <c r="J213" s="849">
        <f t="shared" si="199"/>
        <v>739.99349051577224</v>
      </c>
      <c r="K213" s="849">
        <f t="shared" si="199"/>
        <v>735.88765269526959</v>
      </c>
      <c r="L213" s="849">
        <f t="shared" si="199"/>
        <v>730.6386945052144</v>
      </c>
      <c r="M213" s="849">
        <f t="shared" si="199"/>
        <v>724.32073607915765</v>
      </c>
      <c r="N213" s="849">
        <f t="shared" si="199"/>
        <v>717.1958077483846</v>
      </c>
      <c r="O213" s="849">
        <f t="shared" si="199"/>
        <v>710.91334347078873</v>
      </c>
      <c r="P213" s="849">
        <f t="shared" si="199"/>
        <v>707.51216889179125</v>
      </c>
      <c r="Q213" s="849">
        <f t="shared" si="199"/>
        <v>708.4454562072068</v>
      </c>
    </row>
    <row r="214" spans="1:17">
      <c r="A214" s="484">
        <v>40</v>
      </c>
      <c r="B214" s="849">
        <f t="shared" ref="B214:E233" si="200">C214/C855</f>
        <v>543.40918131295996</v>
      </c>
      <c r="C214" s="849">
        <f t="shared" si="200"/>
        <v>560.88038735945531</v>
      </c>
      <c r="D214" s="849">
        <f t="shared" si="200"/>
        <v>579.63897378058061</v>
      </c>
      <c r="E214" s="849">
        <f t="shared" si="200"/>
        <v>598.06000439915294</v>
      </c>
      <c r="F214" s="2">
        <v>613.85599999999999</v>
      </c>
      <c r="G214" s="849">
        <f t="shared" si="191"/>
        <v>625.42357052099544</v>
      </c>
      <c r="H214" s="849">
        <f t="shared" ref="H214:Q214" si="201">G214*H855</f>
        <v>632.35064651168238</v>
      </c>
      <c r="I214" s="849">
        <f t="shared" si="201"/>
        <v>635.2872024429339</v>
      </c>
      <c r="J214" s="849">
        <f t="shared" si="201"/>
        <v>635.0151827403447</v>
      </c>
      <c r="K214" s="849">
        <f t="shared" si="201"/>
        <v>632.76181820734519</v>
      </c>
      <c r="L214" s="849">
        <f t="shared" si="201"/>
        <v>629.55503808309254</v>
      </c>
      <c r="M214" s="849">
        <f t="shared" si="201"/>
        <v>625.63005412362099</v>
      </c>
      <c r="N214" s="849">
        <f t="shared" si="201"/>
        <v>621.10985873571155</v>
      </c>
      <c r="O214" s="849">
        <f t="shared" si="201"/>
        <v>616.8221818394544</v>
      </c>
      <c r="P214" s="849">
        <f t="shared" si="201"/>
        <v>613.73031432883681</v>
      </c>
      <c r="Q214" s="849">
        <f t="shared" si="201"/>
        <v>612.58926798563266</v>
      </c>
    </row>
    <row r="215" spans="1:17">
      <c r="A215" s="484">
        <v>41</v>
      </c>
      <c r="B215" s="849">
        <f t="shared" si="200"/>
        <v>602.72200249509785</v>
      </c>
      <c r="C215" s="849">
        <f t="shared" si="200"/>
        <v>623.89167919049908</v>
      </c>
      <c r="D215" s="849">
        <f t="shared" si="200"/>
        <v>646.29095661252722</v>
      </c>
      <c r="E215" s="849">
        <f t="shared" si="200"/>
        <v>668.20408916497092</v>
      </c>
      <c r="F215" s="2">
        <v>687.23900000000003</v>
      </c>
      <c r="G215" s="849">
        <f t="shared" si="191"/>
        <v>701.71045470568652</v>
      </c>
      <c r="H215" s="849">
        <f t="shared" ref="H215:Q215" si="202">G215*H856</f>
        <v>711.11095058344745</v>
      </c>
      <c r="I215" s="849">
        <f t="shared" si="202"/>
        <v>716.07105210847612</v>
      </c>
      <c r="J215" s="849">
        <f t="shared" si="202"/>
        <v>717.47253250656718</v>
      </c>
      <c r="K215" s="849">
        <f t="shared" si="202"/>
        <v>716.69246322838444</v>
      </c>
      <c r="L215" s="849">
        <f t="shared" si="202"/>
        <v>714.83840026342091</v>
      </c>
      <c r="M215" s="849">
        <f t="shared" si="202"/>
        <v>712.37207953383415</v>
      </c>
      <c r="N215" s="849">
        <f t="shared" si="202"/>
        <v>709.32604630286005</v>
      </c>
      <c r="O215" s="849">
        <f t="shared" si="202"/>
        <v>705.90370846572216</v>
      </c>
      <c r="P215" s="849">
        <f t="shared" si="202"/>
        <v>702.21694036479357</v>
      </c>
      <c r="Q215" s="849">
        <f t="shared" si="202"/>
        <v>698.52407002700829</v>
      </c>
    </row>
    <row r="216" spans="1:17">
      <c r="A216" s="484">
        <v>42</v>
      </c>
      <c r="B216" s="849">
        <f t="shared" si="200"/>
        <v>419.73370593570826</v>
      </c>
      <c r="C216" s="849">
        <f t="shared" si="200"/>
        <v>435.84580430003217</v>
      </c>
      <c r="D216" s="849">
        <f t="shared" si="200"/>
        <v>452.69426484677928</v>
      </c>
      <c r="E216" s="849">
        <f t="shared" si="200"/>
        <v>469.13242496643647</v>
      </c>
      <c r="F216" s="2">
        <v>483.57499999999999</v>
      </c>
      <c r="G216" s="849">
        <f t="shared" si="191"/>
        <v>494.90001798312653</v>
      </c>
      <c r="H216" s="849">
        <f t="shared" ref="H216:Q216" si="203">G216*H857</f>
        <v>502.72041674300414</v>
      </c>
      <c r="I216" s="849">
        <f t="shared" si="203"/>
        <v>507.42688942967573</v>
      </c>
      <c r="J216" s="849">
        <f t="shared" si="203"/>
        <v>509.64105934506875</v>
      </c>
      <c r="K216" s="849">
        <f t="shared" si="203"/>
        <v>510.3425641460754</v>
      </c>
      <c r="L216" s="849">
        <f t="shared" si="203"/>
        <v>510.28228992404274</v>
      </c>
      <c r="M216" s="849">
        <f t="shared" si="203"/>
        <v>509.8821562331994</v>
      </c>
      <c r="N216" s="849">
        <f t="shared" si="203"/>
        <v>509.09496036954374</v>
      </c>
      <c r="O216" s="849">
        <f t="shared" si="203"/>
        <v>507.6963079402073</v>
      </c>
      <c r="P216" s="849">
        <f t="shared" si="203"/>
        <v>505.27299373631536</v>
      </c>
      <c r="Q216" s="849">
        <f t="shared" si="203"/>
        <v>501.69938594567952</v>
      </c>
    </row>
    <row r="217" spans="1:17">
      <c r="A217" s="484">
        <v>43</v>
      </c>
      <c r="B217" s="849">
        <f t="shared" si="200"/>
        <v>562.73697436834311</v>
      </c>
      <c r="C217" s="849">
        <f t="shared" si="200"/>
        <v>586.40748069523158</v>
      </c>
      <c r="D217" s="849">
        <f t="shared" si="200"/>
        <v>610.96165650277555</v>
      </c>
      <c r="E217" s="849">
        <f t="shared" si="200"/>
        <v>634.88392337409596</v>
      </c>
      <c r="F217" s="2">
        <v>656.09500000000003</v>
      </c>
      <c r="G217" s="849">
        <f t="shared" si="191"/>
        <v>673.12243825608107</v>
      </c>
      <c r="H217" s="849">
        <f t="shared" ref="H217:Q217" si="204">G217*H858</f>
        <v>685.41758070088792</v>
      </c>
      <c r="I217" s="849">
        <f t="shared" si="204"/>
        <v>693.46489085219207</v>
      </c>
      <c r="J217" s="849">
        <f t="shared" si="204"/>
        <v>698.09588062765897</v>
      </c>
      <c r="K217" s="849">
        <f t="shared" si="204"/>
        <v>700.61549213209321</v>
      </c>
      <c r="L217" s="849">
        <f t="shared" si="204"/>
        <v>702.02374633282</v>
      </c>
      <c r="M217" s="849">
        <f t="shared" si="204"/>
        <v>702.88434612215303</v>
      </c>
      <c r="N217" s="849">
        <f t="shared" si="204"/>
        <v>703.0929763741126</v>
      </c>
      <c r="O217" s="849">
        <f t="shared" si="204"/>
        <v>702.229367494607</v>
      </c>
      <c r="P217" s="849">
        <f t="shared" si="204"/>
        <v>699.58939238327309</v>
      </c>
      <c r="Q217" s="849">
        <f t="shared" si="204"/>
        <v>694.89420868412628</v>
      </c>
    </row>
    <row r="218" spans="1:17">
      <c r="A218" s="484">
        <v>44</v>
      </c>
      <c r="B218" s="849">
        <f t="shared" si="200"/>
        <v>482.9962609506116</v>
      </c>
      <c r="C218" s="849">
        <f t="shared" si="200"/>
        <v>505.25853332604771</v>
      </c>
      <c r="D218" s="849">
        <f t="shared" si="200"/>
        <v>528.23256415964784</v>
      </c>
      <c r="E218" s="849">
        <f t="shared" si="200"/>
        <v>550.60440636030819</v>
      </c>
      <c r="F218" s="2">
        <v>570.596</v>
      </c>
      <c r="G218" s="849">
        <f t="shared" si="191"/>
        <v>586.94328343650227</v>
      </c>
      <c r="H218" s="849">
        <f t="shared" ref="H218:Q218" si="205">G218*H859</f>
        <v>599.16343678955877</v>
      </c>
      <c r="I218" s="849">
        <f t="shared" si="205"/>
        <v>607.6493079691196</v>
      </c>
      <c r="J218" s="849">
        <f t="shared" si="205"/>
        <v>613.10196569430241</v>
      </c>
      <c r="K218" s="849">
        <f t="shared" si="205"/>
        <v>616.63314282591898</v>
      </c>
      <c r="L218" s="849">
        <f t="shared" si="205"/>
        <v>619.08911037179848</v>
      </c>
      <c r="M218" s="849">
        <f t="shared" si="205"/>
        <v>620.8867681547456</v>
      </c>
      <c r="N218" s="849">
        <f t="shared" si="205"/>
        <v>621.9227820306462</v>
      </c>
      <c r="O218" s="849">
        <f t="shared" si="205"/>
        <v>621.95485124778497</v>
      </c>
      <c r="P218" s="849">
        <f t="shared" si="205"/>
        <v>620.54202407050343</v>
      </c>
      <c r="Q218" s="849">
        <f t="shared" si="205"/>
        <v>617.52929928263086</v>
      </c>
    </row>
    <row r="219" spans="1:17">
      <c r="A219" s="484">
        <v>45</v>
      </c>
      <c r="B219" s="849">
        <f t="shared" si="200"/>
        <v>593.30441034764988</v>
      </c>
      <c r="C219" s="849">
        <f t="shared" si="200"/>
        <v>623.05308611958344</v>
      </c>
      <c r="D219" s="849">
        <f t="shared" si="200"/>
        <v>653.64085621958782</v>
      </c>
      <c r="E219" s="849">
        <f t="shared" si="200"/>
        <v>683.4485751648092</v>
      </c>
      <c r="F219" s="2">
        <v>710.303</v>
      </c>
      <c r="G219" s="849">
        <f t="shared" si="191"/>
        <v>732.65651831763569</v>
      </c>
      <c r="H219" s="849">
        <f t="shared" ref="H219:Q219" si="206">G219*H860</f>
        <v>749.88917679819428</v>
      </c>
      <c r="I219" s="849">
        <f t="shared" si="206"/>
        <v>762.45515369773591</v>
      </c>
      <c r="J219" s="849">
        <f t="shared" si="206"/>
        <v>771.22079403969474</v>
      </c>
      <c r="K219" s="849">
        <f t="shared" si="206"/>
        <v>777.55544526609242</v>
      </c>
      <c r="L219" s="849">
        <f t="shared" si="206"/>
        <v>782.50598825714701</v>
      </c>
      <c r="M219" s="849">
        <f t="shared" si="206"/>
        <v>786.50502780175577</v>
      </c>
      <c r="N219" s="849">
        <f t="shared" si="206"/>
        <v>789.39019517337738</v>
      </c>
      <c r="O219" s="849">
        <f t="shared" si="206"/>
        <v>790.92418223322034</v>
      </c>
      <c r="P219" s="849">
        <f t="shared" si="206"/>
        <v>790.65394617086451</v>
      </c>
      <c r="Q219" s="849">
        <f t="shared" si="206"/>
        <v>788.41257647720818</v>
      </c>
    </row>
    <row r="220" spans="1:17">
      <c r="A220" s="484">
        <v>46</v>
      </c>
      <c r="B220" s="849">
        <f t="shared" si="200"/>
        <v>516.78610139348734</v>
      </c>
      <c r="C220" s="849">
        <f t="shared" si="200"/>
        <v>544.73611740816909</v>
      </c>
      <c r="D220" s="849">
        <f t="shared" si="200"/>
        <v>573.43845177128344</v>
      </c>
      <c r="E220" s="849">
        <f t="shared" si="200"/>
        <v>601.47594666369002</v>
      </c>
      <c r="F220" s="2">
        <v>626.95699999999999</v>
      </c>
      <c r="G220" s="849">
        <f t="shared" si="191"/>
        <v>648.52929124691605</v>
      </c>
      <c r="H220" s="849">
        <f t="shared" ref="H220:Q220" si="207">G220*H861</f>
        <v>665.62883893393052</v>
      </c>
      <c r="I220" s="849">
        <f t="shared" si="207"/>
        <v>678.6312876536258</v>
      </c>
      <c r="J220" s="849">
        <f t="shared" si="207"/>
        <v>688.29410157077166</v>
      </c>
      <c r="K220" s="849">
        <f t="shared" si="207"/>
        <v>695.82860585103845</v>
      </c>
      <c r="L220" s="849">
        <f t="shared" si="207"/>
        <v>702.14355165949587</v>
      </c>
      <c r="M220" s="849">
        <f t="shared" si="207"/>
        <v>707.54974630288359</v>
      </c>
      <c r="N220" s="849">
        <f t="shared" si="207"/>
        <v>711.85164876040506</v>
      </c>
      <c r="O220" s="849">
        <f t="shared" si="207"/>
        <v>714.8835637460171</v>
      </c>
      <c r="P220" s="849">
        <f t="shared" si="207"/>
        <v>716.31718817743513</v>
      </c>
      <c r="Q220" s="849">
        <f t="shared" si="207"/>
        <v>716.00741003396286</v>
      </c>
    </row>
    <row r="221" spans="1:17">
      <c r="A221" s="484">
        <v>47</v>
      </c>
      <c r="B221" s="849">
        <f t="shared" si="200"/>
        <v>450.8933326873123</v>
      </c>
      <c r="C221" s="849">
        <f t="shared" si="200"/>
        <v>477.32539608531539</v>
      </c>
      <c r="D221" s="849">
        <f t="shared" si="200"/>
        <v>504.41657103863957</v>
      </c>
      <c r="E221" s="849">
        <f t="shared" si="200"/>
        <v>530.91999124320159</v>
      </c>
      <c r="F221" s="2">
        <v>555.18600000000004</v>
      </c>
      <c r="G221" s="849">
        <f t="shared" si="191"/>
        <v>576.0400267168601</v>
      </c>
      <c r="H221" s="849">
        <f t="shared" ref="H221:Q221" si="208">G221*H862</f>
        <v>592.95628439808411</v>
      </c>
      <c r="I221" s="849">
        <f t="shared" si="208"/>
        <v>606.23334494480071</v>
      </c>
      <c r="J221" s="849">
        <f t="shared" si="208"/>
        <v>616.54815911397031</v>
      </c>
      <c r="K221" s="849">
        <f t="shared" si="208"/>
        <v>624.98610148956902</v>
      </c>
      <c r="L221" s="849">
        <f t="shared" si="208"/>
        <v>632.35087505073477</v>
      </c>
      <c r="M221" s="849">
        <f t="shared" si="208"/>
        <v>638.86406145993999</v>
      </c>
      <c r="N221" s="849">
        <f t="shared" si="208"/>
        <v>644.31440701355643</v>
      </c>
      <c r="O221" s="849">
        <f t="shared" si="208"/>
        <v>648.58360963755194</v>
      </c>
      <c r="P221" s="849">
        <f t="shared" si="208"/>
        <v>651.43130956246478</v>
      </c>
      <c r="Q221" s="849">
        <f t="shared" si="208"/>
        <v>652.72418222867134</v>
      </c>
    </row>
    <row r="222" spans="1:17">
      <c r="A222" s="484">
        <v>48</v>
      </c>
      <c r="B222" s="849">
        <f t="shared" si="200"/>
        <v>474.15902687638129</v>
      </c>
      <c r="C222" s="849">
        <f t="shared" si="200"/>
        <v>504.56643062354885</v>
      </c>
      <c r="D222" s="849">
        <f t="shared" si="200"/>
        <v>535.61558614708929</v>
      </c>
      <c r="E222" s="849">
        <f t="shared" si="200"/>
        <v>565.97314509609191</v>
      </c>
      <c r="F222" s="2">
        <v>593.93399999999997</v>
      </c>
      <c r="G222" s="849">
        <f t="shared" si="191"/>
        <v>618.27487643718359</v>
      </c>
      <c r="H222" s="849">
        <f t="shared" ref="H222:Q222" si="209">G222*H863</f>
        <v>638.39140622989339</v>
      </c>
      <c r="I222" s="849">
        <f t="shared" si="209"/>
        <v>654.54838986838058</v>
      </c>
      <c r="J222" s="849">
        <f t="shared" si="209"/>
        <v>667.48519185875739</v>
      </c>
      <c r="K222" s="849">
        <f t="shared" si="209"/>
        <v>678.39289519050556</v>
      </c>
      <c r="L222" s="849">
        <f t="shared" si="209"/>
        <v>688.15312973116636</v>
      </c>
      <c r="M222" s="849">
        <f t="shared" si="209"/>
        <v>696.98085117282574</v>
      </c>
      <c r="N222" s="849">
        <f t="shared" si="209"/>
        <v>704.61437432511832</v>
      </c>
      <c r="O222" s="849">
        <f t="shared" si="209"/>
        <v>710.91974129297569</v>
      </c>
      <c r="P222" s="849">
        <f t="shared" si="209"/>
        <v>715.62176725319614</v>
      </c>
      <c r="Q222" s="849">
        <f t="shared" si="209"/>
        <v>718.55741817844864</v>
      </c>
    </row>
    <row r="223" spans="1:17">
      <c r="A223" s="484">
        <v>49</v>
      </c>
      <c r="B223" s="849">
        <f t="shared" si="200"/>
        <v>505.79959975724279</v>
      </c>
      <c r="C223" s="849">
        <f t="shared" si="200"/>
        <v>541.33507594599109</v>
      </c>
      <c r="D223" s="849">
        <f t="shared" si="200"/>
        <v>577.49599525553015</v>
      </c>
      <c r="E223" s="849">
        <f t="shared" si="200"/>
        <v>612.83001785481019</v>
      </c>
      <c r="F223" s="2">
        <v>645.55100000000004</v>
      </c>
      <c r="G223" s="849">
        <f t="shared" si="191"/>
        <v>674.37057571194259</v>
      </c>
      <c r="H223" s="849">
        <f t="shared" ref="H223:Q223" si="210">G223*H864</f>
        <v>698.57428749310543</v>
      </c>
      <c r="I223" s="849">
        <f t="shared" si="210"/>
        <v>718.37764383454771</v>
      </c>
      <c r="J223" s="849">
        <f t="shared" si="210"/>
        <v>734.60519896292965</v>
      </c>
      <c r="K223" s="849">
        <f t="shared" si="210"/>
        <v>748.5898260457792</v>
      </c>
      <c r="L223" s="849">
        <f t="shared" si="210"/>
        <v>761.31302571085394</v>
      </c>
      <c r="M223" s="849">
        <f t="shared" si="210"/>
        <v>773.01138880159954</v>
      </c>
      <c r="N223" s="849">
        <f t="shared" si="210"/>
        <v>783.37570748301778</v>
      </c>
      <c r="O223" s="849">
        <f t="shared" si="210"/>
        <v>792.21155561643616</v>
      </c>
      <c r="P223" s="849">
        <f t="shared" si="210"/>
        <v>799.17458811288009</v>
      </c>
      <c r="Q223" s="849">
        <f t="shared" si="210"/>
        <v>804.04344027229433</v>
      </c>
    </row>
    <row r="224" spans="1:17">
      <c r="A224" s="484">
        <v>50</v>
      </c>
      <c r="B224" s="849">
        <f t="shared" si="200"/>
        <v>431.25541957415942</v>
      </c>
      <c r="C224" s="849">
        <f t="shared" si="200"/>
        <v>464.21349685926555</v>
      </c>
      <c r="D224" s="849">
        <f t="shared" si="200"/>
        <v>497.62154628758765</v>
      </c>
      <c r="E224" s="849">
        <f t="shared" si="200"/>
        <v>530.24082101780186</v>
      </c>
      <c r="F224" s="2">
        <v>560.60599999999999</v>
      </c>
      <c r="G224" s="849">
        <f t="shared" si="191"/>
        <v>587.66150152409659</v>
      </c>
      <c r="H224" s="849">
        <f t="shared" ref="H224:Q224" si="211">G224*H865</f>
        <v>610.74136681813195</v>
      </c>
      <c r="I224" s="849">
        <f t="shared" si="211"/>
        <v>629.96735305027062</v>
      </c>
      <c r="J224" s="849">
        <f t="shared" si="211"/>
        <v>646.06259192361006</v>
      </c>
      <c r="K224" s="849">
        <f t="shared" si="211"/>
        <v>660.20865734833626</v>
      </c>
      <c r="L224" s="849">
        <f t="shared" si="211"/>
        <v>673.27267211337607</v>
      </c>
      <c r="M224" s="849">
        <f t="shared" si="211"/>
        <v>685.44838892980829</v>
      </c>
      <c r="N224" s="849">
        <f t="shared" si="211"/>
        <v>696.44147307807054</v>
      </c>
      <c r="O224" s="849">
        <f t="shared" si="211"/>
        <v>706.0740532168445</v>
      </c>
      <c r="P224" s="849">
        <f t="shared" si="211"/>
        <v>714.02320816099882</v>
      </c>
      <c r="Q224" s="849">
        <f t="shared" si="211"/>
        <v>720.08036258767788</v>
      </c>
    </row>
    <row r="225" spans="1:17">
      <c r="A225" s="484">
        <v>51</v>
      </c>
      <c r="B225" s="849">
        <f t="shared" si="200"/>
        <v>417.73951367905761</v>
      </c>
      <c r="C225" s="849">
        <f t="shared" si="200"/>
        <v>452.38211873445567</v>
      </c>
      <c r="D225" s="849">
        <f t="shared" si="200"/>
        <v>487.2099026364852</v>
      </c>
      <c r="E225" s="849">
        <f t="shared" si="200"/>
        <v>521.0758458233646</v>
      </c>
      <c r="F225" s="2">
        <v>552.72400000000005</v>
      </c>
      <c r="G225" s="849">
        <f t="shared" si="191"/>
        <v>581.24589953056454</v>
      </c>
      <c r="H225" s="849">
        <f t="shared" ref="H225:Q225" si="212">G225*H866</f>
        <v>605.95747196985531</v>
      </c>
      <c r="I225" s="849">
        <f t="shared" si="212"/>
        <v>626.882681639201</v>
      </c>
      <c r="J225" s="849">
        <f t="shared" si="212"/>
        <v>644.74917247712949</v>
      </c>
      <c r="K225" s="849">
        <f t="shared" si="212"/>
        <v>660.74208910208176</v>
      </c>
      <c r="L225" s="849">
        <f t="shared" si="212"/>
        <v>675.72087921989385</v>
      </c>
      <c r="M225" s="849">
        <f t="shared" si="212"/>
        <v>689.86527524053167</v>
      </c>
      <c r="N225" s="849">
        <f t="shared" si="212"/>
        <v>702.87136599805319</v>
      </c>
      <c r="O225" s="849">
        <f t="shared" si="212"/>
        <v>714.54525834716173</v>
      </c>
      <c r="P225" s="849">
        <f t="shared" si="212"/>
        <v>724.55471965125412</v>
      </c>
      <c r="Q225" s="849">
        <f t="shared" si="212"/>
        <v>732.67535671970654</v>
      </c>
    </row>
    <row r="226" spans="1:17">
      <c r="A226" s="484">
        <v>52</v>
      </c>
      <c r="B226" s="849">
        <f t="shared" si="200"/>
        <v>336.43262690283814</v>
      </c>
      <c r="C226" s="849">
        <f t="shared" si="200"/>
        <v>365.90557977004352</v>
      </c>
      <c r="D226" s="849">
        <f t="shared" si="200"/>
        <v>395.76585339755542</v>
      </c>
      <c r="E226" s="849">
        <f t="shared" si="200"/>
        <v>425.04467697327539</v>
      </c>
      <c r="F226" s="2">
        <v>452.68700000000001</v>
      </c>
      <c r="G226" s="849">
        <f t="shared" si="191"/>
        <v>477.91911877978043</v>
      </c>
      <c r="H226" s="849">
        <f t="shared" ref="H226:Q226" si="213">G226*H867</f>
        <v>500.15114285684695</v>
      </c>
      <c r="I226" s="849">
        <f t="shared" si="213"/>
        <v>519.36994271390097</v>
      </c>
      <c r="J226" s="849">
        <f t="shared" si="213"/>
        <v>536.12977154547332</v>
      </c>
      <c r="K226" s="849">
        <f t="shared" si="213"/>
        <v>551.35719814377467</v>
      </c>
      <c r="L226" s="849">
        <f t="shared" si="213"/>
        <v>565.72651700435051</v>
      </c>
      <c r="M226" s="849">
        <f t="shared" si="213"/>
        <v>579.35214249223111</v>
      </c>
      <c r="N226" s="849">
        <f t="shared" si="213"/>
        <v>591.96679514812513</v>
      </c>
      <c r="O226" s="849">
        <f t="shared" si="213"/>
        <v>603.43261504039765</v>
      </c>
      <c r="P226" s="849">
        <f t="shared" si="213"/>
        <v>613.5085817443545</v>
      </c>
      <c r="Q226" s="849">
        <f t="shared" si="213"/>
        <v>622.02776282577156</v>
      </c>
    </row>
    <row r="227" spans="1:17">
      <c r="A227" s="484">
        <v>53</v>
      </c>
      <c r="B227" s="849">
        <f t="shared" si="200"/>
        <v>312.23908319984503</v>
      </c>
      <c r="C227" s="849">
        <f t="shared" si="200"/>
        <v>339.97159734813141</v>
      </c>
      <c r="D227" s="849">
        <f t="shared" si="200"/>
        <v>369.06435836531182</v>
      </c>
      <c r="E227" s="849">
        <f t="shared" si="200"/>
        <v>398.39556155274693</v>
      </c>
      <c r="F227" s="2">
        <v>426.63499999999999</v>
      </c>
      <c r="G227" s="849">
        <f t="shared" si="191"/>
        <v>452.7904163292788</v>
      </c>
      <c r="H227" s="849">
        <f t="shared" ref="H227:Q227" si="214">G227*H868</f>
        <v>476.26852136105191</v>
      </c>
      <c r="I227" s="849">
        <f t="shared" si="214"/>
        <v>497.08809006935519</v>
      </c>
      <c r="J227" s="849">
        <f t="shared" si="214"/>
        <v>515.66029438557268</v>
      </c>
      <c r="K227" s="849">
        <f t="shared" si="214"/>
        <v>532.72956203022409</v>
      </c>
      <c r="L227" s="849">
        <f t="shared" si="214"/>
        <v>548.83661225554044</v>
      </c>
      <c r="M227" s="849">
        <f t="shared" si="214"/>
        <v>564.0114850199792</v>
      </c>
      <c r="N227" s="849">
        <f t="shared" si="214"/>
        <v>577.99790192795149</v>
      </c>
      <c r="O227" s="849">
        <f t="shared" si="214"/>
        <v>590.72170183201592</v>
      </c>
      <c r="P227" s="849">
        <f t="shared" si="214"/>
        <v>602.06084740093991</v>
      </c>
      <c r="Q227" s="849">
        <f t="shared" si="214"/>
        <v>611.92428001064957</v>
      </c>
    </row>
    <row r="228" spans="1:17">
      <c r="A228" s="484">
        <v>54</v>
      </c>
      <c r="B228" s="849">
        <f t="shared" si="200"/>
        <v>302.56849514189986</v>
      </c>
      <c r="C228" s="849">
        <f t="shared" si="200"/>
        <v>328.85055143974699</v>
      </c>
      <c r="D228" s="849">
        <f t="shared" si="200"/>
        <v>357.99304492652141</v>
      </c>
      <c r="E228" s="849">
        <f t="shared" si="200"/>
        <v>388.58501089978006</v>
      </c>
      <c r="F228" s="2">
        <v>418.78399999999999</v>
      </c>
      <c r="G228" s="849">
        <f t="shared" si="191"/>
        <v>447.19780772722015</v>
      </c>
      <c r="H228" s="849">
        <f t="shared" ref="H228:Q228" si="215">G228*H869</f>
        <v>473.21030953677695</v>
      </c>
      <c r="I228" s="849">
        <f t="shared" si="215"/>
        <v>496.91629382015708</v>
      </c>
      <c r="J228" s="849">
        <f t="shared" si="215"/>
        <v>518.53495873267366</v>
      </c>
      <c r="K228" s="849">
        <f t="shared" si="215"/>
        <v>538.59257732289325</v>
      </c>
      <c r="L228" s="849">
        <f t="shared" si="215"/>
        <v>557.46237888229507</v>
      </c>
      <c r="M228" s="849">
        <f t="shared" si="215"/>
        <v>575.06734784279604</v>
      </c>
      <c r="N228" s="849">
        <f t="shared" si="215"/>
        <v>591.15471516043158</v>
      </c>
      <c r="O228" s="849">
        <f t="shared" si="215"/>
        <v>605.7383041422936</v>
      </c>
      <c r="P228" s="849">
        <f t="shared" si="215"/>
        <v>618.8457614025657</v>
      </c>
      <c r="Q228" s="849">
        <f t="shared" si="215"/>
        <v>630.49979666004151</v>
      </c>
    </row>
    <row r="229" spans="1:17">
      <c r="A229" s="484">
        <v>55</v>
      </c>
      <c r="B229" s="849">
        <f t="shared" si="200"/>
        <v>313.55655955640742</v>
      </c>
      <c r="C229" s="849">
        <f t="shared" si="200"/>
        <v>340.00276800383352</v>
      </c>
      <c r="D229" s="849">
        <f t="shared" si="200"/>
        <v>371.2136873630887</v>
      </c>
      <c r="E229" s="849">
        <f t="shared" si="200"/>
        <v>405.33717983296822</v>
      </c>
      <c r="F229" s="2">
        <v>439.803</v>
      </c>
      <c r="G229" s="849">
        <f t="shared" si="191"/>
        <v>472.66199863088718</v>
      </c>
      <c r="H229" s="849">
        <f t="shared" ref="H229:Q229" si="216">G229*H870</f>
        <v>503.21836959200436</v>
      </c>
      <c r="I229" s="849">
        <f t="shared" si="216"/>
        <v>531.67171111719597</v>
      </c>
      <c r="J229" s="849">
        <f t="shared" si="216"/>
        <v>558.06439601588158</v>
      </c>
      <c r="K229" s="849">
        <f t="shared" si="216"/>
        <v>582.74544242880586</v>
      </c>
      <c r="L229" s="849">
        <f t="shared" si="216"/>
        <v>605.95570632530098</v>
      </c>
      <c r="M229" s="849">
        <f t="shared" si="216"/>
        <v>627.49893469331835</v>
      </c>
      <c r="N229" s="849">
        <f t="shared" si="216"/>
        <v>647.10193441949582</v>
      </c>
      <c r="O229" s="849">
        <f t="shared" si="216"/>
        <v>664.87063752738186</v>
      </c>
      <c r="P229" s="849">
        <f t="shared" si="216"/>
        <v>680.9968367332965</v>
      </c>
      <c r="Q229" s="849">
        <f t="shared" si="216"/>
        <v>695.61545598302246</v>
      </c>
    </row>
    <row r="230" spans="1:17">
      <c r="A230" s="484">
        <v>56</v>
      </c>
      <c r="B230" s="849">
        <f t="shared" si="200"/>
        <v>253.74982286582448</v>
      </c>
      <c r="C230" s="849">
        <f t="shared" si="200"/>
        <v>274.38424506097647</v>
      </c>
      <c r="D230" s="849">
        <f t="shared" si="200"/>
        <v>300.84491540767306</v>
      </c>
      <c r="E230" s="849">
        <f t="shared" si="200"/>
        <v>331.14378669057362</v>
      </c>
      <c r="F230" s="2">
        <v>362.39699999999999</v>
      </c>
      <c r="G230" s="849">
        <f t="shared" si="191"/>
        <v>392.41314001724589</v>
      </c>
      <c r="H230" s="849">
        <f t="shared" ref="H230:Q230" si="217">G230*H871</f>
        <v>420.54142881154104</v>
      </c>
      <c r="I230" s="849">
        <f t="shared" si="217"/>
        <v>447.08741455769842</v>
      </c>
      <c r="J230" s="849">
        <f t="shared" si="217"/>
        <v>471.96677389578576</v>
      </c>
      <c r="K230" s="849">
        <f t="shared" si="217"/>
        <v>495.35608986189629</v>
      </c>
      <c r="L230" s="849">
        <f t="shared" si="217"/>
        <v>517.3773833180494</v>
      </c>
      <c r="M230" s="849">
        <f t="shared" si="217"/>
        <v>537.77371602633434</v>
      </c>
      <c r="N230" s="849">
        <f t="shared" si="217"/>
        <v>556.29211790695456</v>
      </c>
      <c r="O230" s="849">
        <f t="shared" si="217"/>
        <v>573.11214811458933</v>
      </c>
      <c r="P230" s="849">
        <f t="shared" si="217"/>
        <v>588.53141850782231</v>
      </c>
      <c r="Q230" s="849">
        <f t="shared" si="217"/>
        <v>602.76520166436273</v>
      </c>
    </row>
    <row r="231" spans="1:17">
      <c r="A231" s="484">
        <v>57</v>
      </c>
      <c r="B231" s="849">
        <f t="shared" si="200"/>
        <v>260.53267898846536</v>
      </c>
      <c r="C231" s="849">
        <f t="shared" si="200"/>
        <v>279.80009379005077</v>
      </c>
      <c r="D231" s="849">
        <f t="shared" si="200"/>
        <v>306.01756387952719</v>
      </c>
      <c r="E231" s="849">
        <f t="shared" si="200"/>
        <v>337.10951210127212</v>
      </c>
      <c r="F231" s="2">
        <v>369.97300000000001</v>
      </c>
      <c r="G231" s="849">
        <f t="shared" si="191"/>
        <v>402.23390098257943</v>
      </c>
      <c r="H231" s="849">
        <f t="shared" ref="H231:Q231" si="218">G231*H872</f>
        <v>433.26877357656531</v>
      </c>
      <c r="I231" s="849">
        <f t="shared" si="218"/>
        <v>463.39372895108471</v>
      </c>
      <c r="J231" s="849">
        <f t="shared" si="218"/>
        <v>492.26960616426175</v>
      </c>
      <c r="K231" s="849">
        <f t="shared" si="218"/>
        <v>519.74493528088954</v>
      </c>
      <c r="L231" s="849">
        <f t="shared" si="218"/>
        <v>545.69349135496282</v>
      </c>
      <c r="M231" s="849">
        <f t="shared" si="218"/>
        <v>569.74318519782139</v>
      </c>
      <c r="N231" s="849">
        <f t="shared" si="218"/>
        <v>591.65803104084603</v>
      </c>
      <c r="O231" s="849">
        <f t="shared" si="218"/>
        <v>611.65974574571612</v>
      </c>
      <c r="P231" s="849">
        <f t="shared" si="218"/>
        <v>630.15444435610209</v>
      </c>
      <c r="Q231" s="849">
        <f t="shared" si="218"/>
        <v>647.4242121861206</v>
      </c>
    </row>
    <row r="232" spans="1:17">
      <c r="A232" s="484">
        <v>58</v>
      </c>
      <c r="B232" s="849">
        <f t="shared" si="200"/>
        <v>272.11674828476316</v>
      </c>
      <c r="C232" s="849">
        <f t="shared" si="200"/>
        <v>288.71633867750324</v>
      </c>
      <c r="D232" s="849">
        <f t="shared" si="200"/>
        <v>311.23519965066856</v>
      </c>
      <c r="E232" s="849">
        <f t="shared" si="200"/>
        <v>338.39999974219086</v>
      </c>
      <c r="F232" s="2">
        <v>368.24200000000002</v>
      </c>
      <c r="G232" s="849">
        <f t="shared" si="191"/>
        <v>399.17932638967216</v>
      </c>
      <c r="H232" s="849">
        <f t="shared" ref="H232:Q232" si="219">G232*H873</f>
        <v>430.87732889042144</v>
      </c>
      <c r="I232" s="849">
        <f t="shared" si="219"/>
        <v>463.35974154627507</v>
      </c>
      <c r="J232" s="849">
        <f t="shared" si="219"/>
        <v>495.81842015810145</v>
      </c>
      <c r="K232" s="849">
        <f t="shared" si="219"/>
        <v>527.37045828808232</v>
      </c>
      <c r="L232" s="849">
        <f t="shared" si="219"/>
        <v>557.33468887263246</v>
      </c>
      <c r="M232" s="849">
        <f t="shared" si="219"/>
        <v>585.2174437959826</v>
      </c>
      <c r="N232" s="849">
        <f t="shared" si="219"/>
        <v>610.89649273139162</v>
      </c>
      <c r="O232" s="849">
        <f t="shared" si="219"/>
        <v>634.53560058264861</v>
      </c>
      <c r="P232" s="849">
        <f t="shared" si="219"/>
        <v>656.52875248060775</v>
      </c>
      <c r="Q232" s="849">
        <f t="shared" si="219"/>
        <v>677.14770322938239</v>
      </c>
    </row>
    <row r="233" spans="1:17">
      <c r="A233" s="484">
        <v>59</v>
      </c>
      <c r="B233" s="849">
        <f t="shared" si="200"/>
        <v>262.4321549284424</v>
      </c>
      <c r="C233" s="849">
        <f t="shared" si="200"/>
        <v>274.32903939880305</v>
      </c>
      <c r="D233" s="849">
        <f t="shared" si="200"/>
        <v>289.16332677562701</v>
      </c>
      <c r="E233" s="849">
        <f t="shared" si="200"/>
        <v>307.11795754545079</v>
      </c>
      <c r="F233" s="2">
        <v>328.33100000000002</v>
      </c>
      <c r="G233" s="849">
        <f t="shared" si="191"/>
        <v>352.7552808062685</v>
      </c>
      <c r="H233" s="849">
        <f t="shared" ref="H233:Q233" si="220">G233*H874</f>
        <v>380.49895345944128</v>
      </c>
      <c r="I233" s="849">
        <f t="shared" si="220"/>
        <v>411.13515682426657</v>
      </c>
      <c r="J233" s="849">
        <f t="shared" si="220"/>
        <v>443.38215692589114</v>
      </c>
      <c r="K233" s="849">
        <f t="shared" si="220"/>
        <v>475.54516548338268</v>
      </c>
      <c r="L233" s="849">
        <f t="shared" si="220"/>
        <v>506.32518998542218</v>
      </c>
      <c r="M233" s="849">
        <f t="shared" si="220"/>
        <v>535.17686067969339</v>
      </c>
      <c r="N233" s="849">
        <f t="shared" si="220"/>
        <v>562.13584520822531</v>
      </c>
      <c r="O233" s="849">
        <f t="shared" si="220"/>
        <v>587.22745609116771</v>
      </c>
      <c r="P233" s="849">
        <f t="shared" si="220"/>
        <v>610.69446340813829</v>
      </c>
      <c r="Q233" s="849">
        <f t="shared" si="220"/>
        <v>632.70600081650105</v>
      </c>
    </row>
    <row r="234" spans="1:17">
      <c r="A234" s="484">
        <v>60</v>
      </c>
      <c r="B234" s="849">
        <f t="shared" ref="B234:E253" si="221">C234/C875</f>
        <v>255.33130156882856</v>
      </c>
      <c r="C234" s="849">
        <f t="shared" si="221"/>
        <v>262.84990967559156</v>
      </c>
      <c r="D234" s="849">
        <f t="shared" si="221"/>
        <v>270.68113714425715</v>
      </c>
      <c r="E234" s="849">
        <f t="shared" si="221"/>
        <v>280.30486555850757</v>
      </c>
      <c r="F234" s="2">
        <v>293.74299999999999</v>
      </c>
      <c r="G234" s="849">
        <f t="shared" si="191"/>
        <v>312.31348972107162</v>
      </c>
      <c r="H234" s="849">
        <f t="shared" ref="H234:Q234" si="222">G234*H875</f>
        <v>336.53586761812153</v>
      </c>
      <c r="I234" s="849">
        <f t="shared" si="222"/>
        <v>365.57685690276941</v>
      </c>
      <c r="J234" s="849">
        <f t="shared" si="222"/>
        <v>397.70693031384235</v>
      </c>
      <c r="K234" s="849">
        <f t="shared" si="222"/>
        <v>430.46786509911419</v>
      </c>
      <c r="L234" s="849">
        <f t="shared" si="222"/>
        <v>461.98619414732752</v>
      </c>
      <c r="M234" s="849">
        <f t="shared" si="222"/>
        <v>491.65354668585917</v>
      </c>
      <c r="N234" s="849">
        <f t="shared" si="222"/>
        <v>519.67008906873298</v>
      </c>
      <c r="O234" s="849">
        <f t="shared" si="222"/>
        <v>545.9526060701188</v>
      </c>
      <c r="P234" s="849">
        <f t="shared" si="222"/>
        <v>570.65066019049516</v>
      </c>
      <c r="Q234" s="849">
        <f t="shared" si="222"/>
        <v>593.86433460687408</v>
      </c>
    </row>
    <row r="235" spans="1:17">
      <c r="A235" s="484">
        <v>61</v>
      </c>
      <c r="B235" s="849">
        <f t="shared" si="221"/>
        <v>268.07478825568745</v>
      </c>
      <c r="C235" s="849">
        <f t="shared" si="221"/>
        <v>271.41432362021408</v>
      </c>
      <c r="D235" s="849">
        <f t="shared" si="221"/>
        <v>272.0850548245059</v>
      </c>
      <c r="E235" s="849">
        <f t="shared" si="221"/>
        <v>273.17234540830526</v>
      </c>
      <c r="F235" s="2">
        <v>279.00299999999999</v>
      </c>
      <c r="G235" s="849">
        <f t="shared" si="191"/>
        <v>292.54941688387277</v>
      </c>
      <c r="H235" s="849">
        <f t="shared" ref="H235:Q235" si="223">G235*H876</f>
        <v>314.85652467292556</v>
      </c>
      <c r="I235" s="849">
        <f t="shared" si="223"/>
        <v>344.54520587342154</v>
      </c>
      <c r="J235" s="849">
        <f t="shared" si="223"/>
        <v>379.17964716451144</v>
      </c>
      <c r="K235" s="849">
        <f t="shared" si="223"/>
        <v>415.16261119265118</v>
      </c>
      <c r="L235" s="849">
        <f t="shared" si="223"/>
        <v>449.7664577270541</v>
      </c>
      <c r="M235" s="849">
        <f t="shared" si="223"/>
        <v>482.24043850747768</v>
      </c>
      <c r="N235" s="849">
        <f t="shared" si="223"/>
        <v>513.01641029177301</v>
      </c>
      <c r="O235" s="849">
        <f t="shared" si="223"/>
        <v>541.95669667484856</v>
      </c>
      <c r="P235" s="849">
        <f t="shared" si="223"/>
        <v>569.22956881848302</v>
      </c>
      <c r="Q235" s="849">
        <f t="shared" si="223"/>
        <v>594.93740148543645</v>
      </c>
    </row>
    <row r="236" spans="1:17">
      <c r="A236" s="484">
        <v>62</v>
      </c>
      <c r="B236" s="849">
        <f t="shared" si="221"/>
        <v>262.22261627504867</v>
      </c>
      <c r="C236" s="849">
        <f t="shared" si="221"/>
        <v>262.62521282055951</v>
      </c>
      <c r="D236" s="849">
        <f t="shared" si="221"/>
        <v>258.81736883679451</v>
      </c>
      <c r="E236" s="849">
        <f t="shared" si="221"/>
        <v>254.51759132191546</v>
      </c>
      <c r="F236" s="2">
        <v>254.98400000000001</v>
      </c>
      <c r="G236" s="849">
        <f t="shared" si="191"/>
        <v>263.88057150137416</v>
      </c>
      <c r="H236" s="849">
        <f t="shared" ref="H236:Q236" si="224">G236*H877</f>
        <v>282.42901810967732</v>
      </c>
      <c r="I236" s="849">
        <f t="shared" si="224"/>
        <v>309.11293151083851</v>
      </c>
      <c r="J236" s="849">
        <f t="shared" si="224"/>
        <v>341.49700868172476</v>
      </c>
      <c r="K236" s="849">
        <f t="shared" si="224"/>
        <v>375.89638902134948</v>
      </c>
      <c r="L236" s="849">
        <f t="shared" si="224"/>
        <v>409.50217847587504</v>
      </c>
      <c r="M236" s="849">
        <f t="shared" si="224"/>
        <v>441.62172535172817</v>
      </c>
      <c r="N236" s="849">
        <f t="shared" si="224"/>
        <v>472.70751567988646</v>
      </c>
      <c r="O236" s="849">
        <f t="shared" si="224"/>
        <v>502.44745012103459</v>
      </c>
      <c r="P236" s="849">
        <f t="shared" si="224"/>
        <v>530.7603132337149</v>
      </c>
      <c r="Q236" s="849">
        <f t="shared" si="224"/>
        <v>557.56953045883904</v>
      </c>
    </row>
    <row r="237" spans="1:17">
      <c r="A237" s="484">
        <v>63</v>
      </c>
      <c r="B237" s="849">
        <f t="shared" si="221"/>
        <v>193.51928775439026</v>
      </c>
      <c r="C237" s="849">
        <f t="shared" si="221"/>
        <v>193.46359035508593</v>
      </c>
      <c r="D237" s="849">
        <f t="shared" si="221"/>
        <v>190.74414273190871</v>
      </c>
      <c r="E237" s="849">
        <f t="shared" si="221"/>
        <v>187.68785845579572</v>
      </c>
      <c r="F237" s="2">
        <v>187.58</v>
      </c>
      <c r="G237" s="849">
        <f t="shared" si="191"/>
        <v>192.74217642123921</v>
      </c>
      <c r="H237" s="849">
        <f t="shared" ref="H237:Q237" si="225">G237*H878</f>
        <v>203.88872896773407</v>
      </c>
      <c r="I237" s="849">
        <f t="shared" si="225"/>
        <v>220.16032633593187</v>
      </c>
      <c r="J237" s="849">
        <f t="shared" si="225"/>
        <v>240.35991648364083</v>
      </c>
      <c r="K237" s="849">
        <f t="shared" si="225"/>
        <v>262.6114695485781</v>
      </c>
      <c r="L237" s="849">
        <f t="shared" si="225"/>
        <v>285.44563509195285</v>
      </c>
      <c r="M237" s="849">
        <f t="shared" si="225"/>
        <v>308.55563537473967</v>
      </c>
      <c r="N237" s="849">
        <f t="shared" si="225"/>
        <v>332.08027185234766</v>
      </c>
      <c r="O237" s="849">
        <f t="shared" si="225"/>
        <v>355.4846726743146</v>
      </c>
      <c r="P237" s="849">
        <f t="shared" si="225"/>
        <v>378.23308190447472</v>
      </c>
      <c r="Q237" s="849">
        <f t="shared" si="225"/>
        <v>399.90379066238097</v>
      </c>
    </row>
    <row r="238" spans="1:17">
      <c r="A238" s="484">
        <v>64</v>
      </c>
      <c r="B238" s="849">
        <f t="shared" si="221"/>
        <v>171.39178424207958</v>
      </c>
      <c r="C238" s="849">
        <f t="shared" si="221"/>
        <v>172.11865400819886</v>
      </c>
      <c r="D238" s="849">
        <f t="shared" si="221"/>
        <v>171.86240161607546</v>
      </c>
      <c r="E238" s="849">
        <f t="shared" si="221"/>
        <v>171.74002467240115</v>
      </c>
      <c r="F238" s="2">
        <v>173.303</v>
      </c>
      <c r="G238" s="849">
        <f t="shared" ref="G238:G269" si="226">F238*G879</f>
        <v>177.68310899741712</v>
      </c>
      <c r="H238" s="849">
        <f t="shared" ref="H238:Q238" si="227">G238*H879</f>
        <v>185.14071066562406</v>
      </c>
      <c r="I238" s="849">
        <f t="shared" si="227"/>
        <v>195.38177181109455</v>
      </c>
      <c r="J238" s="849">
        <f t="shared" si="227"/>
        <v>208.27898755953655</v>
      </c>
      <c r="K238" s="849">
        <f t="shared" si="227"/>
        <v>223.51861299495278</v>
      </c>
      <c r="L238" s="849">
        <f t="shared" si="227"/>
        <v>240.76965544418385</v>
      </c>
      <c r="M238" s="849">
        <f t="shared" si="227"/>
        <v>260.05182662970077</v>
      </c>
      <c r="N238" s="849">
        <f t="shared" si="227"/>
        <v>281.17704386625917</v>
      </c>
      <c r="O238" s="849">
        <f t="shared" si="227"/>
        <v>303.31659348830601</v>
      </c>
      <c r="P238" s="849">
        <f t="shared" si="227"/>
        <v>325.40111455178794</v>
      </c>
      <c r="Q238" s="849">
        <f t="shared" si="227"/>
        <v>346.60764264353935</v>
      </c>
    </row>
    <row r="239" spans="1:17">
      <c r="A239" s="484">
        <v>65</v>
      </c>
      <c r="B239" s="849">
        <f t="shared" si="221"/>
        <v>219.51046013320655</v>
      </c>
      <c r="C239" s="849">
        <f t="shared" si="221"/>
        <v>221.48614213130358</v>
      </c>
      <c r="D239" s="849">
        <f t="shared" si="221"/>
        <v>223.88353724072317</v>
      </c>
      <c r="E239" s="849">
        <f t="shared" si="221"/>
        <v>226.92118949571838</v>
      </c>
      <c r="F239" s="2">
        <v>230.84399999999999</v>
      </c>
      <c r="G239" s="849">
        <f t="shared" si="226"/>
        <v>235.92542334919125</v>
      </c>
      <c r="H239" s="849">
        <f t="shared" ref="H239:Q239" si="228">G239*H880</f>
        <v>242.01500460513799</v>
      </c>
      <c r="I239" s="849">
        <f t="shared" si="228"/>
        <v>249.34336812559465</v>
      </c>
      <c r="J239" s="849">
        <f t="shared" si="228"/>
        <v>258.98346627973359</v>
      </c>
      <c r="K239" s="849">
        <f t="shared" si="228"/>
        <v>272.322339847764</v>
      </c>
      <c r="L239" s="849">
        <f t="shared" si="228"/>
        <v>290.22537927687915</v>
      </c>
      <c r="M239" s="849">
        <f t="shared" si="228"/>
        <v>313.10880662226447</v>
      </c>
      <c r="N239" s="849">
        <f t="shared" si="228"/>
        <v>340.32797189343478</v>
      </c>
      <c r="O239" s="849">
        <f t="shared" si="228"/>
        <v>370.33110262607045</v>
      </c>
      <c r="P239" s="849">
        <f t="shared" si="228"/>
        <v>400.9437405899144</v>
      </c>
      <c r="Q239" s="849">
        <f t="shared" si="228"/>
        <v>430.50099756422452</v>
      </c>
    </row>
    <row r="240" spans="1:17">
      <c r="A240" s="484">
        <v>66</v>
      </c>
      <c r="B240" s="849">
        <f t="shared" si="221"/>
        <v>136.01039310573421</v>
      </c>
      <c r="C240" s="849">
        <f t="shared" si="221"/>
        <v>138.17340192243955</v>
      </c>
      <c r="D240" s="849">
        <f t="shared" si="221"/>
        <v>141.87429719210192</v>
      </c>
      <c r="E240" s="849">
        <f t="shared" si="221"/>
        <v>146.3277600454567</v>
      </c>
      <c r="F240" s="2">
        <v>150.364</v>
      </c>
      <c r="G240" s="849">
        <f t="shared" si="226"/>
        <v>153.25892885079787</v>
      </c>
      <c r="H240" s="849">
        <f t="shared" ref="H240:Q240" si="229">G240*H881</f>
        <v>154.54548478621149</v>
      </c>
      <c r="I240" s="849">
        <f t="shared" si="229"/>
        <v>154.8217347601686</v>
      </c>
      <c r="J240" s="849">
        <f t="shared" si="229"/>
        <v>155.69605168805347</v>
      </c>
      <c r="K240" s="849">
        <f t="shared" si="229"/>
        <v>159.39053909749521</v>
      </c>
      <c r="L240" s="849">
        <f t="shared" si="229"/>
        <v>167.41602803163033</v>
      </c>
      <c r="M240" s="849">
        <f t="shared" si="229"/>
        <v>180.34068209669024</v>
      </c>
      <c r="N240" s="849">
        <f t="shared" si="229"/>
        <v>197.44326102561681</v>
      </c>
      <c r="O240" s="849">
        <f t="shared" si="229"/>
        <v>217.36102654481752</v>
      </c>
      <c r="P240" s="849">
        <f t="shared" si="229"/>
        <v>238.0883184052276</v>
      </c>
      <c r="Q240" s="849">
        <f t="shared" si="229"/>
        <v>258.1022018277381</v>
      </c>
    </row>
    <row r="241" spans="1:17">
      <c r="A241" s="484">
        <v>67</v>
      </c>
      <c r="B241" s="849">
        <f t="shared" si="221"/>
        <v>190.30056089237215</v>
      </c>
      <c r="C241" s="849">
        <f t="shared" si="221"/>
        <v>194.08952639743401</v>
      </c>
      <c r="D241" s="849">
        <f t="shared" si="221"/>
        <v>200.94280874807291</v>
      </c>
      <c r="E241" s="849">
        <f t="shared" si="221"/>
        <v>209.02202370303905</v>
      </c>
      <c r="F241" s="2">
        <v>215.654</v>
      </c>
      <c r="G241" s="849">
        <f t="shared" si="226"/>
        <v>219.11255042026835</v>
      </c>
      <c r="H241" s="849">
        <f t="shared" ref="H241:Q241" si="230">G241*H882</f>
        <v>218.48157083466583</v>
      </c>
      <c r="I241" s="849">
        <f t="shared" si="230"/>
        <v>214.95508460257079</v>
      </c>
      <c r="J241" s="849">
        <f t="shared" si="230"/>
        <v>211.46874225928244</v>
      </c>
      <c r="K241" s="849">
        <f t="shared" si="230"/>
        <v>212.12442577645831</v>
      </c>
      <c r="L241" s="849">
        <f t="shared" si="230"/>
        <v>219.7723512593731</v>
      </c>
      <c r="M241" s="849">
        <f t="shared" si="230"/>
        <v>235.40479329288954</v>
      </c>
      <c r="N241" s="849">
        <f t="shared" si="230"/>
        <v>257.83699249196928</v>
      </c>
      <c r="O241" s="849">
        <f t="shared" si="230"/>
        <v>285.05557843338465</v>
      </c>
      <c r="P241" s="849">
        <f t="shared" si="230"/>
        <v>314.02505552506091</v>
      </c>
      <c r="Q241" s="849">
        <f t="shared" si="230"/>
        <v>342.42943018199691</v>
      </c>
    </row>
    <row r="242" spans="1:17">
      <c r="A242" s="484">
        <v>68</v>
      </c>
      <c r="B242" s="849">
        <f t="shared" si="221"/>
        <v>159.49507096799695</v>
      </c>
      <c r="C242" s="849">
        <f t="shared" si="221"/>
        <v>162.25009355343968</v>
      </c>
      <c r="D242" s="849">
        <f t="shared" si="221"/>
        <v>166.87664950812055</v>
      </c>
      <c r="E242" s="849">
        <f t="shared" si="221"/>
        <v>172.16277285596405</v>
      </c>
      <c r="F242" s="2">
        <v>176.33799999999999</v>
      </c>
      <c r="G242" s="849">
        <f t="shared" si="226"/>
        <v>178.2827218250184</v>
      </c>
      <c r="H242" s="849">
        <f t="shared" ref="H242:Q242" si="231">G242*H883</f>
        <v>177.41404455819793</v>
      </c>
      <c r="I242" s="849">
        <f t="shared" si="231"/>
        <v>174.57712060557253</v>
      </c>
      <c r="J242" s="849">
        <f t="shared" si="231"/>
        <v>171.79944445048349</v>
      </c>
      <c r="K242" s="849">
        <f t="shared" si="231"/>
        <v>171.89528647591004</v>
      </c>
      <c r="L242" s="849">
        <f t="shared" si="231"/>
        <v>176.8468340259009</v>
      </c>
      <c r="M242" s="849">
        <f t="shared" si="231"/>
        <v>187.29797125309435</v>
      </c>
      <c r="N242" s="849">
        <f t="shared" si="231"/>
        <v>202.51332843512677</v>
      </c>
      <c r="O242" s="849">
        <f t="shared" si="231"/>
        <v>221.38636582389188</v>
      </c>
      <c r="P242" s="849">
        <f t="shared" si="231"/>
        <v>242.19366954399246</v>
      </c>
      <c r="Q242" s="849">
        <f t="shared" si="231"/>
        <v>263.58038187235348</v>
      </c>
    </row>
    <row r="243" spans="1:17">
      <c r="A243" s="484">
        <v>69</v>
      </c>
      <c r="B243" s="849">
        <f t="shared" si="221"/>
        <v>203.31520460370052</v>
      </c>
      <c r="C243" s="849">
        <f t="shared" si="221"/>
        <v>205.49342763157901</v>
      </c>
      <c r="D243" s="849">
        <f t="shared" si="221"/>
        <v>208.04132875463603</v>
      </c>
      <c r="E243" s="849">
        <f t="shared" si="221"/>
        <v>210.56487982351962</v>
      </c>
      <c r="F243" s="2">
        <v>212.483</v>
      </c>
      <c r="G243" s="849">
        <f t="shared" si="226"/>
        <v>213.49795453077471</v>
      </c>
      <c r="H243" s="849">
        <f t="shared" ref="H243:Q243" si="232">G243*H884</f>
        <v>213.43597257469685</v>
      </c>
      <c r="I243" s="849">
        <f t="shared" si="232"/>
        <v>212.80951209005295</v>
      </c>
      <c r="J243" s="849">
        <f t="shared" si="232"/>
        <v>212.84825081260161</v>
      </c>
      <c r="K243" s="849">
        <f t="shared" si="232"/>
        <v>215.20356514355964</v>
      </c>
      <c r="L243" s="849">
        <f t="shared" si="232"/>
        <v>221.07746230257953</v>
      </c>
      <c r="M243" s="849">
        <f t="shared" si="232"/>
        <v>230.77431796682922</v>
      </c>
      <c r="N243" s="849">
        <f t="shared" si="232"/>
        <v>243.99971784493894</v>
      </c>
      <c r="O243" s="849">
        <f t="shared" si="232"/>
        <v>260.57214335125224</v>
      </c>
      <c r="P243" s="849">
        <f t="shared" si="232"/>
        <v>280.09203223319582</v>
      </c>
      <c r="Q243" s="849">
        <f t="shared" si="232"/>
        <v>302.135472184023</v>
      </c>
    </row>
    <row r="244" spans="1:17">
      <c r="A244" s="484">
        <v>70</v>
      </c>
      <c r="B244" s="849">
        <f t="shared" si="221"/>
        <v>232.31429667481424</v>
      </c>
      <c r="C244" s="849">
        <f t="shared" si="221"/>
        <v>233.66930842041373</v>
      </c>
      <c r="D244" s="849">
        <f t="shared" si="221"/>
        <v>233.46561384427784</v>
      </c>
      <c r="E244" s="849">
        <f t="shared" si="221"/>
        <v>232.37755585994955</v>
      </c>
      <c r="F244" s="2">
        <v>231.37299999999999</v>
      </c>
      <c r="G244" s="849">
        <f t="shared" si="226"/>
        <v>231.21485203716159</v>
      </c>
      <c r="H244" s="849">
        <f t="shared" ref="H244:Q244" si="233">G244*H885</f>
        <v>232.26748487781407</v>
      </c>
      <c r="I244" s="849">
        <f t="shared" si="233"/>
        <v>234.56126293082238</v>
      </c>
      <c r="J244" s="849">
        <f t="shared" si="233"/>
        <v>238.1176943191326</v>
      </c>
      <c r="K244" s="849">
        <f t="shared" si="233"/>
        <v>242.84695099985242</v>
      </c>
      <c r="L244" s="849">
        <f t="shared" si="233"/>
        <v>248.77813219814416</v>
      </c>
      <c r="M244" s="849">
        <f t="shared" si="233"/>
        <v>255.72399072600717</v>
      </c>
      <c r="N244" s="849">
        <f t="shared" si="233"/>
        <v>264.01726989725341</v>
      </c>
      <c r="O244" s="849">
        <f t="shared" si="233"/>
        <v>274.77006618656259</v>
      </c>
      <c r="P244" s="849">
        <f t="shared" si="233"/>
        <v>289.44113640315624</v>
      </c>
      <c r="Q244" s="849">
        <f t="shared" si="233"/>
        <v>308.93761726187552</v>
      </c>
    </row>
    <row r="245" spans="1:17">
      <c r="A245" s="484">
        <v>71</v>
      </c>
      <c r="B245" s="849">
        <f t="shared" si="221"/>
        <v>173.35959316309152</v>
      </c>
      <c r="C245" s="849">
        <f t="shared" si="221"/>
        <v>173.52175862525317</v>
      </c>
      <c r="D245" s="849">
        <f t="shared" si="221"/>
        <v>170.94408203484625</v>
      </c>
      <c r="E245" s="849">
        <f t="shared" si="221"/>
        <v>167.04079707351315</v>
      </c>
      <c r="F245" s="2">
        <v>163.85499999999999</v>
      </c>
      <c r="G245" s="849">
        <f t="shared" si="226"/>
        <v>162.84429432885287</v>
      </c>
      <c r="H245" s="849">
        <f t="shared" ref="H245:Q245" si="234">G245*H886</f>
        <v>164.74502439698028</v>
      </c>
      <c r="I245" s="849">
        <f t="shared" si="234"/>
        <v>169.11500647325539</v>
      </c>
      <c r="J245" s="849">
        <f t="shared" si="234"/>
        <v>174.83511030427178</v>
      </c>
      <c r="K245" s="849">
        <f t="shared" si="234"/>
        <v>180.20731264960415</v>
      </c>
      <c r="L245" s="849">
        <f t="shared" si="234"/>
        <v>184.14265357438779</v>
      </c>
      <c r="M245" s="849">
        <f t="shared" si="234"/>
        <v>186.05564033442278</v>
      </c>
      <c r="N245" s="849">
        <f t="shared" si="234"/>
        <v>186.73635814652002</v>
      </c>
      <c r="O245" s="849">
        <f t="shared" si="234"/>
        <v>188.12136433207513</v>
      </c>
      <c r="P245" s="849">
        <f t="shared" si="234"/>
        <v>192.89676006375436</v>
      </c>
      <c r="Q245" s="849">
        <f t="shared" si="234"/>
        <v>202.8963350154207</v>
      </c>
    </row>
    <row r="246" spans="1:17">
      <c r="A246" s="484">
        <v>72</v>
      </c>
      <c r="B246" s="849">
        <f t="shared" si="221"/>
        <v>208.45507465054507</v>
      </c>
      <c r="C246" s="849">
        <f t="shared" si="221"/>
        <v>208.33854001754787</v>
      </c>
      <c r="D246" s="849">
        <f t="shared" si="221"/>
        <v>203.85368735952693</v>
      </c>
      <c r="E246" s="849">
        <f t="shared" si="221"/>
        <v>197.29774889724885</v>
      </c>
      <c r="F246" s="2">
        <v>191.99600000000001</v>
      </c>
      <c r="G246" s="849">
        <f t="shared" si="226"/>
        <v>190.28259475246693</v>
      </c>
      <c r="H246" s="849">
        <f t="shared" ref="H246:Q246" si="235">G246*H887</f>
        <v>193.34595564957155</v>
      </c>
      <c r="I246" s="849">
        <f t="shared" si="235"/>
        <v>200.33918743765102</v>
      </c>
      <c r="J246" s="849">
        <f t="shared" si="235"/>
        <v>209.14620579079579</v>
      </c>
      <c r="K246" s="849">
        <f t="shared" si="235"/>
        <v>216.63095989230899</v>
      </c>
      <c r="L246" s="849">
        <f t="shared" si="235"/>
        <v>220.7408248698934</v>
      </c>
      <c r="M246" s="849">
        <f t="shared" si="235"/>
        <v>220.49390990492904</v>
      </c>
      <c r="N246" s="849">
        <f t="shared" si="235"/>
        <v>217.20901782430499</v>
      </c>
      <c r="O246" s="849">
        <f t="shared" si="235"/>
        <v>213.89297292099855</v>
      </c>
      <c r="P246" s="849">
        <f t="shared" si="235"/>
        <v>214.7675595726013</v>
      </c>
      <c r="Q246" s="849">
        <f t="shared" si="235"/>
        <v>222.77268119373565</v>
      </c>
    </row>
    <row r="247" spans="1:17">
      <c r="A247" s="484">
        <v>73</v>
      </c>
      <c r="B247" s="849">
        <f t="shared" si="221"/>
        <v>190.22000305168095</v>
      </c>
      <c r="C247" s="849">
        <f t="shared" si="221"/>
        <v>190.92369380644686</v>
      </c>
      <c r="D247" s="849">
        <f t="shared" si="221"/>
        <v>187.93300809869163</v>
      </c>
      <c r="E247" s="849">
        <f t="shared" si="221"/>
        <v>183.09568737567801</v>
      </c>
      <c r="F247" s="2">
        <v>179.107</v>
      </c>
      <c r="G247" s="849">
        <f t="shared" si="226"/>
        <v>177.86226399510744</v>
      </c>
      <c r="H247" s="849">
        <f t="shared" ref="H247:Q247" si="236">G247*H888</f>
        <v>180.31633018075345</v>
      </c>
      <c r="I247" s="849">
        <f t="shared" si="236"/>
        <v>185.78984930626774</v>
      </c>
      <c r="J247" s="849">
        <f t="shared" si="236"/>
        <v>192.59993829303556</v>
      </c>
      <c r="K247" s="849">
        <f t="shared" si="236"/>
        <v>198.25380583525867</v>
      </c>
      <c r="L247" s="849">
        <f t="shared" si="236"/>
        <v>201.12610331854859</v>
      </c>
      <c r="M247" s="849">
        <f t="shared" si="236"/>
        <v>200.48437275602623</v>
      </c>
      <c r="N247" s="849">
        <f t="shared" si="236"/>
        <v>197.41844967197528</v>
      </c>
      <c r="O247" s="849">
        <f t="shared" si="236"/>
        <v>194.30605644374168</v>
      </c>
      <c r="P247" s="849">
        <f t="shared" si="236"/>
        <v>194.48640486045053</v>
      </c>
      <c r="Q247" s="849">
        <f t="shared" si="236"/>
        <v>200.31287579535217</v>
      </c>
    </row>
    <row r="248" spans="1:17">
      <c r="A248" s="484">
        <v>74</v>
      </c>
      <c r="B248" s="849">
        <f t="shared" si="221"/>
        <v>139.95269528118453</v>
      </c>
      <c r="C248" s="849">
        <f t="shared" si="221"/>
        <v>141.68822586633274</v>
      </c>
      <c r="D248" s="849">
        <f t="shared" si="221"/>
        <v>141.60403640894305</v>
      </c>
      <c r="E248" s="849">
        <f t="shared" si="221"/>
        <v>140.45870899903727</v>
      </c>
      <c r="F248" s="2">
        <v>139.36600000000001</v>
      </c>
      <c r="G248" s="849">
        <f t="shared" si="226"/>
        <v>139.13009412460593</v>
      </c>
      <c r="H248" s="849">
        <f t="shared" ref="H248:Q248" si="237">G248*H889</f>
        <v>140.14299853382585</v>
      </c>
      <c r="I248" s="849">
        <f t="shared" si="237"/>
        <v>142.17494616686702</v>
      </c>
      <c r="J248" s="849">
        <f t="shared" si="237"/>
        <v>144.6857213388121</v>
      </c>
      <c r="K248" s="849">
        <f t="shared" si="237"/>
        <v>146.84570710496675</v>
      </c>
      <c r="L248" s="849">
        <f t="shared" si="237"/>
        <v>148.14187395936244</v>
      </c>
      <c r="M248" s="849">
        <f t="shared" si="237"/>
        <v>148.38654956990126</v>
      </c>
      <c r="N248" s="849">
        <f t="shared" si="237"/>
        <v>148.04716081979902</v>
      </c>
      <c r="O248" s="849">
        <f t="shared" si="237"/>
        <v>148.07434699874779</v>
      </c>
      <c r="P248" s="849">
        <f t="shared" si="237"/>
        <v>149.76602890817222</v>
      </c>
      <c r="Q248" s="849">
        <f t="shared" si="237"/>
        <v>154.06670702316305</v>
      </c>
    </row>
    <row r="249" spans="1:17">
      <c r="A249" s="484">
        <v>75</v>
      </c>
      <c r="B249" s="849">
        <f t="shared" si="221"/>
        <v>123.07173619541082</v>
      </c>
      <c r="C249" s="849">
        <f t="shared" si="221"/>
        <v>125.7417721687639</v>
      </c>
      <c r="D249" s="849">
        <f t="shared" si="221"/>
        <v>127.59737631384161</v>
      </c>
      <c r="E249" s="849">
        <f t="shared" si="221"/>
        <v>128.77776062176167</v>
      </c>
      <c r="F249" s="2">
        <v>129.51300000000001</v>
      </c>
      <c r="G249" s="849">
        <f t="shared" si="226"/>
        <v>130.00315958549223</v>
      </c>
      <c r="H249" s="849">
        <f t="shared" ref="H249:Q249" si="238">G249*H890</f>
        <v>130.31492775721688</v>
      </c>
      <c r="I249" s="849">
        <f t="shared" si="238"/>
        <v>130.47748068097704</v>
      </c>
      <c r="J249" s="849">
        <f t="shared" si="238"/>
        <v>130.61669267209473</v>
      </c>
      <c r="K249" s="849">
        <f t="shared" si="238"/>
        <v>130.87260932642485</v>
      </c>
      <c r="L249" s="849">
        <f t="shared" si="238"/>
        <v>131.3852762398223</v>
      </c>
      <c r="M249" s="849">
        <f t="shared" si="238"/>
        <v>132.29390540340484</v>
      </c>
      <c r="N249" s="849">
        <f t="shared" si="238"/>
        <v>133.72437113249441</v>
      </c>
      <c r="O249" s="849">
        <f t="shared" si="238"/>
        <v>135.77503878608437</v>
      </c>
      <c r="P249" s="849">
        <f t="shared" si="238"/>
        <v>138.54093930421905</v>
      </c>
      <c r="Q249" s="849">
        <f t="shared" si="238"/>
        <v>142.13711014063651</v>
      </c>
    </row>
    <row r="250" spans="1:17">
      <c r="A250" s="484">
        <v>76</v>
      </c>
      <c r="B250" s="849">
        <f t="shared" si="221"/>
        <v>138.89238124802694</v>
      </c>
      <c r="C250" s="849">
        <f t="shared" si="221"/>
        <v>143.53746369567506</v>
      </c>
      <c r="D250" s="849">
        <f t="shared" si="221"/>
        <v>148.39205240450383</v>
      </c>
      <c r="E250" s="849">
        <f t="shared" si="221"/>
        <v>152.86357329264445</v>
      </c>
      <c r="F250" s="2">
        <v>156.15199999999999</v>
      </c>
      <c r="G250" s="849">
        <f t="shared" si="226"/>
        <v>157.75410670314636</v>
      </c>
      <c r="H250" s="849">
        <f t="shared" ref="H250:Q250" si="239">G250*H891</f>
        <v>157.34947206145426</v>
      </c>
      <c r="I250" s="849">
        <f t="shared" si="239"/>
        <v>155.29959707460799</v>
      </c>
      <c r="J250" s="849">
        <f t="shared" si="239"/>
        <v>152.60990639797956</v>
      </c>
      <c r="K250" s="849">
        <f t="shared" si="239"/>
        <v>150.68840534568031</v>
      </c>
      <c r="L250" s="849">
        <f t="shared" si="239"/>
        <v>150.53127564979476</v>
      </c>
      <c r="M250" s="849">
        <f t="shared" si="239"/>
        <v>152.75163122171944</v>
      </c>
      <c r="N250" s="849">
        <f t="shared" si="239"/>
        <v>157.06191444806902</v>
      </c>
      <c r="O250" s="849">
        <f t="shared" si="239"/>
        <v>162.50188829843205</v>
      </c>
      <c r="P250" s="849">
        <f t="shared" si="239"/>
        <v>167.63479169735874</v>
      </c>
      <c r="Q250" s="849">
        <f t="shared" si="239"/>
        <v>171.55173718825634</v>
      </c>
    </row>
    <row r="251" spans="1:17">
      <c r="A251" s="484">
        <v>77</v>
      </c>
      <c r="B251" s="849">
        <f t="shared" si="221"/>
        <v>100.81127991942006</v>
      </c>
      <c r="C251" s="849">
        <f t="shared" si="221"/>
        <v>105.10164146030615</v>
      </c>
      <c r="D251" s="849">
        <f t="shared" si="221"/>
        <v>110.13149584081349</v>
      </c>
      <c r="E251" s="849">
        <f t="shared" si="221"/>
        <v>115.09049573118088</v>
      </c>
      <c r="F251" s="2">
        <v>118.858</v>
      </c>
      <c r="G251" s="849">
        <f t="shared" si="226"/>
        <v>120.69533022707651</v>
      </c>
      <c r="H251" s="849">
        <f t="shared" ref="H251:Q251" si="240">G251*H892</f>
        <v>120.17328737443641</v>
      </c>
      <c r="I251" s="849">
        <f t="shared" si="240"/>
        <v>117.71211186635787</v>
      </c>
      <c r="J251" s="849">
        <f t="shared" si="240"/>
        <v>114.46665045017885</v>
      </c>
      <c r="K251" s="849">
        <f t="shared" si="240"/>
        <v>112.07551501281331</v>
      </c>
      <c r="L251" s="849">
        <f t="shared" si="240"/>
        <v>111.67726391306135</v>
      </c>
      <c r="M251" s="849">
        <f t="shared" si="240"/>
        <v>113.93239130613533</v>
      </c>
      <c r="N251" s="849">
        <f t="shared" si="240"/>
        <v>118.42147118718398</v>
      </c>
      <c r="O251" s="849">
        <f t="shared" si="240"/>
        <v>123.90658602732596</v>
      </c>
      <c r="P251" s="849">
        <f t="shared" si="240"/>
        <v>128.57402376286475</v>
      </c>
      <c r="Q251" s="849">
        <f t="shared" si="240"/>
        <v>131.24206180537479</v>
      </c>
    </row>
    <row r="252" spans="1:17">
      <c r="A252" s="484">
        <v>78</v>
      </c>
      <c r="B252" s="849">
        <f t="shared" si="221"/>
        <v>99.64848388692424</v>
      </c>
      <c r="C252" s="849">
        <f t="shared" si="221"/>
        <v>104.05025126062209</v>
      </c>
      <c r="D252" s="849">
        <f t="shared" si="221"/>
        <v>109.12653218554586</v>
      </c>
      <c r="E252" s="849">
        <f t="shared" si="221"/>
        <v>114.13309594755222</v>
      </c>
      <c r="F252" s="2">
        <v>118.039</v>
      </c>
      <c r="G252" s="849">
        <f t="shared" si="226"/>
        <v>120.16537346898096</v>
      </c>
      <c r="H252" s="849">
        <f t="shared" ref="H252:Q252" si="241">G252*H893</f>
        <v>120.11482852586582</v>
      </c>
      <c r="I252" s="849">
        <f t="shared" si="241"/>
        <v>118.26732370855453</v>
      </c>
      <c r="J252" s="849">
        <f t="shared" si="241"/>
        <v>115.65467302822465</v>
      </c>
      <c r="K252" s="849">
        <f t="shared" si="241"/>
        <v>113.74267983521474</v>
      </c>
      <c r="L252" s="849">
        <f t="shared" si="241"/>
        <v>113.55270056626479</v>
      </c>
      <c r="M252" s="849">
        <f t="shared" si="241"/>
        <v>115.68255989339161</v>
      </c>
      <c r="N252" s="849">
        <f t="shared" si="241"/>
        <v>119.75491367230472</v>
      </c>
      <c r="O252" s="849">
        <f t="shared" si="241"/>
        <v>124.64557265096089</v>
      </c>
      <c r="P252" s="849">
        <f t="shared" si="241"/>
        <v>128.71095471358225</v>
      </c>
      <c r="Q252" s="849">
        <f t="shared" si="241"/>
        <v>130.88264433845953</v>
      </c>
    </row>
    <row r="253" spans="1:17">
      <c r="A253" s="484">
        <v>79</v>
      </c>
      <c r="B253" s="849">
        <f t="shared" si="221"/>
        <v>179.61727911640011</v>
      </c>
      <c r="C253" s="849">
        <f t="shared" si="221"/>
        <v>186.76833022049075</v>
      </c>
      <c r="D253" s="849">
        <f t="shared" si="221"/>
        <v>194.12751650815997</v>
      </c>
      <c r="E253" s="849">
        <f t="shared" si="221"/>
        <v>201.06874027270794</v>
      </c>
      <c r="F253" s="2">
        <v>206.751</v>
      </c>
      <c r="G253" s="849">
        <f t="shared" si="226"/>
        <v>210.62772931364682</v>
      </c>
      <c r="H253" s="849">
        <f t="shared" ref="H253:Q253" si="242">G253*H894</f>
        <v>212.3723421125861</v>
      </c>
      <c r="I253" s="849">
        <f t="shared" si="242"/>
        <v>212.30634802998802</v>
      </c>
      <c r="J253" s="849">
        <f t="shared" si="242"/>
        <v>211.34520344240556</v>
      </c>
      <c r="K253" s="849">
        <f t="shared" si="242"/>
        <v>210.78340766233976</v>
      </c>
      <c r="L253" s="849">
        <f t="shared" si="242"/>
        <v>211.53134059845146</v>
      </c>
      <c r="M253" s="849">
        <f t="shared" si="242"/>
        <v>214.18802546201564</v>
      </c>
      <c r="N253" s="849">
        <f t="shared" si="242"/>
        <v>218.48440945474783</v>
      </c>
      <c r="O253" s="849">
        <f t="shared" si="242"/>
        <v>223.48134601659811</v>
      </c>
      <c r="P253" s="849">
        <f t="shared" si="242"/>
        <v>227.7743456974022</v>
      </c>
      <c r="Q253" s="849">
        <f t="shared" si="242"/>
        <v>230.50548542338478</v>
      </c>
    </row>
    <row r="254" spans="1:17">
      <c r="A254" s="484">
        <v>80</v>
      </c>
      <c r="B254" s="849">
        <f t="shared" ref="B254:E273" si="243">C254/C895</f>
        <v>145.81454904542463</v>
      </c>
      <c r="C254" s="849">
        <f t="shared" si="243"/>
        <v>151.05681533903885</v>
      </c>
      <c r="D254" s="849">
        <f t="shared" si="243"/>
        <v>155.71594305464123</v>
      </c>
      <c r="E254" s="849">
        <f t="shared" si="243"/>
        <v>159.84127468729429</v>
      </c>
      <c r="F254" s="2">
        <v>163.53</v>
      </c>
      <c r="G254" s="849">
        <f t="shared" si="226"/>
        <v>166.86734693877551</v>
      </c>
      <c r="H254" s="849">
        <f t="shared" ref="H254:Q254" si="244">G254*H895</f>
        <v>169.88322004608295</v>
      </c>
      <c r="I254" s="849">
        <f t="shared" si="244"/>
        <v>172.56266705069123</v>
      </c>
      <c r="J254" s="849">
        <f t="shared" si="244"/>
        <v>174.90120227123106</v>
      </c>
      <c r="K254" s="849">
        <f t="shared" si="244"/>
        <v>176.89134957208688</v>
      </c>
      <c r="L254" s="849">
        <f t="shared" si="244"/>
        <v>178.54656599736668</v>
      </c>
      <c r="M254" s="849">
        <f t="shared" si="244"/>
        <v>179.96105085582619</v>
      </c>
      <c r="N254" s="849">
        <f t="shared" si="244"/>
        <v>181.24246050032914</v>
      </c>
      <c r="O254" s="849">
        <f t="shared" si="244"/>
        <v>182.47004196840024</v>
      </c>
      <c r="P254" s="849">
        <f t="shared" si="244"/>
        <v>183.73948979591836</v>
      </c>
      <c r="Q254" s="849">
        <f t="shared" si="244"/>
        <v>185.17341260697825</v>
      </c>
    </row>
    <row r="255" spans="1:17">
      <c r="A255" s="484">
        <v>81</v>
      </c>
      <c r="B255" s="849">
        <f t="shared" si="243"/>
        <v>104.82901070628269</v>
      </c>
      <c r="C255" s="849">
        <f t="shared" si="243"/>
        <v>108.02941115445265</v>
      </c>
      <c r="D255" s="849">
        <f t="shared" si="243"/>
        <v>110.14417171549508</v>
      </c>
      <c r="E255" s="849">
        <f t="shared" si="243"/>
        <v>111.7055149804963</v>
      </c>
      <c r="F255" s="2">
        <v>113.5</v>
      </c>
      <c r="G255" s="849">
        <f t="shared" si="226"/>
        <v>116.05984936509255</v>
      </c>
      <c r="H255" s="849">
        <f t="shared" ref="H255:Q255" si="245">G255*H896</f>
        <v>119.67590152709769</v>
      </c>
      <c r="I255" s="849">
        <f t="shared" si="245"/>
        <v>124.09028757573243</v>
      </c>
      <c r="J255" s="849">
        <f t="shared" si="245"/>
        <v>128.62830940327001</v>
      </c>
      <c r="K255" s="849">
        <f t="shared" si="245"/>
        <v>132.31854303261684</v>
      </c>
      <c r="L255" s="849">
        <f t="shared" si="245"/>
        <v>134.52279234791271</v>
      </c>
      <c r="M255" s="849">
        <f t="shared" si="245"/>
        <v>134.94079902896507</v>
      </c>
      <c r="N255" s="849">
        <f t="shared" si="245"/>
        <v>133.94464789609097</v>
      </c>
      <c r="O255" s="849">
        <f t="shared" si="245"/>
        <v>132.37270727861235</v>
      </c>
      <c r="P255" s="849">
        <f t="shared" si="245"/>
        <v>131.40834820317039</v>
      </c>
      <c r="Q255" s="849">
        <f t="shared" si="245"/>
        <v>131.89582641713005</v>
      </c>
    </row>
    <row r="256" spans="1:17">
      <c r="A256" s="484">
        <v>82</v>
      </c>
      <c r="B256" s="849">
        <f t="shared" si="243"/>
        <v>84.162155096676443</v>
      </c>
      <c r="C256" s="849">
        <f t="shared" si="243"/>
        <v>86.464661875273833</v>
      </c>
      <c r="D256" s="849">
        <f t="shared" si="243"/>
        <v>87.494203807854888</v>
      </c>
      <c r="E256" s="849">
        <f t="shared" si="243"/>
        <v>87.986318528955564</v>
      </c>
      <c r="F256" s="2">
        <v>88.998999999999995</v>
      </c>
      <c r="G256" s="849">
        <f t="shared" si="226"/>
        <v>91.247764057449359</v>
      </c>
      <c r="H256" s="849">
        <f t="shared" ref="H256:Q256" si="246">G256*H897</f>
        <v>95.128831547414663</v>
      </c>
      <c r="I256" s="849">
        <f t="shared" si="246"/>
        <v>100.28181010455026</v>
      </c>
      <c r="J256" s="849">
        <f t="shared" si="246"/>
        <v>105.75829876742011</v>
      </c>
      <c r="K256" s="849">
        <f t="shared" si="246"/>
        <v>110.20840683424703</v>
      </c>
      <c r="L256" s="849">
        <f t="shared" si="246"/>
        <v>112.71956182436034</v>
      </c>
      <c r="M256" s="849">
        <f t="shared" si="246"/>
        <v>112.84074639165493</v>
      </c>
      <c r="N256" s="849">
        <f t="shared" si="246"/>
        <v>111.04089212261863</v>
      </c>
      <c r="O256" s="849">
        <f t="shared" si="246"/>
        <v>108.44543482482212</v>
      </c>
      <c r="P256" s="849">
        <f t="shared" si="246"/>
        <v>106.67297880578283</v>
      </c>
      <c r="Q256" s="849">
        <f t="shared" si="246"/>
        <v>106.84263719999527</v>
      </c>
    </row>
    <row r="257" spans="1:17">
      <c r="A257" s="484">
        <v>83</v>
      </c>
      <c r="B257" s="849">
        <f t="shared" si="243"/>
        <v>87.12059587662074</v>
      </c>
      <c r="C257" s="849">
        <f t="shared" si="243"/>
        <v>89.78134050092612</v>
      </c>
      <c r="D257" s="849">
        <f t="shared" si="243"/>
        <v>91.131756087084895</v>
      </c>
      <c r="E257" s="849">
        <f t="shared" si="243"/>
        <v>91.942255979705223</v>
      </c>
      <c r="F257" s="2">
        <v>93.328999999999994</v>
      </c>
      <c r="G257" s="849">
        <f t="shared" si="226"/>
        <v>96.03985280932055</v>
      </c>
      <c r="H257" s="849">
        <f t="shared" ref="H257:Q257" si="247">G257*H898</f>
        <v>100.48444882016589</v>
      </c>
      <c r="I257" s="849">
        <f t="shared" si="247"/>
        <v>106.27946041717001</v>
      </c>
      <c r="J257" s="849">
        <f t="shared" si="247"/>
        <v>112.42898742315643</v>
      </c>
      <c r="K257" s="849">
        <f t="shared" si="247"/>
        <v>117.51246279294516</v>
      </c>
      <c r="L257" s="849">
        <f t="shared" si="247"/>
        <v>120.57031478349575</v>
      </c>
      <c r="M257" s="849">
        <f t="shared" si="247"/>
        <v>121.12401022791333</v>
      </c>
      <c r="N257" s="849">
        <f t="shared" si="247"/>
        <v>119.65584040696893</v>
      </c>
      <c r="O257" s="849">
        <f t="shared" si="247"/>
        <v>117.31829357601137</v>
      </c>
      <c r="P257" s="849">
        <f t="shared" si="247"/>
        <v>115.76243443129042</v>
      </c>
      <c r="Q257" s="849">
        <f t="shared" si="247"/>
        <v>116.14075122815493</v>
      </c>
    </row>
    <row r="258" spans="1:17">
      <c r="A258" s="484">
        <v>84</v>
      </c>
      <c r="B258" s="849">
        <f t="shared" si="243"/>
        <v>93.278866331002916</v>
      </c>
      <c r="C258" s="849">
        <f t="shared" si="243"/>
        <v>97.007606120808646</v>
      </c>
      <c r="D258" s="849">
        <f t="shared" si="243"/>
        <v>99.768811810916162</v>
      </c>
      <c r="E258" s="849">
        <f t="shared" si="243"/>
        <v>102.09152914056934</v>
      </c>
      <c r="F258" s="2">
        <v>104.759</v>
      </c>
      <c r="G258" s="849">
        <f t="shared" si="226"/>
        <v>108.29232649873369</v>
      </c>
      <c r="H258" s="849">
        <f t="shared" ref="H258:Q258" si="248">G258*H899</f>
        <v>112.96159204719515</v>
      </c>
      <c r="I258" s="849">
        <f t="shared" si="248"/>
        <v>118.48559215335388</v>
      </c>
      <c r="J258" s="849">
        <f t="shared" si="248"/>
        <v>124.19547319492261</v>
      </c>
      <c r="K258" s="849">
        <f t="shared" si="248"/>
        <v>129.12528979814678</v>
      </c>
      <c r="L258" s="849">
        <f t="shared" si="248"/>
        <v>132.62684177800696</v>
      </c>
      <c r="M258" s="849">
        <f t="shared" si="248"/>
        <v>134.39509375331747</v>
      </c>
      <c r="N258" s="849">
        <f t="shared" si="248"/>
        <v>134.7509683647007</v>
      </c>
      <c r="O258" s="849">
        <f t="shared" si="248"/>
        <v>134.41733591652891</v>
      </c>
      <c r="P258" s="849">
        <f t="shared" si="248"/>
        <v>134.436400627853</v>
      </c>
      <c r="Q258" s="849">
        <f t="shared" si="248"/>
        <v>135.54215388465096</v>
      </c>
    </row>
    <row r="259" spans="1:17">
      <c r="A259" s="484">
        <v>85</v>
      </c>
      <c r="B259" s="849">
        <f t="shared" si="243"/>
        <v>78.954836387434568</v>
      </c>
      <c r="C259" s="849">
        <f t="shared" si="243"/>
        <v>82.97990183246074</v>
      </c>
      <c r="D259" s="849">
        <f t="shared" si="243"/>
        <v>86.587794502617797</v>
      </c>
      <c r="E259" s="849">
        <f t="shared" si="243"/>
        <v>89.961027486910993</v>
      </c>
      <c r="F259" s="2">
        <v>93.375</v>
      </c>
      <c r="G259" s="849">
        <f t="shared" si="226"/>
        <v>97.018743455497386</v>
      </c>
      <c r="H259" s="849">
        <f t="shared" ref="H259:Q259" si="249">G259*H900</f>
        <v>100.95255235602095</v>
      </c>
      <c r="I259" s="849">
        <f t="shared" si="249"/>
        <v>105.06887434554973</v>
      </c>
      <c r="J259" s="849">
        <f t="shared" si="249"/>
        <v>109.17378926701571</v>
      </c>
      <c r="K259" s="849">
        <f t="shared" si="249"/>
        <v>112.98537958115182</v>
      </c>
      <c r="L259" s="849">
        <f t="shared" si="249"/>
        <v>116.31298429319369</v>
      </c>
      <c r="M259" s="849">
        <f t="shared" si="249"/>
        <v>119.09956806282719</v>
      </c>
      <c r="N259" s="849">
        <f t="shared" si="249"/>
        <v>121.42498036649214</v>
      </c>
      <c r="O259" s="849">
        <f t="shared" si="249"/>
        <v>123.4114397905759</v>
      </c>
      <c r="P259" s="849">
        <f t="shared" si="249"/>
        <v>125.23657068062825</v>
      </c>
      <c r="Q259" s="849">
        <f t="shared" si="249"/>
        <v>127.04377617801045</v>
      </c>
    </row>
    <row r="260" spans="1:17">
      <c r="A260" s="484">
        <v>86</v>
      </c>
      <c r="B260" s="849">
        <f t="shared" si="243"/>
        <v>63.624960318757687</v>
      </c>
      <c r="C260" s="849">
        <f t="shared" si="243"/>
        <v>67.907298283612604</v>
      </c>
      <c r="D260" s="849">
        <f t="shared" si="243"/>
        <v>72.359937719656742</v>
      </c>
      <c r="E260" s="849">
        <f t="shared" si="243"/>
        <v>76.782815733551303</v>
      </c>
      <c r="F260" s="2">
        <v>80.918000000000006</v>
      </c>
      <c r="G260" s="849">
        <f t="shared" si="226"/>
        <v>84.593535635472008</v>
      </c>
      <c r="H260" s="849">
        <f t="shared" ref="H260:Q260" si="250">G260*H901</f>
        <v>87.657308704536177</v>
      </c>
      <c r="I260" s="849">
        <f t="shared" si="250"/>
        <v>90.182069350224779</v>
      </c>
      <c r="J260" s="849">
        <f t="shared" si="250"/>
        <v>92.491886391499804</v>
      </c>
      <c r="K260" s="849">
        <f t="shared" si="250"/>
        <v>95.053022108704539</v>
      </c>
      <c r="L260" s="849">
        <f t="shared" si="250"/>
        <v>98.171357785042929</v>
      </c>
      <c r="M260" s="849">
        <f t="shared" si="250"/>
        <v>102.05853020024522</v>
      </c>
      <c r="N260" s="849">
        <f t="shared" si="250"/>
        <v>106.54093105843893</v>
      </c>
      <c r="O260" s="849">
        <f t="shared" si="250"/>
        <v>111.08450817327343</v>
      </c>
      <c r="P260" s="849">
        <f t="shared" si="250"/>
        <v>114.93034527993464</v>
      </c>
      <c r="Q260" s="849">
        <f t="shared" si="250"/>
        <v>117.58241867592974</v>
      </c>
    </row>
    <row r="261" spans="1:17">
      <c r="A261" s="484">
        <v>87</v>
      </c>
      <c r="B261" s="849">
        <f t="shared" si="243"/>
        <v>64.769960247478934</v>
      </c>
      <c r="C261" s="849">
        <f t="shared" si="243"/>
        <v>70.266810615287184</v>
      </c>
      <c r="D261" s="849">
        <f t="shared" si="243"/>
        <v>76.504493861743072</v>
      </c>
      <c r="E261" s="849">
        <f t="shared" si="243"/>
        <v>82.899847079456322</v>
      </c>
      <c r="F261" s="2">
        <v>88.671000000000006</v>
      </c>
      <c r="G261" s="849">
        <f t="shared" si="226"/>
        <v>93.293106006722866</v>
      </c>
      <c r="H261" s="849">
        <f t="shared" ref="H261:Q261" si="251">G261*H902</f>
        <v>96.390349003751169</v>
      </c>
      <c r="I261" s="849">
        <f t="shared" si="251"/>
        <v>98.206793467140855</v>
      </c>
      <c r="J261" s="849">
        <f t="shared" si="251"/>
        <v>99.589105543917768</v>
      </c>
      <c r="K261" s="849">
        <f t="shared" si="251"/>
        <v>101.75112802650168</v>
      </c>
      <c r="L261" s="849">
        <f t="shared" si="251"/>
        <v>105.48769035903932</v>
      </c>
      <c r="M261" s="849">
        <f t="shared" si="251"/>
        <v>111.28476163102255</v>
      </c>
      <c r="N261" s="849">
        <f t="shared" si="251"/>
        <v>118.7168489063185</v>
      </c>
      <c r="O261" s="849">
        <f t="shared" si="251"/>
        <v>126.5701093925074</v>
      </c>
      <c r="P261" s="849">
        <f t="shared" si="251"/>
        <v>133.13177203195789</v>
      </c>
      <c r="Q261" s="849">
        <f t="shared" si="251"/>
        <v>137.24847018560916</v>
      </c>
    </row>
    <row r="262" spans="1:17">
      <c r="A262" s="484">
        <v>88</v>
      </c>
      <c r="B262" s="849">
        <f t="shared" si="243"/>
        <v>41.7883346818574</v>
      </c>
      <c r="C262" s="849">
        <f t="shared" si="243"/>
        <v>45.716095368414791</v>
      </c>
      <c r="D262" s="849">
        <f t="shared" si="243"/>
        <v>50.295832525210464</v>
      </c>
      <c r="E262" s="849">
        <f t="shared" si="243"/>
        <v>55.068158937442377</v>
      </c>
      <c r="F262" s="2">
        <v>59.396999999999998</v>
      </c>
      <c r="G262" s="849">
        <f t="shared" si="226"/>
        <v>62.851238480530697</v>
      </c>
      <c r="H262" s="849">
        <f t="shared" ref="H262:Q262" si="252">G262*H903</f>
        <v>65.14287393283162</v>
      </c>
      <c r="I262" s="849">
        <f t="shared" si="252"/>
        <v>66.46979623404826</v>
      </c>
      <c r="J262" s="849">
        <f t="shared" si="252"/>
        <v>67.480448106612741</v>
      </c>
      <c r="K262" s="849">
        <f t="shared" si="252"/>
        <v>69.095370854032197</v>
      </c>
      <c r="L262" s="849">
        <f t="shared" si="252"/>
        <v>71.938270964095565</v>
      </c>
      <c r="M262" s="849">
        <f t="shared" si="252"/>
        <v>76.364290091322857</v>
      </c>
      <c r="N262" s="849">
        <f t="shared" si="252"/>
        <v>82.043022815837247</v>
      </c>
      <c r="O262" s="849">
        <f t="shared" si="252"/>
        <v>88.07159657316241</v>
      </c>
      <c r="P262" s="849">
        <f t="shared" si="252"/>
        <v>93.160193414046489</v>
      </c>
      <c r="Q262" s="849">
        <f t="shared" si="252"/>
        <v>96.44481199988104</v>
      </c>
    </row>
    <row r="263" spans="1:17">
      <c r="A263" s="484">
        <v>89</v>
      </c>
      <c r="B263" s="849">
        <f t="shared" si="243"/>
        <v>26.810948179743328</v>
      </c>
      <c r="C263" s="849">
        <f t="shared" si="243"/>
        <v>29.259637071126573</v>
      </c>
      <c r="D263" s="849">
        <f t="shared" si="243"/>
        <v>32.083631084670927</v>
      </c>
      <c r="E263" s="849">
        <f t="shared" si="243"/>
        <v>35.053498409847712</v>
      </c>
      <c r="F263" s="2">
        <v>37.851999999999997</v>
      </c>
      <c r="G263" s="849">
        <f t="shared" si="226"/>
        <v>40.266698993527143</v>
      </c>
      <c r="H263" s="849">
        <f t="shared" ref="H263:Q263" si="253">G263*H904</f>
        <v>42.160219553260745</v>
      </c>
      <c r="I263" s="849">
        <f t="shared" si="253"/>
        <v>43.618952669585063</v>
      </c>
      <c r="J263" s="849">
        <f t="shared" si="253"/>
        <v>44.928979982788938</v>
      </c>
      <c r="K263" s="849">
        <f t="shared" si="253"/>
        <v>46.512342724585615</v>
      </c>
      <c r="L263" s="849">
        <f t="shared" si="253"/>
        <v>48.64096007782392</v>
      </c>
      <c r="M263" s="849">
        <f t="shared" si="253"/>
        <v>51.473451565832306</v>
      </c>
      <c r="N263" s="849">
        <f t="shared" si="253"/>
        <v>54.852613911026303</v>
      </c>
      <c r="O263" s="849">
        <f t="shared" si="253"/>
        <v>58.369152093388699</v>
      </c>
      <c r="P263" s="849">
        <f t="shared" si="253"/>
        <v>61.452319078085822</v>
      </c>
      <c r="Q263" s="849">
        <f t="shared" si="253"/>
        <v>63.704149811052488</v>
      </c>
    </row>
    <row r="264" spans="1:17">
      <c r="A264" s="484">
        <v>90</v>
      </c>
      <c r="B264" s="849">
        <f t="shared" si="243"/>
        <v>26.236682080924858</v>
      </c>
      <c r="C264" s="849">
        <f t="shared" si="243"/>
        <v>28.55955217007936</v>
      </c>
      <c r="D264" s="849">
        <f t="shared" si="243"/>
        <v>31.225881649848148</v>
      </c>
      <c r="E264" s="849">
        <f t="shared" si="243"/>
        <v>34.082017634956401</v>
      </c>
      <c r="F264" s="2">
        <v>36.902000000000001</v>
      </c>
      <c r="G264" s="849">
        <f t="shared" si="226"/>
        <v>39.537598902713825</v>
      </c>
      <c r="H264" s="849">
        <f t="shared" ref="H264:Q264" si="254">G264*H905</f>
        <v>41.89662261193299</v>
      </c>
      <c r="I264" s="849">
        <f t="shared" si="254"/>
        <v>44.031493876751256</v>
      </c>
      <c r="J264" s="849">
        <f t="shared" si="254"/>
        <v>46.086827177427267</v>
      </c>
      <c r="K264" s="849">
        <f t="shared" si="254"/>
        <v>48.277736553345754</v>
      </c>
      <c r="L264" s="849">
        <f t="shared" si="254"/>
        <v>50.747028803762134</v>
      </c>
      <c r="M264" s="849">
        <f t="shared" si="254"/>
        <v>53.563395806799264</v>
      </c>
      <c r="N264" s="849">
        <f t="shared" si="254"/>
        <v>56.636453512295496</v>
      </c>
      <c r="O264" s="849">
        <f t="shared" si="254"/>
        <v>59.767357009895186</v>
      </c>
      <c r="P264" s="849">
        <f t="shared" si="254"/>
        <v>62.679531106103667</v>
      </c>
      <c r="Q264" s="849">
        <f t="shared" si="254"/>
        <v>65.175938571568537</v>
      </c>
    </row>
    <row r="265" spans="1:17">
      <c r="A265" s="484">
        <v>91</v>
      </c>
      <c r="B265" s="849">
        <f t="shared" si="243"/>
        <v>19.073105353583948</v>
      </c>
      <c r="C265" s="849">
        <f t="shared" si="243"/>
        <v>20.586815201704351</v>
      </c>
      <c r="D265" s="849">
        <f t="shared" si="243"/>
        <v>22.311866400934644</v>
      </c>
      <c r="E265" s="849">
        <f t="shared" si="243"/>
        <v>24.222970242595011</v>
      </c>
      <c r="F265" s="2">
        <v>26.283999999999999</v>
      </c>
      <c r="G265" s="849">
        <f t="shared" si="226"/>
        <v>28.449797264792796</v>
      </c>
      <c r="H265" s="849">
        <f t="shared" ref="H265:Q265" si="255">G265*H906</f>
        <v>30.73300639131331</v>
      </c>
      <c r="I265" s="849">
        <f t="shared" si="255"/>
        <v>33.119176688887364</v>
      </c>
      <c r="J265" s="849">
        <f t="shared" si="255"/>
        <v>35.527023022472676</v>
      </c>
      <c r="K265" s="849">
        <f t="shared" si="255"/>
        <v>37.86080956635282</v>
      </c>
      <c r="L265" s="849">
        <f t="shared" si="255"/>
        <v>40.050089203491162</v>
      </c>
      <c r="M265" s="849">
        <f t="shared" si="255"/>
        <v>42.029833825853892</v>
      </c>
      <c r="N265" s="849">
        <f t="shared" si="255"/>
        <v>43.823525805786538</v>
      </c>
      <c r="O265" s="849">
        <f t="shared" si="255"/>
        <v>45.566640368359558</v>
      </c>
      <c r="P265" s="849">
        <f t="shared" si="255"/>
        <v>47.443423819668752</v>
      </c>
      <c r="Q265" s="849">
        <f t="shared" si="255"/>
        <v>49.578513366778907</v>
      </c>
    </row>
    <row r="266" spans="1:17">
      <c r="A266" s="484">
        <v>92</v>
      </c>
      <c r="B266" s="849">
        <f t="shared" si="243"/>
        <v>16.248193021379585</v>
      </c>
      <c r="C266" s="849">
        <f t="shared" si="243"/>
        <v>17.321351855586926</v>
      </c>
      <c r="D266" s="849">
        <f t="shared" si="243"/>
        <v>18.5256502622025</v>
      </c>
      <c r="E266" s="849">
        <f t="shared" si="243"/>
        <v>19.94414330375151</v>
      </c>
      <c r="F266" s="2">
        <v>21.672999999999998</v>
      </c>
      <c r="G266" s="849">
        <f t="shared" si="226"/>
        <v>23.775604477611939</v>
      </c>
      <c r="H266" s="849">
        <f t="shared" ref="H266:Q266" si="256">G266*H907</f>
        <v>26.326269160951995</v>
      </c>
      <c r="I266" s="849">
        <f t="shared" si="256"/>
        <v>29.263795582896329</v>
      </c>
      <c r="J266" s="849">
        <f t="shared" si="256"/>
        <v>32.314976300927796</v>
      </c>
      <c r="K266" s="849">
        <f t="shared" si="256"/>
        <v>35.112620512303359</v>
      </c>
      <c r="L266" s="849">
        <f t="shared" si="256"/>
        <v>37.409748688987499</v>
      </c>
      <c r="M266" s="849">
        <f t="shared" si="256"/>
        <v>39.024951089148857</v>
      </c>
      <c r="N266" s="849">
        <f t="shared" si="256"/>
        <v>40.076253327954817</v>
      </c>
      <c r="O266" s="849">
        <f t="shared" si="256"/>
        <v>40.978930718031464</v>
      </c>
      <c r="P266" s="849">
        <f t="shared" si="256"/>
        <v>42.320925675675674</v>
      </c>
      <c r="Q266" s="849">
        <f t="shared" si="256"/>
        <v>44.491285599031869</v>
      </c>
    </row>
    <row r="267" spans="1:17">
      <c r="A267" s="484">
        <v>93</v>
      </c>
      <c r="B267" s="849">
        <f t="shared" si="243"/>
        <v>10.881392368191083</v>
      </c>
      <c r="C267" s="849">
        <f t="shared" si="243"/>
        <v>11.547772210894259</v>
      </c>
      <c r="D267" s="849">
        <f t="shared" si="243"/>
        <v>12.304830323332361</v>
      </c>
      <c r="E267" s="849">
        <f t="shared" si="243"/>
        <v>13.241136178269734</v>
      </c>
      <c r="F267" s="2">
        <v>14.478999999999999</v>
      </c>
      <c r="G267" s="849">
        <f t="shared" si="226"/>
        <v>16.079576900669966</v>
      </c>
      <c r="H267" s="849">
        <f t="shared" ref="H267:Q267" si="257">G267*H908</f>
        <v>18.131436353043984</v>
      </c>
      <c r="I267" s="849">
        <f t="shared" si="257"/>
        <v>20.5670968540635</v>
      </c>
      <c r="J267" s="849">
        <f t="shared" si="257"/>
        <v>23.129285173317793</v>
      </c>
      <c r="K267" s="849">
        <f t="shared" si="257"/>
        <v>25.461614622778903</v>
      </c>
      <c r="L267" s="849">
        <f t="shared" si="257"/>
        <v>27.327899941741908</v>
      </c>
      <c r="M267" s="849">
        <f t="shared" si="257"/>
        <v>28.561546169531013</v>
      </c>
      <c r="N267" s="849">
        <f t="shared" si="257"/>
        <v>29.276428342557519</v>
      </c>
      <c r="O267" s="849">
        <f t="shared" si="257"/>
        <v>29.858456306437514</v>
      </c>
      <c r="P267" s="849">
        <f t="shared" si="257"/>
        <v>30.860134867462854</v>
      </c>
      <c r="Q267" s="849">
        <f t="shared" si="257"/>
        <v>32.65050349548499</v>
      </c>
    </row>
    <row r="268" spans="1:17">
      <c r="A268" s="484">
        <v>94</v>
      </c>
      <c r="B268" s="849">
        <f t="shared" si="243"/>
        <v>12.578730222311234</v>
      </c>
      <c r="C268" s="849">
        <f t="shared" si="243"/>
        <v>13.479472862006808</v>
      </c>
      <c r="D268" s="849">
        <f t="shared" si="243"/>
        <v>14.563178850390546</v>
      </c>
      <c r="E268" s="849">
        <f t="shared" si="243"/>
        <v>15.893181654316042</v>
      </c>
      <c r="F268" s="2">
        <v>17.568000000000001</v>
      </c>
      <c r="G268" s="849">
        <f t="shared" si="226"/>
        <v>19.636893250550774</v>
      </c>
      <c r="H268" s="849">
        <f t="shared" ref="H268:Q268" si="258">G268*H909</f>
        <v>22.177268976567198</v>
      </c>
      <c r="I268" s="849">
        <f t="shared" si="258"/>
        <v>25.12579371119568</v>
      </c>
      <c r="J268" s="849">
        <f t="shared" si="258"/>
        <v>28.239689164830772</v>
      </c>
      <c r="K268" s="849">
        <f t="shared" si="258"/>
        <v>31.177658321650323</v>
      </c>
      <c r="L268" s="849">
        <f t="shared" si="258"/>
        <v>33.718034047666741</v>
      </c>
      <c r="M268" s="849">
        <f t="shared" si="258"/>
        <v>35.68840857200081</v>
      </c>
      <c r="N268" s="849">
        <f t="shared" si="258"/>
        <v>37.197856198678153</v>
      </c>
      <c r="O268" s="849">
        <f t="shared" si="258"/>
        <v>38.605266573202485</v>
      </c>
      <c r="P268" s="849">
        <f t="shared" si="258"/>
        <v>40.43138153414781</v>
      </c>
      <c r="Q268" s="849">
        <f t="shared" si="258"/>
        <v>43.013979571399958</v>
      </c>
    </row>
    <row r="269" spans="1:17">
      <c r="A269" s="484">
        <v>95</v>
      </c>
      <c r="B269" s="849">
        <f t="shared" si="243"/>
        <v>28.922072226999138</v>
      </c>
      <c r="C269" s="849">
        <f t="shared" si="243"/>
        <v>31.082714244769267</v>
      </c>
      <c r="D269" s="849">
        <f t="shared" si="243"/>
        <v>33.713061049011174</v>
      </c>
      <c r="E269" s="849">
        <f t="shared" si="243"/>
        <v>36.96576669532817</v>
      </c>
      <c r="F269" s="2">
        <v>40.97</v>
      </c>
      <c r="G269" s="849">
        <f t="shared" si="226"/>
        <v>45.843187159644593</v>
      </c>
      <c r="H269" s="849">
        <f t="shared" ref="H269:Q269" si="259">G269*H910</f>
        <v>51.667526511894529</v>
      </c>
      <c r="I269" s="849">
        <f t="shared" si="259"/>
        <v>58.360819719117224</v>
      </c>
      <c r="J269" s="849">
        <f t="shared" si="259"/>
        <v>65.512075093149903</v>
      </c>
      <c r="K269" s="849">
        <f t="shared" si="259"/>
        <v>72.581132129550028</v>
      </c>
      <c r="L269" s="849">
        <f t="shared" si="259"/>
        <v>79.145256520492993</v>
      </c>
      <c r="M269" s="849">
        <f t="shared" si="259"/>
        <v>84.946110633419323</v>
      </c>
      <c r="N269" s="849">
        <f t="shared" si="259"/>
        <v>90.159833763255946</v>
      </c>
      <c r="O269" s="849">
        <f t="shared" si="259"/>
        <v>95.291358555460008</v>
      </c>
      <c r="P269" s="849">
        <f t="shared" si="259"/>
        <v>101.11569790770994</v>
      </c>
      <c r="Q269" s="849">
        <f t="shared" si="259"/>
        <v>108.14952708512469</v>
      </c>
    </row>
    <row r="270" spans="1:17">
      <c r="A270" s="484">
        <v>96</v>
      </c>
      <c r="B270" s="849">
        <f t="shared" si="243"/>
        <v>0</v>
      </c>
      <c r="C270" s="849">
        <f t="shared" si="243"/>
        <v>0</v>
      </c>
      <c r="D270" s="849">
        <f t="shared" si="243"/>
        <v>0</v>
      </c>
      <c r="E270" s="849">
        <f t="shared" si="243"/>
        <v>0</v>
      </c>
      <c r="F270" s="2">
        <v>0</v>
      </c>
      <c r="G270" s="849">
        <f>F270*G911</f>
        <v>0</v>
      </c>
      <c r="H270" s="849">
        <f t="shared" ref="H270:Q270" si="260">G270*H911</f>
        <v>0</v>
      </c>
      <c r="I270" s="849">
        <f t="shared" si="260"/>
        <v>0</v>
      </c>
      <c r="J270" s="849">
        <f t="shared" si="260"/>
        <v>0</v>
      </c>
      <c r="K270" s="849">
        <f t="shared" si="260"/>
        <v>0</v>
      </c>
      <c r="L270" s="849">
        <f t="shared" si="260"/>
        <v>0</v>
      </c>
      <c r="M270" s="849">
        <f t="shared" si="260"/>
        <v>0</v>
      </c>
      <c r="N270" s="849">
        <f t="shared" si="260"/>
        <v>0</v>
      </c>
      <c r="O270" s="849">
        <f t="shared" si="260"/>
        <v>0</v>
      </c>
      <c r="P270" s="849">
        <f t="shared" si="260"/>
        <v>0</v>
      </c>
      <c r="Q270" s="849">
        <f t="shared" si="260"/>
        <v>0</v>
      </c>
    </row>
    <row r="271" spans="1:17">
      <c r="A271" s="484">
        <v>97</v>
      </c>
      <c r="B271" s="849">
        <f t="shared" si="243"/>
        <v>0</v>
      </c>
      <c r="C271" s="849">
        <f t="shared" si="243"/>
        <v>0</v>
      </c>
      <c r="D271" s="849">
        <f t="shared" si="243"/>
        <v>0</v>
      </c>
      <c r="E271" s="849">
        <f t="shared" si="243"/>
        <v>0</v>
      </c>
      <c r="F271" s="2">
        <v>0</v>
      </c>
      <c r="G271" s="849">
        <f>F271*G912</f>
        <v>0</v>
      </c>
      <c r="H271" s="849">
        <f t="shared" ref="H271:Q271" si="261">G271*H912</f>
        <v>0</v>
      </c>
      <c r="I271" s="849">
        <f t="shared" si="261"/>
        <v>0</v>
      </c>
      <c r="J271" s="849">
        <f t="shared" si="261"/>
        <v>0</v>
      </c>
      <c r="K271" s="849">
        <f t="shared" si="261"/>
        <v>0</v>
      </c>
      <c r="L271" s="849">
        <f t="shared" si="261"/>
        <v>0</v>
      </c>
      <c r="M271" s="849">
        <f t="shared" si="261"/>
        <v>0</v>
      </c>
      <c r="N271" s="849">
        <f t="shared" si="261"/>
        <v>0</v>
      </c>
      <c r="O271" s="849">
        <f t="shared" si="261"/>
        <v>0</v>
      </c>
      <c r="P271" s="849">
        <f t="shared" si="261"/>
        <v>0</v>
      </c>
      <c r="Q271" s="849">
        <f t="shared" si="261"/>
        <v>0</v>
      </c>
    </row>
    <row r="272" spans="1:17">
      <c r="A272" s="484">
        <v>98</v>
      </c>
      <c r="B272" s="849">
        <f t="shared" si="243"/>
        <v>0</v>
      </c>
      <c r="C272" s="849">
        <f t="shared" si="243"/>
        <v>0</v>
      </c>
      <c r="D272" s="849">
        <f t="shared" si="243"/>
        <v>0</v>
      </c>
      <c r="E272" s="849">
        <f t="shared" si="243"/>
        <v>0</v>
      </c>
      <c r="F272" s="2">
        <v>0</v>
      </c>
      <c r="G272" s="849">
        <f>F272*G913</f>
        <v>0</v>
      </c>
      <c r="H272" s="849">
        <f t="shared" ref="H272:Q272" si="262">G272*H913</f>
        <v>0</v>
      </c>
      <c r="I272" s="849">
        <f t="shared" si="262"/>
        <v>0</v>
      </c>
      <c r="J272" s="849">
        <f t="shared" si="262"/>
        <v>0</v>
      </c>
      <c r="K272" s="849">
        <f t="shared" si="262"/>
        <v>0</v>
      </c>
      <c r="L272" s="849">
        <f t="shared" si="262"/>
        <v>0</v>
      </c>
      <c r="M272" s="849">
        <f t="shared" si="262"/>
        <v>0</v>
      </c>
      <c r="N272" s="849">
        <f t="shared" si="262"/>
        <v>0</v>
      </c>
      <c r="O272" s="849">
        <f t="shared" si="262"/>
        <v>0</v>
      </c>
      <c r="P272" s="849">
        <f t="shared" si="262"/>
        <v>0</v>
      </c>
      <c r="Q272" s="849">
        <f t="shared" si="262"/>
        <v>0</v>
      </c>
    </row>
    <row r="273" spans="1:18">
      <c r="A273" s="484">
        <v>99</v>
      </c>
      <c r="B273" s="849">
        <f t="shared" si="243"/>
        <v>0</v>
      </c>
      <c r="C273" s="849">
        <f t="shared" si="243"/>
        <v>0</v>
      </c>
      <c r="D273" s="849">
        <f t="shared" si="243"/>
        <v>0</v>
      </c>
      <c r="E273" s="849">
        <f t="shared" si="243"/>
        <v>0</v>
      </c>
      <c r="F273" s="2">
        <v>0</v>
      </c>
      <c r="G273" s="849">
        <f t="shared" ref="G273:Q273" si="263">F273*G914</f>
        <v>0</v>
      </c>
      <c r="H273" s="849">
        <f t="shared" si="263"/>
        <v>0</v>
      </c>
      <c r="I273" s="849">
        <f t="shared" si="263"/>
        <v>0</v>
      </c>
      <c r="J273" s="849">
        <f t="shared" si="263"/>
        <v>0</v>
      </c>
      <c r="K273" s="849">
        <f t="shared" si="263"/>
        <v>0</v>
      </c>
      <c r="L273" s="849">
        <f t="shared" si="263"/>
        <v>0</v>
      </c>
      <c r="M273" s="849">
        <f t="shared" si="263"/>
        <v>0</v>
      </c>
      <c r="N273" s="849">
        <f t="shared" si="263"/>
        <v>0</v>
      </c>
      <c r="O273" s="849">
        <f t="shared" si="263"/>
        <v>0</v>
      </c>
      <c r="P273" s="849">
        <f t="shared" si="263"/>
        <v>0</v>
      </c>
      <c r="Q273" s="849">
        <f t="shared" si="263"/>
        <v>0</v>
      </c>
    </row>
    <row r="274" spans="1:18">
      <c r="A274" s="485">
        <v>100</v>
      </c>
      <c r="B274" s="849">
        <f>C274/C915</f>
        <v>0</v>
      </c>
      <c r="C274" s="849">
        <f>D274/D915</f>
        <v>0</v>
      </c>
      <c r="D274" s="849">
        <f>E274/E915</f>
        <v>0</v>
      </c>
      <c r="E274" s="849">
        <f>F274/F915</f>
        <v>0</v>
      </c>
      <c r="F274" s="2">
        <v>0</v>
      </c>
      <c r="G274" s="849">
        <f t="shared" ref="G274:Q274" si="264">F274*G915</f>
        <v>0</v>
      </c>
      <c r="H274" s="849">
        <f t="shared" si="264"/>
        <v>0</v>
      </c>
      <c r="I274" s="849">
        <f t="shared" si="264"/>
        <v>0</v>
      </c>
      <c r="J274" s="849">
        <f t="shared" si="264"/>
        <v>0</v>
      </c>
      <c r="K274" s="849">
        <f t="shared" si="264"/>
        <v>0</v>
      </c>
      <c r="L274" s="849">
        <f t="shared" si="264"/>
        <v>0</v>
      </c>
      <c r="M274" s="849">
        <f t="shared" si="264"/>
        <v>0</v>
      </c>
      <c r="N274" s="849">
        <f t="shared" si="264"/>
        <v>0</v>
      </c>
      <c r="O274" s="849">
        <f t="shared" si="264"/>
        <v>0</v>
      </c>
      <c r="P274" s="849">
        <f t="shared" si="264"/>
        <v>0</v>
      </c>
      <c r="Q274" s="849">
        <f t="shared" si="264"/>
        <v>0</v>
      </c>
    </row>
    <row r="275" spans="1:18">
      <c r="A275" s="482" t="s">
        <v>760</v>
      </c>
      <c r="B275" s="850">
        <f>SUM(B174:B274)</f>
        <v>41518.356038695092</v>
      </c>
      <c r="C275" s="850">
        <f t="shared" ref="C275:Q275" si="265">SUM(C174:C274)</f>
        <v>42029.716935654993</v>
      </c>
      <c r="D275" s="850">
        <f t="shared" si="265"/>
        <v>42524.852598342644</v>
      </c>
      <c r="E275" s="850">
        <f t="shared" si="265"/>
        <v>43010.680583462497</v>
      </c>
      <c r="F275" s="3">
        <f t="shared" si="265"/>
        <v>43497.294000000002</v>
      </c>
      <c r="G275" s="850">
        <f t="shared" si="265"/>
        <v>43991.769306109942</v>
      </c>
      <c r="H275" s="850">
        <f t="shared" si="265"/>
        <v>44496.102583900152</v>
      </c>
      <c r="I275" s="850">
        <f t="shared" si="265"/>
        <v>45007.182782868833</v>
      </c>
      <c r="J275" s="850">
        <f t="shared" si="265"/>
        <v>45520.601014794294</v>
      </c>
      <c r="K275" s="850">
        <f t="shared" si="265"/>
        <v>46029.752629202376</v>
      </c>
      <c r="L275" s="850">
        <f t="shared" si="265"/>
        <v>46529.557761268261</v>
      </c>
      <c r="M275" s="850">
        <f t="shared" si="265"/>
        <v>47018.583707989019</v>
      </c>
      <c r="N275" s="850">
        <f t="shared" si="265"/>
        <v>47497.633187307045</v>
      </c>
      <c r="O275" s="850">
        <f t="shared" si="265"/>
        <v>47966.427465842578</v>
      </c>
      <c r="P275" s="850">
        <f t="shared" si="265"/>
        <v>48425.262415744335</v>
      </c>
      <c r="Q275" s="850">
        <f t="shared" si="265"/>
        <v>48874.248583464032</v>
      </c>
      <c r="R275" s="78"/>
    </row>
    <row r="276" spans="1:18" ht="9.9499999999999993" customHeight="1">
      <c r="F276" s="229">
        <f>SUM(F229:F274)+SUM(F127:F167)</f>
        <v>10236.493999999999</v>
      </c>
    </row>
    <row r="277" spans="1:18" ht="17.25">
      <c r="A277" s="18" t="s">
        <v>785</v>
      </c>
    </row>
    <row r="278" spans="1:18" ht="9.9499999999999993" customHeight="1"/>
    <row r="279" spans="1:18" ht="17.25">
      <c r="A279" s="467"/>
      <c r="B279" s="1488" t="s">
        <v>730</v>
      </c>
      <c r="C279" s="1489"/>
      <c r="D279" s="1489"/>
      <c r="E279" s="1489"/>
      <c r="F279" s="1489"/>
      <c r="G279" s="1489"/>
      <c r="H279" s="1488" t="s">
        <v>734</v>
      </c>
      <c r="I279" s="1489"/>
      <c r="J279" s="1489"/>
      <c r="K279" s="1489"/>
      <c r="L279" s="1489"/>
      <c r="M279" s="1489"/>
      <c r="N279" s="1489"/>
      <c r="O279" s="1489"/>
      <c r="P279" s="1489"/>
      <c r="Q279" s="1490"/>
      <c r="R279" s="1491" t="s">
        <v>744</v>
      </c>
    </row>
    <row r="280" spans="1:18">
      <c r="A280" s="468" t="s">
        <v>746</v>
      </c>
      <c r="B280" s="468">
        <v>2005</v>
      </c>
      <c r="C280" s="469">
        <v>2006</v>
      </c>
      <c r="D280" s="469">
        <v>2007</v>
      </c>
      <c r="E280" s="469">
        <v>2008</v>
      </c>
      <c r="F280" s="469">
        <v>2009</v>
      </c>
      <c r="G280" s="470">
        <v>2010</v>
      </c>
      <c r="H280" s="469">
        <v>2011</v>
      </c>
      <c r="I280" s="469">
        <v>2012</v>
      </c>
      <c r="J280" s="469">
        <v>2013</v>
      </c>
      <c r="K280" s="469">
        <v>2014</v>
      </c>
      <c r="L280" s="469">
        <v>2015</v>
      </c>
      <c r="M280" s="469">
        <v>2016</v>
      </c>
      <c r="N280" s="469">
        <v>2017</v>
      </c>
      <c r="O280" s="469">
        <v>2018</v>
      </c>
      <c r="P280" s="469">
        <v>2019</v>
      </c>
      <c r="Q280" s="470">
        <v>2020</v>
      </c>
      <c r="R280" s="1492"/>
    </row>
    <row r="281" spans="1:18">
      <c r="A281" s="480">
        <v>0</v>
      </c>
      <c r="B281" s="837">
        <f>B67+B174</f>
        <v>1650.900897115012</v>
      </c>
      <c r="C281" s="838">
        <f t="shared" ref="C281:Q281" si="266">C67+C174</f>
        <v>1640.3940609309916</v>
      </c>
      <c r="D281" s="838">
        <f t="shared" si="266"/>
        <v>1590.1874941423571</v>
      </c>
      <c r="E281" s="838">
        <f t="shared" si="266"/>
        <v>1517.7042387041884</v>
      </c>
      <c r="F281" s="838">
        <f t="shared" si="266"/>
        <v>1449.37</v>
      </c>
      <c r="G281" s="838">
        <f t="shared" si="266"/>
        <v>1404.1143123447555</v>
      </c>
      <c r="H281" s="837">
        <f t="shared" si="266"/>
        <v>1387.2041852726097</v>
      </c>
      <c r="I281" s="838">
        <f t="shared" si="266"/>
        <v>1391.6664462761091</v>
      </c>
      <c r="J281" s="838">
        <f t="shared" si="266"/>
        <v>1409.5633980359244</v>
      </c>
      <c r="K281" s="838">
        <f t="shared" si="266"/>
        <v>1428.2986962353161</v>
      </c>
      <c r="L281" s="838">
        <f t="shared" si="266"/>
        <v>1438.7696250885015</v>
      </c>
      <c r="M281" s="838">
        <f t="shared" si="266"/>
        <v>1438.7696261964713</v>
      </c>
      <c r="N281" s="838">
        <f t="shared" si="266"/>
        <v>1431.6535483782568</v>
      </c>
      <c r="O281" s="838">
        <f t="shared" si="266"/>
        <v>1420.3966666154747</v>
      </c>
      <c r="P281" s="838">
        <f t="shared" si="266"/>
        <v>1409.840287156379</v>
      </c>
      <c r="Q281" s="839">
        <f t="shared" si="266"/>
        <v>1403.3266248226196</v>
      </c>
    </row>
    <row r="282" spans="1:18">
      <c r="A282" s="481">
        <v>1</v>
      </c>
      <c r="B282" s="840">
        <f t="shared" ref="B282:Q282" si="267">B68+B175</f>
        <v>1545.0224161162046</v>
      </c>
      <c r="C282" s="841">
        <f t="shared" si="267"/>
        <v>1536.2751009650783</v>
      </c>
      <c r="D282" s="841">
        <f t="shared" si="267"/>
        <v>1511.8386926422693</v>
      </c>
      <c r="E282" s="841">
        <f t="shared" si="267"/>
        <v>1478.7920761049782</v>
      </c>
      <c r="F282" s="841">
        <f t="shared" si="267"/>
        <v>1448.126</v>
      </c>
      <c r="G282" s="841">
        <f t="shared" si="267"/>
        <v>1427.6843166164731</v>
      </c>
      <c r="H282" s="840">
        <f t="shared" si="267"/>
        <v>1419.4037773332379</v>
      </c>
      <c r="I282" s="841">
        <f t="shared" si="267"/>
        <v>1420.1204502553162</v>
      </c>
      <c r="J282" s="841">
        <f t="shared" si="267"/>
        <v>1426.5184009562058</v>
      </c>
      <c r="K282" s="841">
        <f t="shared" si="267"/>
        <v>1433.4153454423758</v>
      </c>
      <c r="L282" s="841">
        <f t="shared" si="267"/>
        <v>1437.0439947095188</v>
      </c>
      <c r="M282" s="841">
        <f t="shared" si="267"/>
        <v>1436.3827514576358</v>
      </c>
      <c r="N282" s="841">
        <f t="shared" si="267"/>
        <v>1432.6985805581837</v>
      </c>
      <c r="O282" s="841">
        <f t="shared" si="267"/>
        <v>1427.2121525521909</v>
      </c>
      <c r="P282" s="841">
        <f t="shared" si="267"/>
        <v>1421.9458140816523</v>
      </c>
      <c r="Q282" s="842">
        <f t="shared" si="267"/>
        <v>1418.2571873458514</v>
      </c>
    </row>
    <row r="283" spans="1:18">
      <c r="A283" s="481">
        <v>2</v>
      </c>
      <c r="B283" s="840">
        <f t="shared" ref="B283:Q283" si="268">B69+B176</f>
        <v>1441.8887220567481</v>
      </c>
      <c r="C283" s="841">
        <f t="shared" si="268"/>
        <v>1432.1245630663939</v>
      </c>
      <c r="D283" s="841">
        <f t="shared" si="268"/>
        <v>1424.012975822609</v>
      </c>
      <c r="E283" s="841">
        <f t="shared" si="268"/>
        <v>1417.3724234668471</v>
      </c>
      <c r="F283" s="841">
        <f t="shared" si="268"/>
        <v>1412.2719999999999</v>
      </c>
      <c r="G283" s="841">
        <f t="shared" si="268"/>
        <v>1408.6865089616067</v>
      </c>
      <c r="H283" s="840">
        <f t="shared" si="268"/>
        <v>1406.2934761410293</v>
      </c>
      <c r="I283" s="841">
        <f t="shared" si="268"/>
        <v>1404.6446239668714</v>
      </c>
      <c r="J283" s="841">
        <f t="shared" si="268"/>
        <v>1403.4928885856079</v>
      </c>
      <c r="K283" s="841">
        <f t="shared" si="268"/>
        <v>1402.6124054757731</v>
      </c>
      <c r="L283" s="841">
        <f t="shared" si="268"/>
        <v>1401.807666221388</v>
      </c>
      <c r="M283" s="841">
        <f t="shared" si="268"/>
        <v>1400.8188367850798</v>
      </c>
      <c r="N283" s="841">
        <f t="shared" si="268"/>
        <v>1399.5008974248844</v>
      </c>
      <c r="O283" s="841">
        <f t="shared" si="268"/>
        <v>1397.9186313789655</v>
      </c>
      <c r="P283" s="841">
        <f t="shared" si="268"/>
        <v>1396.2262142089305</v>
      </c>
      <c r="Q283" s="842">
        <f t="shared" si="268"/>
        <v>1394.4877650176199</v>
      </c>
    </row>
    <row r="284" spans="1:18">
      <c r="A284" s="481">
        <v>3</v>
      </c>
      <c r="B284" s="840">
        <f t="shared" ref="B284:Q284" si="269">B70+B177</f>
        <v>1385.652012658597</v>
      </c>
      <c r="C284" s="841">
        <f t="shared" si="269"/>
        <v>1373.1639919238748</v>
      </c>
      <c r="D284" s="841">
        <f t="shared" si="269"/>
        <v>1373.6033602541204</v>
      </c>
      <c r="E284" s="841">
        <f t="shared" si="269"/>
        <v>1382.1950036557137</v>
      </c>
      <c r="F284" s="841">
        <f t="shared" si="269"/>
        <v>1392.0219999999999</v>
      </c>
      <c r="G284" s="841">
        <f t="shared" si="269"/>
        <v>1398.0336213192777</v>
      </c>
      <c r="H284" s="840">
        <f t="shared" si="269"/>
        <v>1398.5240082892001</v>
      </c>
      <c r="I284" s="841">
        <f t="shared" si="269"/>
        <v>1394.8184587605392</v>
      </c>
      <c r="J284" s="841">
        <f t="shared" si="269"/>
        <v>1388.5504804862856</v>
      </c>
      <c r="K284" s="841">
        <f t="shared" si="269"/>
        <v>1382.5402715760652</v>
      </c>
      <c r="L284" s="841">
        <f t="shared" si="269"/>
        <v>1378.7885715573971</v>
      </c>
      <c r="M284" s="841">
        <f t="shared" si="269"/>
        <v>1377.5006241335705</v>
      </c>
      <c r="N284" s="841">
        <f t="shared" si="269"/>
        <v>1377.6484653987131</v>
      </c>
      <c r="O284" s="841">
        <f t="shared" si="269"/>
        <v>1378.5540610924363</v>
      </c>
      <c r="P284" s="841">
        <f t="shared" si="269"/>
        <v>1379.1910784285471</v>
      </c>
      <c r="Q284" s="842">
        <f t="shared" si="269"/>
        <v>1378.7932885424357</v>
      </c>
    </row>
    <row r="285" spans="1:18">
      <c r="A285" s="481">
        <v>4</v>
      </c>
      <c r="B285" s="840">
        <f t="shared" ref="B285:Q285" si="270">B71+B178</f>
        <v>1421.7388405838853</v>
      </c>
      <c r="C285" s="841">
        <f t="shared" si="270"/>
        <v>1404.293004368642</v>
      </c>
      <c r="D285" s="841">
        <f t="shared" si="270"/>
        <v>1406.7601082092517</v>
      </c>
      <c r="E285" s="841">
        <f t="shared" si="270"/>
        <v>1421.7373402564422</v>
      </c>
      <c r="F285" s="841">
        <f t="shared" si="270"/>
        <v>1438.222</v>
      </c>
      <c r="G285" s="841">
        <f t="shared" si="270"/>
        <v>1448.2097048303413</v>
      </c>
      <c r="H285" s="840">
        <f t="shared" si="270"/>
        <v>1449.2663021791009</v>
      </c>
      <c r="I285" s="841">
        <f t="shared" si="270"/>
        <v>1443.7792091049225</v>
      </c>
      <c r="J285" s="841">
        <f t="shared" si="270"/>
        <v>1434.3309154880681</v>
      </c>
      <c r="K285" s="841">
        <f t="shared" si="270"/>
        <v>1425.3034956370134</v>
      </c>
      <c r="L285" s="841">
        <f t="shared" si="270"/>
        <v>1419.8066443398411</v>
      </c>
      <c r="M285" s="841">
        <f t="shared" si="270"/>
        <v>1418.2777406150849</v>
      </c>
      <c r="N285" s="841">
        <f t="shared" si="270"/>
        <v>1419.1958934374061</v>
      </c>
      <c r="O285" s="841">
        <f t="shared" si="270"/>
        <v>1421.4622376128852</v>
      </c>
      <c r="P285" s="841">
        <f t="shared" si="270"/>
        <v>1423.399106981276</v>
      </c>
      <c r="Q285" s="842">
        <f t="shared" si="270"/>
        <v>1423.7828197488984</v>
      </c>
    </row>
    <row r="286" spans="1:18">
      <c r="A286" s="481">
        <v>5</v>
      </c>
      <c r="B286" s="840">
        <f t="shared" ref="B286:Q286" si="271">B72+B179</f>
        <v>1479.5242311765205</v>
      </c>
      <c r="C286" s="841">
        <f t="shared" si="271"/>
        <v>1455.7715830593684</v>
      </c>
      <c r="D286" s="841">
        <f t="shared" si="271"/>
        <v>1454.8731216071499</v>
      </c>
      <c r="E286" s="841">
        <f t="shared" si="271"/>
        <v>1468.591082083937</v>
      </c>
      <c r="F286" s="841">
        <f t="shared" si="271"/>
        <v>1484.4549999999999</v>
      </c>
      <c r="G286" s="841">
        <f t="shared" si="271"/>
        <v>1493.4030463673485</v>
      </c>
      <c r="H286" s="840">
        <f t="shared" si="271"/>
        <v>1492.860405781918</v>
      </c>
      <c r="I286" s="841">
        <f t="shared" si="271"/>
        <v>1485.6597628929449</v>
      </c>
      <c r="J286" s="841">
        <f t="shared" si="271"/>
        <v>1474.5554218219377</v>
      </c>
      <c r="K286" s="841">
        <f t="shared" si="271"/>
        <v>1464.2372962392351</v>
      </c>
      <c r="L286" s="841">
        <f t="shared" si="271"/>
        <v>1458.0250080399901</v>
      </c>
      <c r="M286" s="841">
        <f t="shared" si="271"/>
        <v>1456.3949959463816</v>
      </c>
      <c r="N286" s="841">
        <f t="shared" si="271"/>
        <v>1457.6834842853089</v>
      </c>
      <c r="O286" s="841">
        <f t="shared" si="271"/>
        <v>1460.5947065880914</v>
      </c>
      <c r="P286" s="841">
        <f t="shared" si="271"/>
        <v>1463.1786264340258</v>
      </c>
      <c r="Q286" s="842">
        <f t="shared" si="271"/>
        <v>1464.0237349829472</v>
      </c>
    </row>
    <row r="287" spans="1:18">
      <c r="A287" s="481">
        <v>6</v>
      </c>
      <c r="B287" s="840">
        <f t="shared" ref="B287:Q287" si="272">B73+B180</f>
        <v>1333.6454033797763</v>
      </c>
      <c r="C287" s="841">
        <f t="shared" si="272"/>
        <v>1307.1864397273825</v>
      </c>
      <c r="D287" s="841">
        <f t="shared" si="272"/>
        <v>1299.7648155928991</v>
      </c>
      <c r="E287" s="841">
        <f t="shared" si="272"/>
        <v>1304.920502892081</v>
      </c>
      <c r="F287" s="841">
        <f t="shared" si="272"/>
        <v>1312.6849999999999</v>
      </c>
      <c r="G287" s="841">
        <f t="shared" si="272"/>
        <v>1315.7931986382969</v>
      </c>
      <c r="H287" s="840">
        <f t="shared" si="272"/>
        <v>1312.3629204189285</v>
      </c>
      <c r="I287" s="841">
        <f t="shared" si="272"/>
        <v>1304.7319492370789</v>
      </c>
      <c r="J287" s="841">
        <f t="shared" si="272"/>
        <v>1294.8489018458508</v>
      </c>
      <c r="K287" s="841">
        <f t="shared" si="272"/>
        <v>1286.0830781707596</v>
      </c>
      <c r="L287" s="841">
        <f t="shared" si="272"/>
        <v>1280.7931991721257</v>
      </c>
      <c r="M287" s="841">
        <f t="shared" si="272"/>
        <v>1279.2884857761048</v>
      </c>
      <c r="N287" s="841">
        <f t="shared" si="272"/>
        <v>1280.2739188596822</v>
      </c>
      <c r="O287" s="841">
        <f t="shared" si="272"/>
        <v>1282.6578962903491</v>
      </c>
      <c r="P287" s="841">
        <f t="shared" si="272"/>
        <v>1284.8443753546576</v>
      </c>
      <c r="Q287" s="842">
        <f t="shared" si="272"/>
        <v>1285.6728092818989</v>
      </c>
    </row>
    <row r="288" spans="1:18">
      <c r="A288" s="481">
        <v>7</v>
      </c>
      <c r="B288" s="840">
        <f t="shared" ref="B288:Q288" si="273">B74+B181</f>
        <v>1317.4334520626676</v>
      </c>
      <c r="C288" s="841">
        <f t="shared" si="273"/>
        <v>1286.9936253757064</v>
      </c>
      <c r="D288" s="841">
        <f t="shared" si="273"/>
        <v>1271.2499575703946</v>
      </c>
      <c r="E288" s="841">
        <f t="shared" si="273"/>
        <v>1265.8135772250673</v>
      </c>
      <c r="F288" s="841">
        <f t="shared" si="273"/>
        <v>1263.646</v>
      </c>
      <c r="G288" s="841">
        <f t="shared" si="273"/>
        <v>1259.5899277377575</v>
      </c>
      <c r="H288" s="840">
        <f t="shared" si="273"/>
        <v>1252.5381837503169</v>
      </c>
      <c r="I288" s="841">
        <f t="shared" si="273"/>
        <v>1244.2108831145199</v>
      </c>
      <c r="J288" s="841">
        <f t="shared" si="273"/>
        <v>1235.5597341237226</v>
      </c>
      <c r="K288" s="841">
        <f t="shared" si="273"/>
        <v>1228.3422699127789</v>
      </c>
      <c r="L288" s="841">
        <f t="shared" si="273"/>
        <v>1223.7528535830068</v>
      </c>
      <c r="M288" s="841">
        <f t="shared" si="273"/>
        <v>1221.8575552224233</v>
      </c>
      <c r="N288" s="841">
        <f t="shared" si="273"/>
        <v>1221.81380380562</v>
      </c>
      <c r="O288" s="841">
        <f t="shared" si="273"/>
        <v>1222.8542610852533</v>
      </c>
      <c r="P288" s="841">
        <f t="shared" si="273"/>
        <v>1223.9176121857627</v>
      </c>
      <c r="Q288" s="842">
        <f t="shared" si="273"/>
        <v>1224.229706428388</v>
      </c>
    </row>
    <row r="289" spans="1:17">
      <c r="A289" s="481">
        <v>8</v>
      </c>
      <c r="B289" s="840">
        <f t="shared" ref="B289:Q289" si="274">B75+B182</f>
        <v>1564.8249178698388</v>
      </c>
      <c r="C289" s="841">
        <f t="shared" si="274"/>
        <v>1524.5066642538038</v>
      </c>
      <c r="D289" s="841">
        <f t="shared" si="274"/>
        <v>1495.1090363733711</v>
      </c>
      <c r="E289" s="841">
        <f t="shared" si="274"/>
        <v>1474.3894946789278</v>
      </c>
      <c r="F289" s="841">
        <f t="shared" si="274"/>
        <v>1458.2469999999998</v>
      </c>
      <c r="G289" s="841">
        <f t="shared" si="274"/>
        <v>1443.6330607021364</v>
      </c>
      <c r="H289" s="840">
        <f t="shared" si="274"/>
        <v>1430.2937286796819</v>
      </c>
      <c r="I289" s="841">
        <f t="shared" si="274"/>
        <v>1419.3439376782756</v>
      </c>
      <c r="J289" s="841">
        <f t="shared" si="274"/>
        <v>1410.6057149126691</v>
      </c>
      <c r="K289" s="841">
        <f t="shared" si="274"/>
        <v>1404.0343225420825</v>
      </c>
      <c r="L289" s="841">
        <f t="shared" si="274"/>
        <v>1399.5089333461349</v>
      </c>
      <c r="M289" s="841">
        <f t="shared" si="274"/>
        <v>1396.811990425477</v>
      </c>
      <c r="N289" s="841">
        <f t="shared" si="274"/>
        <v>1395.5311458610624</v>
      </c>
      <c r="O289" s="841">
        <f t="shared" si="274"/>
        <v>1395.1462822084104</v>
      </c>
      <c r="P289" s="841">
        <f t="shared" si="274"/>
        <v>1395.0565748284273</v>
      </c>
      <c r="Q289" s="842">
        <f t="shared" si="274"/>
        <v>1394.8006197805994</v>
      </c>
    </row>
    <row r="290" spans="1:17">
      <c r="A290" s="481">
        <v>9</v>
      </c>
      <c r="B290" s="840">
        <f t="shared" ref="B290:Q290" si="275">B76+B183</f>
        <v>1615.4408545402177</v>
      </c>
      <c r="C290" s="841">
        <f t="shared" si="275"/>
        <v>1571.1928510985827</v>
      </c>
      <c r="D290" s="841">
        <f t="shared" si="275"/>
        <v>1530.6548655481529</v>
      </c>
      <c r="E290" s="841">
        <f t="shared" si="275"/>
        <v>1494.7634667614809</v>
      </c>
      <c r="F290" s="841">
        <f t="shared" si="275"/>
        <v>1464.038</v>
      </c>
      <c r="G290" s="841">
        <f t="shared" si="275"/>
        <v>1438.7587623349916</v>
      </c>
      <c r="H290" s="840">
        <f t="shared" si="275"/>
        <v>1419.7849725605579</v>
      </c>
      <c r="I290" s="841">
        <f t="shared" si="275"/>
        <v>1407.2256647877118</v>
      </c>
      <c r="J290" s="841">
        <f t="shared" si="275"/>
        <v>1399.5581530660088</v>
      </c>
      <c r="K290" s="841">
        <f t="shared" si="275"/>
        <v>1394.5300858993264</v>
      </c>
      <c r="L290" s="841">
        <f t="shared" si="275"/>
        <v>1390.4236311063084</v>
      </c>
      <c r="M290" s="841">
        <f t="shared" si="275"/>
        <v>1386.7146835941162</v>
      </c>
      <c r="N290" s="841">
        <f t="shared" si="275"/>
        <v>1383.6266372049263</v>
      </c>
      <c r="O290" s="841">
        <f t="shared" si="275"/>
        <v>1381.0670338371269</v>
      </c>
      <c r="P290" s="841">
        <f t="shared" si="275"/>
        <v>1379.1330253935641</v>
      </c>
      <c r="Q290" s="842">
        <f t="shared" si="275"/>
        <v>1377.8575268746677</v>
      </c>
    </row>
    <row r="291" spans="1:17">
      <c r="A291" s="481">
        <v>10</v>
      </c>
      <c r="B291" s="840">
        <f t="shared" ref="B291:Q291" si="276">B77+B184</f>
        <v>1403.7787668070473</v>
      </c>
      <c r="C291" s="841">
        <f t="shared" si="276"/>
        <v>1363.0661623495093</v>
      </c>
      <c r="D291" s="841">
        <f t="shared" si="276"/>
        <v>1318.2547222722976</v>
      </c>
      <c r="E291" s="841">
        <f t="shared" si="276"/>
        <v>1273.3685214280895</v>
      </c>
      <c r="F291" s="841">
        <f t="shared" si="276"/>
        <v>1233.5409999999999</v>
      </c>
      <c r="G291" s="841">
        <f t="shared" si="276"/>
        <v>1202.3921484978991</v>
      </c>
      <c r="H291" s="840">
        <f t="shared" si="276"/>
        <v>1181.7754676617519</v>
      </c>
      <c r="I291" s="841">
        <f t="shared" si="276"/>
        <v>1170.7147803143025</v>
      </c>
      <c r="J291" s="841">
        <f t="shared" si="276"/>
        <v>1166.4580680198769</v>
      </c>
      <c r="K291" s="841">
        <f t="shared" si="276"/>
        <v>1164.734810646095</v>
      </c>
      <c r="L291" s="841">
        <f t="shared" si="276"/>
        <v>1162.3850569604772</v>
      </c>
      <c r="M291" s="841">
        <f t="shared" si="276"/>
        <v>1158.6115905853615</v>
      </c>
      <c r="N291" s="841">
        <f t="shared" si="276"/>
        <v>1154.2764267954431</v>
      </c>
      <c r="O291" s="841">
        <f t="shared" si="276"/>
        <v>1149.8185123474962</v>
      </c>
      <c r="P291" s="841">
        <f t="shared" si="276"/>
        <v>1146.1740578651697</v>
      </c>
      <c r="Q291" s="842">
        <f t="shared" si="276"/>
        <v>1143.9641625030395</v>
      </c>
    </row>
    <row r="292" spans="1:17">
      <c r="A292" s="481">
        <v>11</v>
      </c>
      <c r="B292" s="840">
        <f t="shared" ref="B292:Q292" si="277">B78+B185</f>
        <v>1689.6986819650551</v>
      </c>
      <c r="C292" s="841">
        <f t="shared" si="277"/>
        <v>1637.2775902866738</v>
      </c>
      <c r="D292" s="841">
        <f t="shared" si="277"/>
        <v>1569.9528608453393</v>
      </c>
      <c r="E292" s="841">
        <f t="shared" si="277"/>
        <v>1497.1146116844845</v>
      </c>
      <c r="F292" s="841">
        <f t="shared" si="277"/>
        <v>1431.5659999999998</v>
      </c>
      <c r="G292" s="841">
        <f t="shared" si="277"/>
        <v>1382.404803776612</v>
      </c>
      <c r="H292" s="840">
        <f t="shared" si="277"/>
        <v>1353.4630082400386</v>
      </c>
      <c r="I292" s="841">
        <f t="shared" si="277"/>
        <v>1341.9832492673993</v>
      </c>
      <c r="J292" s="841">
        <f t="shared" si="277"/>
        <v>1342.3492993877362</v>
      </c>
      <c r="K292" s="841">
        <f t="shared" si="277"/>
        <v>1345.7892392854017</v>
      </c>
      <c r="L292" s="841">
        <f t="shared" si="277"/>
        <v>1345.8918944719735</v>
      </c>
      <c r="M292" s="841">
        <f t="shared" si="277"/>
        <v>1341.0860792244605</v>
      </c>
      <c r="N292" s="841">
        <f t="shared" si="277"/>
        <v>1333.427853496813</v>
      </c>
      <c r="O292" s="841">
        <f t="shared" si="277"/>
        <v>1324.4022549243673</v>
      </c>
      <c r="P292" s="841">
        <f t="shared" si="277"/>
        <v>1316.6371722331241</v>
      </c>
      <c r="Q292" s="842">
        <f t="shared" si="277"/>
        <v>1311.9585618811052</v>
      </c>
    </row>
    <row r="293" spans="1:17">
      <c r="A293" s="481">
        <v>12</v>
      </c>
      <c r="B293" s="840">
        <f t="shared" ref="B293:Q293" si="278">B79+B186</f>
        <v>1828.1584389185346</v>
      </c>
      <c r="C293" s="841">
        <f t="shared" si="278"/>
        <v>1774.6170697918324</v>
      </c>
      <c r="D293" s="841">
        <f t="shared" si="278"/>
        <v>1699.0733324051116</v>
      </c>
      <c r="E293" s="841">
        <f t="shared" si="278"/>
        <v>1613.6545779710987</v>
      </c>
      <c r="F293" s="841">
        <f t="shared" si="278"/>
        <v>1535.22</v>
      </c>
      <c r="G293" s="841">
        <f t="shared" si="278"/>
        <v>1475.8378597141427</v>
      </c>
      <c r="H293" s="840">
        <f t="shared" si="278"/>
        <v>1440.2116626730835</v>
      </c>
      <c r="I293" s="841">
        <f t="shared" si="278"/>
        <v>1424.7552458022585</v>
      </c>
      <c r="J293" s="841">
        <f t="shared" si="278"/>
        <v>1423.0728482892123</v>
      </c>
      <c r="K293" s="841">
        <f t="shared" si="278"/>
        <v>1424.9944422109052</v>
      </c>
      <c r="L293" s="841">
        <f t="shared" si="278"/>
        <v>1423.1064060827257</v>
      </c>
      <c r="M293" s="841">
        <f t="shared" si="278"/>
        <v>1415.7296107975885</v>
      </c>
      <c r="N293" s="841">
        <f t="shared" si="278"/>
        <v>1405.3870104545026</v>
      </c>
      <c r="O293" s="841">
        <f t="shared" si="278"/>
        <v>1393.776542281641</v>
      </c>
      <c r="P293" s="841">
        <f t="shared" si="278"/>
        <v>1383.8813807409729</v>
      </c>
      <c r="Q293" s="842">
        <f t="shared" si="278"/>
        <v>1377.7628549663723</v>
      </c>
    </row>
    <row r="294" spans="1:17">
      <c r="A294" s="481">
        <v>13</v>
      </c>
      <c r="B294" s="840">
        <f t="shared" ref="B294:Q294" si="279">B80+B187</f>
        <v>1911.3320653652343</v>
      </c>
      <c r="C294" s="841">
        <f t="shared" si="279"/>
        <v>1868.419081398963</v>
      </c>
      <c r="D294" s="841">
        <f t="shared" si="279"/>
        <v>1803.5967786383171</v>
      </c>
      <c r="E294" s="841">
        <f t="shared" si="279"/>
        <v>1727.2797023222424</v>
      </c>
      <c r="F294" s="841">
        <f t="shared" si="279"/>
        <v>1654.127</v>
      </c>
      <c r="G294" s="841">
        <f t="shared" si="279"/>
        <v>1594.7907627620775</v>
      </c>
      <c r="H294" s="840">
        <f t="shared" si="279"/>
        <v>1553.0717551133007</v>
      </c>
      <c r="I294" s="841">
        <f t="shared" si="279"/>
        <v>1526.2349400402591</v>
      </c>
      <c r="J294" s="841">
        <f t="shared" si="279"/>
        <v>1510.4147412271889</v>
      </c>
      <c r="K294" s="841">
        <f t="shared" si="279"/>
        <v>1499.0340855934953</v>
      </c>
      <c r="L294" s="841">
        <f t="shared" si="279"/>
        <v>1487.2651017057001</v>
      </c>
      <c r="M294" s="841">
        <f t="shared" si="279"/>
        <v>1474.3601380021173</v>
      </c>
      <c r="N294" s="841">
        <f t="shared" si="279"/>
        <v>1462.0911988374839</v>
      </c>
      <c r="O294" s="841">
        <f t="shared" si="279"/>
        <v>1451.0094392228107</v>
      </c>
      <c r="P294" s="841">
        <f t="shared" si="279"/>
        <v>1442.2361656068551</v>
      </c>
      <c r="Q294" s="842">
        <f t="shared" si="279"/>
        <v>1436.4715497526161</v>
      </c>
    </row>
    <row r="295" spans="1:17">
      <c r="A295" s="481">
        <v>14</v>
      </c>
      <c r="B295" s="840">
        <f t="shared" ref="B295:Q295" si="280">B81+B188</f>
        <v>1933.7281866341243</v>
      </c>
      <c r="C295" s="841">
        <f t="shared" si="280"/>
        <v>1910.3701522860947</v>
      </c>
      <c r="D295" s="841">
        <f t="shared" si="280"/>
        <v>1870.5871508934815</v>
      </c>
      <c r="E295" s="841">
        <f t="shared" si="280"/>
        <v>1819.8270683802591</v>
      </c>
      <c r="F295" s="841">
        <f t="shared" si="280"/>
        <v>1765.952</v>
      </c>
      <c r="G295" s="841">
        <f t="shared" si="280"/>
        <v>1714.9955084786975</v>
      </c>
      <c r="H295" s="840">
        <f t="shared" si="280"/>
        <v>1668.5531116758966</v>
      </c>
      <c r="I295" s="841">
        <f t="shared" si="280"/>
        <v>1625.9417243717076</v>
      </c>
      <c r="J295" s="841">
        <f t="shared" si="280"/>
        <v>1588.1525105530973</v>
      </c>
      <c r="K295" s="841">
        <f t="shared" si="280"/>
        <v>1555.703103301898</v>
      </c>
      <c r="L295" s="841">
        <f t="shared" si="280"/>
        <v>1528.8833804838805</v>
      </c>
      <c r="M295" s="841">
        <f t="shared" si="280"/>
        <v>1508.598639059725</v>
      </c>
      <c r="N295" s="841">
        <f t="shared" si="280"/>
        <v>1495.006904774787</v>
      </c>
      <c r="O295" s="841">
        <f t="shared" si="280"/>
        <v>1486.5773135805812</v>
      </c>
      <c r="P295" s="841">
        <f t="shared" si="280"/>
        <v>1481.0255702391437</v>
      </c>
      <c r="Q295" s="842">
        <f t="shared" si="280"/>
        <v>1476.6061105470899</v>
      </c>
    </row>
    <row r="296" spans="1:17">
      <c r="A296" s="481">
        <v>15</v>
      </c>
      <c r="B296" s="840">
        <f t="shared" ref="B296:Q296" si="281">B82+B189</f>
        <v>1744.465472300144</v>
      </c>
      <c r="C296" s="841">
        <f t="shared" si="281"/>
        <v>1740.7365865728962</v>
      </c>
      <c r="D296" s="841">
        <f t="shared" si="281"/>
        <v>1726.5130927263353</v>
      </c>
      <c r="E296" s="841">
        <f t="shared" si="281"/>
        <v>1702.6081614413695</v>
      </c>
      <c r="F296" s="841">
        <f t="shared" si="281"/>
        <v>1670.55</v>
      </c>
      <c r="G296" s="841">
        <f t="shared" si="281"/>
        <v>1631.9939541074871</v>
      </c>
      <c r="H296" s="840">
        <f t="shared" si="281"/>
        <v>1586.524872266652</v>
      </c>
      <c r="I296" s="841">
        <f t="shared" si="281"/>
        <v>1535.2159244878565</v>
      </c>
      <c r="J296" s="841">
        <f t="shared" si="281"/>
        <v>1483.0566621474377</v>
      </c>
      <c r="K296" s="841">
        <f t="shared" si="281"/>
        <v>1436.4978587599176</v>
      </c>
      <c r="L296" s="841">
        <f t="shared" si="281"/>
        <v>1400.1122152873177</v>
      </c>
      <c r="M296" s="841">
        <f t="shared" si="281"/>
        <v>1376.1280119428886</v>
      </c>
      <c r="N296" s="841">
        <f t="shared" si="281"/>
        <v>1363.3206175768191</v>
      </c>
      <c r="O296" s="841">
        <f t="shared" si="281"/>
        <v>1358.4735893708798</v>
      </c>
      <c r="P296" s="841">
        <f t="shared" si="281"/>
        <v>1356.5628149464485</v>
      </c>
      <c r="Q296" s="842">
        <f t="shared" si="281"/>
        <v>1353.8789147683262</v>
      </c>
    </row>
    <row r="297" spans="1:17">
      <c r="A297" s="481">
        <v>16</v>
      </c>
      <c r="B297" s="840">
        <f t="shared" ref="B297:Q297" si="282">B83+B190</f>
        <v>1803.2127483664299</v>
      </c>
      <c r="C297" s="841">
        <f t="shared" si="282"/>
        <v>1819.2003577864284</v>
      </c>
      <c r="D297" s="841">
        <f t="shared" si="282"/>
        <v>1829.0067460022899</v>
      </c>
      <c r="E297" s="841">
        <f t="shared" si="282"/>
        <v>1828.8211162414482</v>
      </c>
      <c r="F297" s="841">
        <f t="shared" si="282"/>
        <v>1813.934</v>
      </c>
      <c r="G297" s="841">
        <f t="shared" si="282"/>
        <v>1781.7945008660149</v>
      </c>
      <c r="H297" s="840">
        <f t="shared" si="282"/>
        <v>1729.810994083633</v>
      </c>
      <c r="I297" s="841">
        <f t="shared" si="282"/>
        <v>1661.0342312842195</v>
      </c>
      <c r="J297" s="841">
        <f t="shared" si="282"/>
        <v>1585.5673631600939</v>
      </c>
      <c r="K297" s="841">
        <f t="shared" si="282"/>
        <v>1517.2583605207844</v>
      </c>
      <c r="L297" s="841">
        <f t="shared" si="282"/>
        <v>1465.9764705911448</v>
      </c>
      <c r="M297" s="841">
        <f t="shared" si="282"/>
        <v>1435.7801698619564</v>
      </c>
      <c r="N297" s="841">
        <f t="shared" si="282"/>
        <v>1423.7034272008809</v>
      </c>
      <c r="O297" s="841">
        <f t="shared" si="282"/>
        <v>1423.9330424291854</v>
      </c>
      <c r="P297" s="841">
        <f t="shared" si="282"/>
        <v>1427.3393171582154</v>
      </c>
      <c r="Q297" s="842">
        <f t="shared" si="282"/>
        <v>1427.2569589685363</v>
      </c>
    </row>
    <row r="298" spans="1:17">
      <c r="A298" s="481">
        <v>17</v>
      </c>
      <c r="B298" s="840">
        <f t="shared" ref="B298:Q298" si="283">B84+B191</f>
        <v>1534.6329133365264</v>
      </c>
      <c r="C298" s="841">
        <f t="shared" si="283"/>
        <v>1559.5193627481547</v>
      </c>
      <c r="D298" s="841">
        <f t="shared" si="283"/>
        <v>1582.3503203863493</v>
      </c>
      <c r="E298" s="841">
        <f t="shared" si="283"/>
        <v>1597.4783725779296</v>
      </c>
      <c r="F298" s="841">
        <f t="shared" si="283"/>
        <v>1597.5930000000001</v>
      </c>
      <c r="G298" s="841">
        <f t="shared" si="283"/>
        <v>1578.2115030063385</v>
      </c>
      <c r="H298" s="840">
        <f t="shared" si="283"/>
        <v>1536.169009750527</v>
      </c>
      <c r="I298" s="841">
        <f t="shared" si="283"/>
        <v>1474.9021127189988</v>
      </c>
      <c r="J298" s="841">
        <f t="shared" si="283"/>
        <v>1404.6783613443226</v>
      </c>
      <c r="K298" s="841">
        <f t="shared" si="283"/>
        <v>1339.8361120737977</v>
      </c>
      <c r="L298" s="841">
        <f t="shared" si="283"/>
        <v>1290.6514395725535</v>
      </c>
      <c r="M298" s="841">
        <f t="shared" si="283"/>
        <v>1261.0761874228801</v>
      </c>
      <c r="N298" s="841">
        <f t="shared" si="283"/>
        <v>1248.0745497822213</v>
      </c>
      <c r="O298" s="841">
        <f t="shared" si="283"/>
        <v>1246.3757468566209</v>
      </c>
      <c r="P298" s="841">
        <f t="shared" si="283"/>
        <v>1247.5683679040401</v>
      </c>
      <c r="Q298" s="842">
        <f t="shared" si="283"/>
        <v>1245.5253078874778</v>
      </c>
    </row>
    <row r="299" spans="1:17">
      <c r="A299" s="481">
        <v>18</v>
      </c>
      <c r="B299" s="840">
        <f t="shared" ref="B299:Q299" si="284">B85+B192</f>
        <v>1391.5559366398513</v>
      </c>
      <c r="C299" s="841">
        <f t="shared" si="284"/>
        <v>1416.238685715155</v>
      </c>
      <c r="D299" s="841">
        <f t="shared" si="284"/>
        <v>1440.4227426669415</v>
      </c>
      <c r="E299" s="841">
        <f t="shared" si="284"/>
        <v>1459.2300248827123</v>
      </c>
      <c r="F299" s="841">
        <f t="shared" si="284"/>
        <v>1466.2860000000001</v>
      </c>
      <c r="G299" s="841">
        <f t="shared" si="284"/>
        <v>1457.519273169622</v>
      </c>
      <c r="H299" s="840">
        <f t="shared" si="284"/>
        <v>1430.5681682914856</v>
      </c>
      <c r="I299" s="841">
        <f t="shared" si="284"/>
        <v>1388.0311664078843</v>
      </c>
      <c r="J299" s="841">
        <f t="shared" si="284"/>
        <v>1336.9581754732203</v>
      </c>
      <c r="K299" s="841">
        <f t="shared" si="284"/>
        <v>1287.3128936948099</v>
      </c>
      <c r="L299" s="841">
        <f t="shared" si="284"/>
        <v>1246.3704239508668</v>
      </c>
      <c r="M299" s="841">
        <f t="shared" si="284"/>
        <v>1216.6720910927656</v>
      </c>
      <c r="N299" s="841">
        <f t="shared" si="284"/>
        <v>1196.4215364447432</v>
      </c>
      <c r="O299" s="841">
        <f t="shared" si="284"/>
        <v>1183.2845506877113</v>
      </c>
      <c r="P299" s="841">
        <f t="shared" si="284"/>
        <v>1173.1734836645142</v>
      </c>
      <c r="Q299" s="842">
        <f t="shared" si="284"/>
        <v>1163.0963665170625</v>
      </c>
    </row>
    <row r="300" spans="1:17">
      <c r="A300" s="481">
        <v>19</v>
      </c>
      <c r="B300" s="840">
        <f t="shared" ref="B300:Q300" si="285">B86+B193</f>
        <v>1452.2740930812811</v>
      </c>
      <c r="C300" s="841">
        <f t="shared" si="285"/>
        <v>1474.5540504922405</v>
      </c>
      <c r="D300" s="841">
        <f t="shared" si="285"/>
        <v>1496.5988602173579</v>
      </c>
      <c r="E300" s="841">
        <f t="shared" si="285"/>
        <v>1515.3095062557372</v>
      </c>
      <c r="F300" s="841">
        <f t="shared" si="285"/>
        <v>1526.6220000000001</v>
      </c>
      <c r="G300" s="841">
        <f t="shared" si="285"/>
        <v>1527.7763758220822</v>
      </c>
      <c r="H300" s="840">
        <f t="shared" si="285"/>
        <v>1517.8007673573716</v>
      </c>
      <c r="I300" s="841">
        <f t="shared" si="285"/>
        <v>1497.9709199272638</v>
      </c>
      <c r="J300" s="841">
        <f t="shared" si="285"/>
        <v>1470.6369274368144</v>
      </c>
      <c r="K300" s="841">
        <f t="shared" si="285"/>
        <v>1439.2978537534011</v>
      </c>
      <c r="L300" s="841">
        <f t="shared" si="285"/>
        <v>1406.7918963940642</v>
      </c>
      <c r="M300" s="841">
        <f t="shared" si="285"/>
        <v>1373.642178649849</v>
      </c>
      <c r="N300" s="841">
        <f t="shared" si="285"/>
        <v>1339.9619124708829</v>
      </c>
      <c r="O300" s="841">
        <f t="shared" si="285"/>
        <v>1307.7042451031148</v>
      </c>
      <c r="P300" s="841">
        <f t="shared" si="285"/>
        <v>1279.1012429283194</v>
      </c>
      <c r="Q300" s="842">
        <f t="shared" si="285"/>
        <v>1255.7188667217542</v>
      </c>
    </row>
    <row r="301" spans="1:17">
      <c r="A301" s="481">
        <v>20</v>
      </c>
      <c r="B301" s="840">
        <f t="shared" ref="B301:Q301" si="286">B87+B194</f>
        <v>1218.1825348369575</v>
      </c>
      <c r="C301" s="841">
        <f t="shared" si="286"/>
        <v>1235.2459965722524</v>
      </c>
      <c r="D301" s="841">
        <f t="shared" si="286"/>
        <v>1252.9944728957121</v>
      </c>
      <c r="E301" s="841">
        <f t="shared" si="286"/>
        <v>1270.1083140480589</v>
      </c>
      <c r="F301" s="841">
        <f t="shared" si="286"/>
        <v>1284.798</v>
      </c>
      <c r="G301" s="841">
        <f t="shared" si="286"/>
        <v>1295.6162069808129</v>
      </c>
      <c r="H301" s="840">
        <f t="shared" si="286"/>
        <v>1302.8495961282501</v>
      </c>
      <c r="I301" s="841">
        <f t="shared" si="286"/>
        <v>1306.5038226175507</v>
      </c>
      <c r="J301" s="841">
        <f t="shared" si="286"/>
        <v>1304.6009668747124</v>
      </c>
      <c r="K301" s="841">
        <f t="shared" si="286"/>
        <v>1294.666358136466</v>
      </c>
      <c r="L301" s="841">
        <f t="shared" si="286"/>
        <v>1275.3767035690198</v>
      </c>
      <c r="M301" s="841">
        <f t="shared" si="286"/>
        <v>1245.4478623687812</v>
      </c>
      <c r="N301" s="841">
        <f t="shared" si="286"/>
        <v>1206.5525926480946</v>
      </c>
      <c r="O301" s="841">
        <f t="shared" si="286"/>
        <v>1163.9801545146954</v>
      </c>
      <c r="P301" s="841">
        <f t="shared" si="286"/>
        <v>1124.9694237840811</v>
      </c>
      <c r="Q301" s="842">
        <f t="shared" si="286"/>
        <v>1094.7110949901826</v>
      </c>
    </row>
    <row r="302" spans="1:17">
      <c r="A302" s="481">
        <v>21</v>
      </c>
      <c r="B302" s="840">
        <f t="shared" ref="B302:Q302" si="287">B88+B195</f>
        <v>1309.055454518952</v>
      </c>
      <c r="C302" s="841">
        <f t="shared" si="287"/>
        <v>1325.577422820742</v>
      </c>
      <c r="D302" s="841">
        <f t="shared" si="287"/>
        <v>1344.3495799251027</v>
      </c>
      <c r="E302" s="841">
        <f t="shared" si="287"/>
        <v>1365.29216863689</v>
      </c>
      <c r="F302" s="841">
        <f t="shared" si="287"/>
        <v>1388.1399999999999</v>
      </c>
      <c r="G302" s="841">
        <f t="shared" si="287"/>
        <v>1412.1581589013188</v>
      </c>
      <c r="H302" s="840">
        <f t="shared" si="287"/>
        <v>1438.9612620262183</v>
      </c>
      <c r="I302" s="841">
        <f t="shared" si="287"/>
        <v>1467.331582466084</v>
      </c>
      <c r="J302" s="841">
        <f t="shared" si="287"/>
        <v>1490.3764776872711</v>
      </c>
      <c r="K302" s="841">
        <f t="shared" si="287"/>
        <v>1498.9372591715323</v>
      </c>
      <c r="L302" s="841">
        <f t="shared" si="287"/>
        <v>1487.1535041264137</v>
      </c>
      <c r="M302" s="841">
        <f t="shared" si="287"/>
        <v>1451.4956774780812</v>
      </c>
      <c r="N302" s="841">
        <f t="shared" si="287"/>
        <v>1395.7039707496629</v>
      </c>
      <c r="O302" s="841">
        <f t="shared" si="287"/>
        <v>1330.1469484137929</v>
      </c>
      <c r="P302" s="841">
        <f t="shared" si="287"/>
        <v>1269.4484668778914</v>
      </c>
      <c r="Q302" s="842">
        <f t="shared" si="287"/>
        <v>1224.1059286150066</v>
      </c>
    </row>
    <row r="303" spans="1:17">
      <c r="A303" s="481">
        <v>22</v>
      </c>
      <c r="B303" s="840">
        <f t="shared" ref="B303:Q303" si="288">B89+B196</f>
        <v>1332.4105814648515</v>
      </c>
      <c r="C303" s="841">
        <f t="shared" si="288"/>
        <v>1345.9557910855769</v>
      </c>
      <c r="D303" s="841">
        <f t="shared" si="288"/>
        <v>1362.0181087125929</v>
      </c>
      <c r="E303" s="841">
        <f t="shared" si="288"/>
        <v>1382.1274176873544</v>
      </c>
      <c r="F303" s="841">
        <f t="shared" si="288"/>
        <v>1408.107</v>
      </c>
      <c r="G303" s="841">
        <f t="shared" si="288"/>
        <v>1440.44760030526</v>
      </c>
      <c r="H303" s="840">
        <f t="shared" si="288"/>
        <v>1481.8276130193235</v>
      </c>
      <c r="I303" s="841">
        <f t="shared" si="288"/>
        <v>1529.9175682990603</v>
      </c>
      <c r="J303" s="841">
        <f t="shared" si="288"/>
        <v>1574.2296357826438</v>
      </c>
      <c r="K303" s="841">
        <f t="shared" si="288"/>
        <v>1600.6319111106754</v>
      </c>
      <c r="L303" s="841">
        <f t="shared" si="288"/>
        <v>1599.7754164592307</v>
      </c>
      <c r="M303" s="841">
        <f t="shared" si="288"/>
        <v>1566.7195974250717</v>
      </c>
      <c r="N303" s="841">
        <f t="shared" si="288"/>
        <v>1506.476141725333</v>
      </c>
      <c r="O303" s="841">
        <f t="shared" si="288"/>
        <v>1431.8928191763362</v>
      </c>
      <c r="P303" s="841">
        <f t="shared" si="288"/>
        <v>1361.3736398392798</v>
      </c>
      <c r="Q303" s="842">
        <f t="shared" si="288"/>
        <v>1308.1822196616502</v>
      </c>
    </row>
    <row r="304" spans="1:17">
      <c r="A304" s="481">
        <v>23</v>
      </c>
      <c r="B304" s="840">
        <f t="shared" ref="B304:Q304" si="289">B90+B197</f>
        <v>1404.2629035368291</v>
      </c>
      <c r="C304" s="841">
        <f t="shared" si="289"/>
        <v>1414.5667547171468</v>
      </c>
      <c r="D304" s="841">
        <f t="shared" si="289"/>
        <v>1426.0077048996964</v>
      </c>
      <c r="E304" s="841">
        <f t="shared" si="289"/>
        <v>1441.7923435746441</v>
      </c>
      <c r="F304" s="841">
        <f t="shared" si="289"/>
        <v>1466.0319999999999</v>
      </c>
      <c r="G304" s="841">
        <f t="shared" si="289"/>
        <v>1500.7760983596163</v>
      </c>
      <c r="H304" s="840">
        <f t="shared" si="289"/>
        <v>1549.1537258358694</v>
      </c>
      <c r="I304" s="841">
        <f t="shared" si="289"/>
        <v>1608.0762095179509</v>
      </c>
      <c r="J304" s="841">
        <f t="shared" si="289"/>
        <v>1665.8364579333243</v>
      </c>
      <c r="K304" s="841">
        <f t="shared" si="289"/>
        <v>1706.4932414800869</v>
      </c>
      <c r="L304" s="841">
        <f t="shared" si="289"/>
        <v>1719.2210541578893</v>
      </c>
      <c r="M304" s="841">
        <f t="shared" si="289"/>
        <v>1699.0908544270387</v>
      </c>
      <c r="N304" s="841">
        <f t="shared" si="289"/>
        <v>1651.0763961597522</v>
      </c>
      <c r="O304" s="841">
        <f t="shared" si="289"/>
        <v>1586.4701693409527</v>
      </c>
      <c r="P304" s="841">
        <f t="shared" si="289"/>
        <v>1521.7761546592685</v>
      </c>
      <c r="Q304" s="842">
        <f t="shared" si="289"/>
        <v>1469.0810548334425</v>
      </c>
    </row>
    <row r="305" spans="1:17">
      <c r="A305" s="481">
        <v>24</v>
      </c>
      <c r="B305" s="840">
        <f t="shared" ref="B305:Q305" si="290">B91+B198</f>
        <v>1528.6910953956085</v>
      </c>
      <c r="C305" s="841">
        <f t="shared" si="290"/>
        <v>1534.379724408223</v>
      </c>
      <c r="D305" s="841">
        <f t="shared" si="290"/>
        <v>1537.4610142049537</v>
      </c>
      <c r="E305" s="841">
        <f t="shared" si="290"/>
        <v>1543.2276073160135</v>
      </c>
      <c r="F305" s="841">
        <f t="shared" si="290"/>
        <v>1558.7640000000001</v>
      </c>
      <c r="G305" s="841">
        <f t="shared" si="290"/>
        <v>1588.3375761668403</v>
      </c>
      <c r="H305" s="840">
        <f t="shared" si="290"/>
        <v>1635.1128925157593</v>
      </c>
      <c r="I305" s="841">
        <f t="shared" si="290"/>
        <v>1695.4536743459064</v>
      </c>
      <c r="J305" s="841">
        <f t="shared" si="290"/>
        <v>1758.5421029612098</v>
      </c>
      <c r="K305" s="841">
        <f t="shared" si="290"/>
        <v>1809.3910369188163</v>
      </c>
      <c r="L305" s="841">
        <f t="shared" si="290"/>
        <v>1837.4422219826095</v>
      </c>
      <c r="M305" s="841">
        <f t="shared" si="290"/>
        <v>1839.0152037126097</v>
      </c>
      <c r="N305" s="841">
        <f t="shared" si="290"/>
        <v>1817.9211427492278</v>
      </c>
      <c r="O305" s="841">
        <f t="shared" si="290"/>
        <v>1780.3856545586834</v>
      </c>
      <c r="P305" s="841">
        <f t="shared" si="290"/>
        <v>1736.0581099699377</v>
      </c>
      <c r="Q305" s="842">
        <f t="shared" si="290"/>
        <v>1692.3618317435071</v>
      </c>
    </row>
    <row r="306" spans="1:17">
      <c r="A306" s="481">
        <v>25</v>
      </c>
      <c r="B306" s="840">
        <f t="shared" ref="B306:Q306" si="291">B92+B199</f>
        <v>1525.6585737938431</v>
      </c>
      <c r="C306" s="841">
        <f t="shared" si="291"/>
        <v>1525.7797655558111</v>
      </c>
      <c r="D306" s="841">
        <f t="shared" si="291"/>
        <v>1520.1569870998137</v>
      </c>
      <c r="E306" s="841">
        <f t="shared" si="291"/>
        <v>1515.8636175485406</v>
      </c>
      <c r="F306" s="841">
        <f t="shared" si="291"/>
        <v>1522.52</v>
      </c>
      <c r="G306" s="841">
        <f t="shared" si="291"/>
        <v>1546.3377856267557</v>
      </c>
      <c r="H306" s="840">
        <f t="shared" si="291"/>
        <v>1590.3497501618317</v>
      </c>
      <c r="I306" s="841">
        <f t="shared" si="291"/>
        <v>1650.5644644185895</v>
      </c>
      <c r="J306" s="841">
        <f t="shared" si="291"/>
        <v>1717.4663180857333</v>
      </c>
      <c r="K306" s="841">
        <f t="shared" si="291"/>
        <v>1777.6117097574947</v>
      </c>
      <c r="L306" s="841">
        <f t="shared" si="291"/>
        <v>1821.116937241482</v>
      </c>
      <c r="M306" s="841">
        <f t="shared" si="291"/>
        <v>1845.6991658030483</v>
      </c>
      <c r="N306" s="841">
        <f t="shared" si="291"/>
        <v>1853.8231898880581</v>
      </c>
      <c r="O306" s="841">
        <f t="shared" si="291"/>
        <v>1846.2868836076896</v>
      </c>
      <c r="P306" s="841">
        <f t="shared" si="291"/>
        <v>1825.3740531433646</v>
      </c>
      <c r="Q306" s="842">
        <f t="shared" si="291"/>
        <v>1793.4584355171987</v>
      </c>
    </row>
    <row r="307" spans="1:17">
      <c r="A307" s="481">
        <v>26</v>
      </c>
      <c r="B307" s="840">
        <f t="shared" ref="B307:Q307" si="292">B93+B200</f>
        <v>1617.620068051561</v>
      </c>
      <c r="C307" s="841">
        <f t="shared" si="292"/>
        <v>1610.3382043747094</v>
      </c>
      <c r="D307" s="841">
        <f t="shared" si="292"/>
        <v>1592.9878946902454</v>
      </c>
      <c r="E307" s="841">
        <f t="shared" si="292"/>
        <v>1575.4883608364685</v>
      </c>
      <c r="F307" s="841">
        <f t="shared" si="292"/>
        <v>1571.4479999999999</v>
      </c>
      <c r="G307" s="841">
        <f t="shared" si="292"/>
        <v>1590.0054465531321</v>
      </c>
      <c r="H307" s="840">
        <f t="shared" si="292"/>
        <v>1634.3997379412947</v>
      </c>
      <c r="I307" s="841">
        <f t="shared" si="292"/>
        <v>1699.8051496680509</v>
      </c>
      <c r="J307" s="841">
        <f t="shared" si="292"/>
        <v>1777.2481903434787</v>
      </c>
      <c r="K307" s="841">
        <f t="shared" si="292"/>
        <v>1853.6763533689234</v>
      </c>
      <c r="L307" s="841">
        <f t="shared" si="292"/>
        <v>1918.9667595954134</v>
      </c>
      <c r="M307" s="841">
        <f t="shared" si="292"/>
        <v>1972.2353344858639</v>
      </c>
      <c r="N307" s="841">
        <f t="shared" si="292"/>
        <v>2014.6625400157627</v>
      </c>
      <c r="O307" s="841">
        <f t="shared" si="292"/>
        <v>2040.8749460006561</v>
      </c>
      <c r="P307" s="841">
        <f t="shared" si="292"/>
        <v>2044.8887222894018</v>
      </c>
      <c r="Q307" s="842">
        <f t="shared" si="292"/>
        <v>2023.5158205525868</v>
      </c>
    </row>
    <row r="308" spans="1:17">
      <c r="A308" s="481">
        <v>27</v>
      </c>
      <c r="B308" s="840">
        <f t="shared" ref="B308:Q308" si="293">B94+B201</f>
        <v>1494.2833691176443</v>
      </c>
      <c r="C308" s="841">
        <f t="shared" si="293"/>
        <v>1484.4054640499294</v>
      </c>
      <c r="D308" s="841">
        <f t="shared" si="293"/>
        <v>1463.4458891537861</v>
      </c>
      <c r="E308" s="841">
        <f t="shared" si="293"/>
        <v>1441.1926074266953</v>
      </c>
      <c r="F308" s="841">
        <f t="shared" si="293"/>
        <v>1431.134</v>
      </c>
      <c r="G308" s="841">
        <f t="shared" si="293"/>
        <v>1442.5382660131554</v>
      </c>
      <c r="H308" s="840">
        <f t="shared" si="293"/>
        <v>1477.9929374979693</v>
      </c>
      <c r="I308" s="841">
        <f t="shared" si="293"/>
        <v>1533.2008004824265</v>
      </c>
      <c r="J308" s="841">
        <f t="shared" si="293"/>
        <v>1601.8679071993688</v>
      </c>
      <c r="K308" s="841">
        <f t="shared" si="293"/>
        <v>1674.5266889958125</v>
      </c>
      <c r="L308" s="841">
        <f t="shared" si="293"/>
        <v>1743.3739537952765</v>
      </c>
      <c r="M308" s="841">
        <f t="shared" si="293"/>
        <v>1808.8332141994042</v>
      </c>
      <c r="N308" s="841">
        <f t="shared" si="293"/>
        <v>1870.6850735766275</v>
      </c>
      <c r="O308" s="841">
        <f t="shared" si="293"/>
        <v>1919.8343800424491</v>
      </c>
      <c r="P308" s="841">
        <f t="shared" si="293"/>
        <v>1945.0279825328398</v>
      </c>
      <c r="Q308" s="842">
        <f t="shared" si="293"/>
        <v>1939.2578086652193</v>
      </c>
    </row>
    <row r="309" spans="1:17">
      <c r="A309" s="481">
        <v>28</v>
      </c>
      <c r="B309" s="840">
        <f t="shared" ref="B309:Q309" si="294">B95+B202</f>
        <v>1368.3801850666</v>
      </c>
      <c r="C309" s="841">
        <f t="shared" si="294"/>
        <v>1361.9549600695721</v>
      </c>
      <c r="D309" s="841">
        <f t="shared" si="294"/>
        <v>1347.0106902078826</v>
      </c>
      <c r="E309" s="841">
        <f t="shared" si="294"/>
        <v>1330.8293387427011</v>
      </c>
      <c r="F309" s="841">
        <f t="shared" si="294"/>
        <v>1323.4009999999998</v>
      </c>
      <c r="G309" s="841">
        <f t="shared" si="294"/>
        <v>1331.7133718238583</v>
      </c>
      <c r="H309" s="840">
        <f t="shared" si="294"/>
        <v>1357.2923605636784</v>
      </c>
      <c r="I309" s="841">
        <f t="shared" si="294"/>
        <v>1397.2421148411154</v>
      </c>
      <c r="J309" s="841">
        <f t="shared" si="294"/>
        <v>1448.4663127181379</v>
      </c>
      <c r="K309" s="841">
        <f t="shared" si="294"/>
        <v>1506.0301081396842</v>
      </c>
      <c r="L309" s="841">
        <f t="shared" si="294"/>
        <v>1565.4377334852866</v>
      </c>
      <c r="M309" s="841">
        <f t="shared" si="294"/>
        <v>1627.7111427812094</v>
      </c>
      <c r="N309" s="841">
        <f t="shared" si="294"/>
        <v>1691.678997033679</v>
      </c>
      <c r="O309" s="841">
        <f t="shared" si="294"/>
        <v>1748.0307606465753</v>
      </c>
      <c r="P309" s="841">
        <f t="shared" si="294"/>
        <v>1784.8433381028863</v>
      </c>
      <c r="Q309" s="842">
        <f t="shared" si="294"/>
        <v>1794.2840886002093</v>
      </c>
    </row>
    <row r="310" spans="1:17">
      <c r="A310" s="481">
        <v>29</v>
      </c>
      <c r="B310" s="840">
        <f t="shared" ref="B310:Q310" si="295">B96+B203</f>
        <v>1380.5632807365259</v>
      </c>
      <c r="C310" s="841">
        <f t="shared" si="295"/>
        <v>1380.6344229251035</v>
      </c>
      <c r="D310" s="841">
        <f t="shared" si="295"/>
        <v>1375.9572104324334</v>
      </c>
      <c r="E310" s="841">
        <f t="shared" si="295"/>
        <v>1370.6011013857094</v>
      </c>
      <c r="F310" s="841">
        <f t="shared" si="295"/>
        <v>1370.078</v>
      </c>
      <c r="G310" s="841">
        <f t="shared" si="295"/>
        <v>1378.3592979605482</v>
      </c>
      <c r="H310" s="840">
        <f t="shared" si="295"/>
        <v>1395.8295513109711</v>
      </c>
      <c r="I310" s="841">
        <f t="shared" si="295"/>
        <v>1421.2156027110611</v>
      </c>
      <c r="J310" s="841">
        <f t="shared" si="295"/>
        <v>1454.6174972706403</v>
      </c>
      <c r="K310" s="841">
        <f t="shared" si="295"/>
        <v>1495.7091854439057</v>
      </c>
      <c r="L310" s="841">
        <f t="shared" si="295"/>
        <v>1543.4491745148252</v>
      </c>
      <c r="M310" s="841">
        <f t="shared" si="295"/>
        <v>1599.1506080167574</v>
      </c>
      <c r="N310" s="841">
        <f t="shared" si="295"/>
        <v>1660.8482037563613</v>
      </c>
      <c r="O310" s="841">
        <f t="shared" si="295"/>
        <v>1720.1898765366816</v>
      </c>
      <c r="P310" s="841">
        <f t="shared" si="295"/>
        <v>1766.154225968452</v>
      </c>
      <c r="Q310" s="842">
        <f t="shared" si="295"/>
        <v>1791.0880921537678</v>
      </c>
    </row>
    <row r="311" spans="1:17">
      <c r="A311" s="481">
        <v>30</v>
      </c>
      <c r="B311" s="840">
        <f t="shared" ref="B311:Q311" si="296">B97+B204</f>
        <v>1395.7015885549631</v>
      </c>
      <c r="C311" s="841">
        <f t="shared" si="296"/>
        <v>1402.1430879966192</v>
      </c>
      <c r="D311" s="841">
        <f t="shared" si="296"/>
        <v>1407.3169715140109</v>
      </c>
      <c r="E311" s="841">
        <f t="shared" si="296"/>
        <v>1412.1628376806784</v>
      </c>
      <c r="F311" s="841">
        <f t="shared" si="296"/>
        <v>1417.8119999999999</v>
      </c>
      <c r="G311" s="841">
        <f t="shared" si="296"/>
        <v>1425.3243495271415</v>
      </c>
      <c r="H311" s="840">
        <f t="shared" si="296"/>
        <v>1433.8801346806999</v>
      </c>
      <c r="I311" s="841">
        <f t="shared" si="296"/>
        <v>1443.8621485056387</v>
      </c>
      <c r="J311" s="841">
        <f t="shared" si="296"/>
        <v>1458.8112967148008</v>
      </c>
      <c r="K311" s="841">
        <f t="shared" si="296"/>
        <v>1483.3362836246847</v>
      </c>
      <c r="L311" s="841">
        <f t="shared" si="296"/>
        <v>1520.0425587192626</v>
      </c>
      <c r="M311" s="841">
        <f t="shared" si="296"/>
        <v>1570.7030819618719</v>
      </c>
      <c r="N311" s="841">
        <f t="shared" si="296"/>
        <v>1632.4096323834092</v>
      </c>
      <c r="O311" s="841">
        <f t="shared" si="296"/>
        <v>1697.275546007359</v>
      </c>
      <c r="P311" s="841">
        <f t="shared" si="296"/>
        <v>1754.4887145774346</v>
      </c>
      <c r="Q311" s="842">
        <f t="shared" si="296"/>
        <v>1796.0991239306729</v>
      </c>
    </row>
    <row r="312" spans="1:17">
      <c r="A312" s="481">
        <v>31</v>
      </c>
      <c r="B312" s="840">
        <f t="shared" ref="B312:Q312" si="297">B98+B205</f>
        <v>1336.8994179253718</v>
      </c>
      <c r="C312" s="841">
        <f t="shared" si="297"/>
        <v>1349.961897854942</v>
      </c>
      <c r="D312" s="841">
        <f t="shared" si="297"/>
        <v>1365.4221037635971</v>
      </c>
      <c r="E312" s="841">
        <f t="shared" si="297"/>
        <v>1380.8044729385369</v>
      </c>
      <c r="F312" s="841">
        <f t="shared" si="297"/>
        <v>1392.49</v>
      </c>
      <c r="G312" s="841">
        <f t="shared" si="297"/>
        <v>1398.3838418846171</v>
      </c>
      <c r="H312" s="840">
        <f t="shared" si="297"/>
        <v>1396.3786502104558</v>
      </c>
      <c r="I312" s="841">
        <f t="shared" si="297"/>
        <v>1388.6228514996728</v>
      </c>
      <c r="J312" s="841">
        <f t="shared" si="297"/>
        <v>1382.3058693707876</v>
      </c>
      <c r="K312" s="841">
        <f t="shared" si="297"/>
        <v>1387.2744527658683</v>
      </c>
      <c r="L312" s="841">
        <f t="shared" si="297"/>
        <v>1410.0323102065081</v>
      </c>
      <c r="M312" s="841">
        <f t="shared" si="297"/>
        <v>1452.8338022300763</v>
      </c>
      <c r="N312" s="841">
        <f t="shared" si="297"/>
        <v>1511.843023768241</v>
      </c>
      <c r="O312" s="841">
        <f t="shared" si="297"/>
        <v>1579.8548254779753</v>
      </c>
      <c r="P312" s="841">
        <f t="shared" si="297"/>
        <v>1646.5286395211756</v>
      </c>
      <c r="Q312" s="842">
        <f t="shared" si="297"/>
        <v>1703.7868643410106</v>
      </c>
    </row>
    <row r="313" spans="1:17">
      <c r="A313" s="481">
        <v>32</v>
      </c>
      <c r="B313" s="840">
        <f t="shared" ref="B313:Q313" si="298">B99+B206</f>
        <v>1168.1412074086816</v>
      </c>
      <c r="C313" s="841">
        <f t="shared" si="298"/>
        <v>1184.5299673387585</v>
      </c>
      <c r="D313" s="841">
        <f t="shared" si="298"/>
        <v>1205.3993315815801</v>
      </c>
      <c r="E313" s="841">
        <f t="shared" si="298"/>
        <v>1226.4416387731992</v>
      </c>
      <c r="F313" s="841">
        <f t="shared" si="298"/>
        <v>1241.5</v>
      </c>
      <c r="G313" s="841">
        <f t="shared" si="298"/>
        <v>1246.714950913698</v>
      </c>
      <c r="H313" s="840">
        <f t="shared" si="298"/>
        <v>1239.5683213877119</v>
      </c>
      <c r="I313" s="841">
        <f t="shared" si="298"/>
        <v>1222.9795972243173</v>
      </c>
      <c r="J313" s="841">
        <f t="shared" si="298"/>
        <v>1205.0731589779321</v>
      </c>
      <c r="K313" s="841">
        <f t="shared" si="298"/>
        <v>1197.1319377079085</v>
      </c>
      <c r="L313" s="841">
        <f t="shared" si="298"/>
        <v>1206.9199669161492</v>
      </c>
      <c r="M313" s="841">
        <f t="shared" si="298"/>
        <v>1236.5064860784737</v>
      </c>
      <c r="N313" s="841">
        <f t="shared" si="298"/>
        <v>1282.2597785755638</v>
      </c>
      <c r="O313" s="841">
        <f t="shared" si="298"/>
        <v>1339.0477776731959</v>
      </c>
      <c r="P313" s="841">
        <f t="shared" si="298"/>
        <v>1399.1482881764955</v>
      </c>
      <c r="Q313" s="842">
        <f t="shared" si="298"/>
        <v>1456.1885649385565</v>
      </c>
    </row>
    <row r="314" spans="1:17">
      <c r="A314" s="481">
        <v>33</v>
      </c>
      <c r="B314" s="840">
        <f t="shared" ref="B314:Q314" si="299">B100+B207</f>
        <v>1317.5670856077743</v>
      </c>
      <c r="C314" s="841">
        <f t="shared" si="299"/>
        <v>1339.2689179012393</v>
      </c>
      <c r="D314" s="841">
        <f t="shared" si="299"/>
        <v>1366.862656844301</v>
      </c>
      <c r="E314" s="841">
        <f t="shared" si="299"/>
        <v>1394.7638222963292</v>
      </c>
      <c r="F314" s="841">
        <f t="shared" si="299"/>
        <v>1414.9940000000001</v>
      </c>
      <c r="G314" s="841">
        <f t="shared" si="299"/>
        <v>1422.4439716898837</v>
      </c>
      <c r="H314" s="840">
        <f t="shared" si="299"/>
        <v>1414.3324538473339</v>
      </c>
      <c r="I314" s="841">
        <f t="shared" si="299"/>
        <v>1394.204171259441</v>
      </c>
      <c r="J314" s="841">
        <f t="shared" si="299"/>
        <v>1370.9348659423472</v>
      </c>
      <c r="K314" s="841">
        <f t="shared" si="299"/>
        <v>1356.9365936122056</v>
      </c>
      <c r="L314" s="841">
        <f t="shared" si="299"/>
        <v>1360.9268491922855</v>
      </c>
      <c r="M314" s="841">
        <f t="shared" si="299"/>
        <v>1384.8740217302579</v>
      </c>
      <c r="N314" s="841">
        <f t="shared" si="299"/>
        <v>1425.2465952065431</v>
      </c>
      <c r="O314" s="841">
        <f t="shared" si="299"/>
        <v>1478.3482338656818</v>
      </c>
      <c r="P314" s="841">
        <f t="shared" si="299"/>
        <v>1538.2548012275956</v>
      </c>
      <c r="Q314" s="842">
        <f t="shared" si="299"/>
        <v>1599.7274054912953</v>
      </c>
    </row>
    <row r="315" spans="1:17">
      <c r="A315" s="481">
        <v>34</v>
      </c>
      <c r="B315" s="840">
        <f t="shared" ref="B315:Q315" si="300">B101+B208</f>
        <v>1174.6027046975378</v>
      </c>
      <c r="C315" s="841">
        <f t="shared" si="300"/>
        <v>1195.3522762946568</v>
      </c>
      <c r="D315" s="841">
        <f t="shared" si="300"/>
        <v>1221.0152131641457</v>
      </c>
      <c r="E315" s="841">
        <f t="shared" si="300"/>
        <v>1247.0001772781457</v>
      </c>
      <c r="F315" s="841">
        <f t="shared" si="300"/>
        <v>1266.7179999999998</v>
      </c>
      <c r="G315" s="841">
        <f t="shared" si="300"/>
        <v>1275.8718006223764</v>
      </c>
      <c r="H315" s="840">
        <f t="shared" si="300"/>
        <v>1272.5558686440454</v>
      </c>
      <c r="I315" s="841">
        <f t="shared" si="300"/>
        <v>1259.5500769222799</v>
      </c>
      <c r="J315" s="841">
        <f t="shared" si="300"/>
        <v>1242.9499016002135</v>
      </c>
      <c r="K315" s="841">
        <f t="shared" si="300"/>
        <v>1231.341922584623</v>
      </c>
      <c r="L315" s="841">
        <f t="shared" si="300"/>
        <v>1230.9173458437845</v>
      </c>
      <c r="M315" s="841">
        <f t="shared" si="300"/>
        <v>1242.7573563027818</v>
      </c>
      <c r="N315" s="841">
        <f t="shared" si="300"/>
        <v>1264.8279865536019</v>
      </c>
      <c r="O315" s="841">
        <f t="shared" si="300"/>
        <v>1296.2362393883727</v>
      </c>
      <c r="P315" s="841">
        <f t="shared" si="300"/>
        <v>1335.0887490955943</v>
      </c>
      <c r="Q315" s="842">
        <f t="shared" si="300"/>
        <v>1379.2717902168599</v>
      </c>
    </row>
    <row r="316" spans="1:17">
      <c r="A316" s="481">
        <v>35</v>
      </c>
      <c r="B316" s="840">
        <f t="shared" ref="B316:Q316" si="301">B102+B209</f>
        <v>1223.4538033884273</v>
      </c>
      <c r="C316" s="841">
        <f t="shared" si="301"/>
        <v>1247.2282786242799</v>
      </c>
      <c r="D316" s="841">
        <f t="shared" si="301"/>
        <v>1276.0644063348395</v>
      </c>
      <c r="E316" s="841">
        <f t="shared" si="301"/>
        <v>1305.3428345370323</v>
      </c>
      <c r="F316" s="841">
        <f t="shared" si="301"/>
        <v>1328.3870000000002</v>
      </c>
      <c r="G316" s="841">
        <f t="shared" si="301"/>
        <v>1340.7466983991098</v>
      </c>
      <c r="H316" s="840">
        <f t="shared" si="301"/>
        <v>1340.9524715387233</v>
      </c>
      <c r="I316" s="841">
        <f t="shared" si="301"/>
        <v>1331.6274799857224</v>
      </c>
      <c r="J316" s="841">
        <f t="shared" si="301"/>
        <v>1317.4527436608678</v>
      </c>
      <c r="K316" s="841">
        <f t="shared" si="301"/>
        <v>1305.1246110415832</v>
      </c>
      <c r="L316" s="841">
        <f t="shared" si="301"/>
        <v>1299.6888197390952</v>
      </c>
      <c r="M316" s="841">
        <f t="shared" si="301"/>
        <v>1301.5822821322481</v>
      </c>
      <c r="N316" s="841">
        <f t="shared" si="301"/>
        <v>1309.7898377994784</v>
      </c>
      <c r="O316" s="841">
        <f t="shared" si="301"/>
        <v>1326.019407889931</v>
      </c>
      <c r="P316" s="841">
        <f t="shared" si="301"/>
        <v>1351.9743151399102</v>
      </c>
      <c r="Q316" s="842">
        <f t="shared" si="301"/>
        <v>1388.1891808854489</v>
      </c>
    </row>
    <row r="317" spans="1:17">
      <c r="A317" s="481">
        <v>36</v>
      </c>
      <c r="B317" s="840">
        <f t="shared" ref="B317:Q317" si="302">B103+B210</f>
        <v>1129.9523757196075</v>
      </c>
      <c r="C317" s="841">
        <f t="shared" si="302"/>
        <v>1154.0848062969162</v>
      </c>
      <c r="D317" s="841">
        <f t="shared" si="302"/>
        <v>1182.8742874526779</v>
      </c>
      <c r="E317" s="841">
        <f t="shared" si="302"/>
        <v>1212.2138338406389</v>
      </c>
      <c r="F317" s="841">
        <f t="shared" si="302"/>
        <v>1236.1680000000001</v>
      </c>
      <c r="G317" s="841">
        <f t="shared" si="302"/>
        <v>1250.6623766610242</v>
      </c>
      <c r="H317" s="840">
        <f t="shared" si="302"/>
        <v>1254.862150327079</v>
      </c>
      <c r="I317" s="841">
        <f t="shared" si="302"/>
        <v>1250.8818412589924</v>
      </c>
      <c r="J317" s="841">
        <f t="shared" si="302"/>
        <v>1241.2584349361655</v>
      </c>
      <c r="K317" s="841">
        <f t="shared" si="302"/>
        <v>1229.7740322731497</v>
      </c>
      <c r="L317" s="841">
        <f t="shared" si="302"/>
        <v>1219.5859075577573</v>
      </c>
      <c r="M317" s="841">
        <f t="shared" si="302"/>
        <v>1210.359773150788</v>
      </c>
      <c r="N317" s="841">
        <f t="shared" si="302"/>
        <v>1202.3029805833639</v>
      </c>
      <c r="O317" s="841">
        <f t="shared" si="302"/>
        <v>1199.7061933302184</v>
      </c>
      <c r="P317" s="841">
        <f t="shared" si="302"/>
        <v>1207.9376732723817</v>
      </c>
      <c r="Q317" s="842">
        <f t="shared" si="302"/>
        <v>1230.3117727820691</v>
      </c>
    </row>
    <row r="318" spans="1:17">
      <c r="A318" s="481">
        <v>37</v>
      </c>
      <c r="B318" s="840">
        <f t="shared" ref="B318:Q318" si="303">B104+B211</f>
        <v>1204.6015525382816</v>
      </c>
      <c r="C318" s="841">
        <f t="shared" si="303"/>
        <v>1232.9547067778296</v>
      </c>
      <c r="D318" s="841">
        <f t="shared" si="303"/>
        <v>1265.8773182505379</v>
      </c>
      <c r="E318" s="841">
        <f t="shared" si="303"/>
        <v>1299.285635250375</v>
      </c>
      <c r="F318" s="841">
        <f t="shared" si="303"/>
        <v>1327.2550000000001</v>
      </c>
      <c r="G318" s="841">
        <f t="shared" si="303"/>
        <v>1345.6395510704799</v>
      </c>
      <c r="H318" s="840">
        <f t="shared" si="303"/>
        <v>1353.9642705692122</v>
      </c>
      <c r="I318" s="841">
        <f t="shared" si="303"/>
        <v>1354.1561158974528</v>
      </c>
      <c r="J318" s="841">
        <f t="shared" si="303"/>
        <v>1347.522871501084</v>
      </c>
      <c r="K318" s="841">
        <f t="shared" si="303"/>
        <v>1336.1837373114481</v>
      </c>
      <c r="L318" s="841">
        <f t="shared" si="303"/>
        <v>1322.2893410128295</v>
      </c>
      <c r="M318" s="841">
        <f t="shared" si="303"/>
        <v>1305.0219109529489</v>
      </c>
      <c r="N318" s="841">
        <f t="shared" si="303"/>
        <v>1285.4476813826245</v>
      </c>
      <c r="O318" s="841">
        <f t="shared" si="303"/>
        <v>1269.8589125682799</v>
      </c>
      <c r="P318" s="841">
        <f t="shared" si="303"/>
        <v>1266.4023062862257</v>
      </c>
      <c r="Q318" s="842">
        <f t="shared" si="303"/>
        <v>1280.4888840918948</v>
      </c>
    </row>
    <row r="319" spans="1:17">
      <c r="A319" s="481">
        <v>38</v>
      </c>
      <c r="B319" s="840">
        <f t="shared" ref="B319:Q319" si="304">B105+B212</f>
        <v>1149.1047719768501</v>
      </c>
      <c r="C319" s="841">
        <f t="shared" si="304"/>
        <v>1179.1856562984765</v>
      </c>
      <c r="D319" s="841">
        <f t="shared" si="304"/>
        <v>1212.6783562929154</v>
      </c>
      <c r="E319" s="841">
        <f t="shared" si="304"/>
        <v>1246.0634299951648</v>
      </c>
      <c r="F319" s="841">
        <f t="shared" si="304"/>
        <v>1274.269</v>
      </c>
      <c r="G319" s="841">
        <f t="shared" si="304"/>
        <v>1293.7292684335443</v>
      </c>
      <c r="H319" s="840">
        <f t="shared" si="304"/>
        <v>1304.0852887474975</v>
      </c>
      <c r="I319" s="841">
        <f t="shared" si="304"/>
        <v>1306.9145428248871</v>
      </c>
      <c r="J319" s="841">
        <f t="shared" si="304"/>
        <v>1303.0629045219425</v>
      </c>
      <c r="K319" s="841">
        <f t="shared" si="304"/>
        <v>1293.9939264711686</v>
      </c>
      <c r="L319" s="841">
        <f t="shared" si="304"/>
        <v>1281.3389606120729</v>
      </c>
      <c r="M319" s="841">
        <f t="shared" si="304"/>
        <v>1264.4646724379372</v>
      </c>
      <c r="N319" s="841">
        <f t="shared" si="304"/>
        <v>1244.5274335075032</v>
      </c>
      <c r="O319" s="841">
        <f t="shared" si="304"/>
        <v>1227.1163524057206</v>
      </c>
      <c r="P319" s="841">
        <f t="shared" si="304"/>
        <v>1219.4832476980446</v>
      </c>
      <c r="Q319" s="842">
        <f t="shared" si="304"/>
        <v>1226.5875481729468</v>
      </c>
    </row>
    <row r="320" spans="1:17">
      <c r="A320" s="481">
        <v>39</v>
      </c>
      <c r="B320" s="840">
        <f t="shared" ref="B320:Q320" si="305">B106+B213</f>
        <v>1214.2797828540927</v>
      </c>
      <c r="C320" s="841">
        <f t="shared" si="305"/>
        <v>1249.7148997311519</v>
      </c>
      <c r="D320" s="841">
        <f t="shared" si="305"/>
        <v>1287.4596569013015</v>
      </c>
      <c r="E320" s="841">
        <f t="shared" si="305"/>
        <v>1324.2156554017004</v>
      </c>
      <c r="F320" s="841">
        <f t="shared" si="305"/>
        <v>1355.318</v>
      </c>
      <c r="G320" s="841">
        <f t="shared" si="305"/>
        <v>1377.5045100059324</v>
      </c>
      <c r="H320" s="840">
        <f t="shared" si="305"/>
        <v>1390.268800280583</v>
      </c>
      <c r="I320" s="841">
        <f t="shared" si="305"/>
        <v>1395.0555949072043</v>
      </c>
      <c r="J320" s="841">
        <f t="shared" si="305"/>
        <v>1393.010818512764</v>
      </c>
      <c r="K320" s="841">
        <f t="shared" si="305"/>
        <v>1386.0029086247871</v>
      </c>
      <c r="L320" s="841">
        <f t="shared" si="305"/>
        <v>1375.8556389705509</v>
      </c>
      <c r="M320" s="841">
        <f t="shared" si="305"/>
        <v>1362.4642348301318</v>
      </c>
      <c r="N320" s="841">
        <f t="shared" si="305"/>
        <v>1346.7097595198534</v>
      </c>
      <c r="O320" s="841">
        <f t="shared" si="305"/>
        <v>1332.6212325089045</v>
      </c>
      <c r="P320" s="841">
        <f t="shared" si="305"/>
        <v>1325.3222324981198</v>
      </c>
      <c r="Q320" s="842">
        <f t="shared" si="305"/>
        <v>1328.4514778032744</v>
      </c>
    </row>
    <row r="321" spans="1:17">
      <c r="A321" s="481">
        <v>40</v>
      </c>
      <c r="B321" s="840">
        <f t="shared" ref="B321:Q321" si="306">B107+B214</f>
        <v>1091.0037911530692</v>
      </c>
      <c r="C321" s="841">
        <f t="shared" si="306"/>
        <v>1126.0376244177303</v>
      </c>
      <c r="D321" s="841">
        <f t="shared" si="306"/>
        <v>1161.7586746748748</v>
      </c>
      <c r="E321" s="841">
        <f t="shared" si="306"/>
        <v>1195.7737966181726</v>
      </c>
      <c r="F321" s="841">
        <f t="shared" si="306"/>
        <v>1224.7660000000001</v>
      </c>
      <c r="G321" s="841">
        <f t="shared" si="306"/>
        <v>1246.4273952804188</v>
      </c>
      <c r="H321" s="840">
        <f t="shared" si="306"/>
        <v>1260.2997465949602</v>
      </c>
      <c r="I321" s="841">
        <f t="shared" si="306"/>
        <v>1267.3728132216213</v>
      </c>
      <c r="J321" s="841">
        <f t="shared" si="306"/>
        <v>1268.6168985551622</v>
      </c>
      <c r="K321" s="841">
        <f t="shared" si="306"/>
        <v>1265.5879382667731</v>
      </c>
      <c r="L321" s="841">
        <f t="shared" si="306"/>
        <v>1259.7312059782739</v>
      </c>
      <c r="M321" s="841">
        <f t="shared" si="306"/>
        <v>1251.3705529606</v>
      </c>
      <c r="N321" s="841">
        <f t="shared" si="306"/>
        <v>1241.1174122807715</v>
      </c>
      <c r="O321" s="841">
        <f t="shared" si="306"/>
        <v>1231.1549597742496</v>
      </c>
      <c r="P321" s="841">
        <f t="shared" si="306"/>
        <v>1224.1583369665591</v>
      </c>
      <c r="Q321" s="842">
        <f t="shared" si="306"/>
        <v>1222.2149183478391</v>
      </c>
    </row>
    <row r="322" spans="1:17">
      <c r="A322" s="481">
        <v>41</v>
      </c>
      <c r="B322" s="840">
        <f t="shared" ref="B322:Q322" si="307">B108+B215</f>
        <v>1112.8115010644344</v>
      </c>
      <c r="C322" s="841">
        <f t="shared" si="307"/>
        <v>1151.6785473192467</v>
      </c>
      <c r="D322" s="841">
        <f t="shared" si="307"/>
        <v>1189.8983329491691</v>
      </c>
      <c r="E322" s="841">
        <f t="shared" si="307"/>
        <v>1225.6354056516789</v>
      </c>
      <c r="F322" s="841">
        <f t="shared" si="307"/>
        <v>1256.4540000000002</v>
      </c>
      <c r="G322" s="841">
        <f t="shared" si="307"/>
        <v>1280.6531536937837</v>
      </c>
      <c r="H322" s="840">
        <f t="shared" si="307"/>
        <v>1297.7515771818148</v>
      </c>
      <c r="I322" s="841">
        <f t="shared" si="307"/>
        <v>1308.4034267719171</v>
      </c>
      <c r="J322" s="841">
        <f t="shared" si="307"/>
        <v>1313.5166888372532</v>
      </c>
      <c r="K322" s="841">
        <f t="shared" si="307"/>
        <v>1314.5121234074322</v>
      </c>
      <c r="L322" s="841">
        <f t="shared" si="307"/>
        <v>1312.6335948382589</v>
      </c>
      <c r="M322" s="841">
        <f t="shared" si="307"/>
        <v>1308.6696296224063</v>
      </c>
      <c r="N322" s="841">
        <f t="shared" si="307"/>
        <v>1303.027621030466</v>
      </c>
      <c r="O322" s="841">
        <f t="shared" si="307"/>
        <v>1296.2124281523884</v>
      </c>
      <c r="P322" s="841">
        <f t="shared" si="307"/>
        <v>1288.6679585305355</v>
      </c>
      <c r="Q322" s="842">
        <f t="shared" si="307"/>
        <v>1281.1208817581419</v>
      </c>
    </row>
    <row r="323" spans="1:17">
      <c r="A323" s="481">
        <v>42</v>
      </c>
      <c r="B323" s="840">
        <f t="shared" ref="B323:Q323" si="308">B109+B216</f>
        <v>932.90294726656202</v>
      </c>
      <c r="C323" s="841">
        <f t="shared" si="308"/>
        <v>968.70109611639555</v>
      </c>
      <c r="D323" s="841">
        <f t="shared" si="308"/>
        <v>1002.6240175717694</v>
      </c>
      <c r="E323" s="841">
        <f t="shared" si="308"/>
        <v>1033.69356774328</v>
      </c>
      <c r="F323" s="841">
        <f t="shared" si="308"/>
        <v>1060.739</v>
      </c>
      <c r="G323" s="841">
        <f t="shared" si="308"/>
        <v>1082.946542389765</v>
      </c>
      <c r="H323" s="840">
        <f t="shared" si="308"/>
        <v>1099.9381444360251</v>
      </c>
      <c r="I323" s="841">
        <f t="shared" si="308"/>
        <v>1111.9675215056334</v>
      </c>
      <c r="J323" s="841">
        <f t="shared" si="308"/>
        <v>1119.6860354981834</v>
      </c>
      <c r="K323" s="841">
        <f t="shared" si="308"/>
        <v>1124.1066673467387</v>
      </c>
      <c r="L323" s="841">
        <f t="shared" si="308"/>
        <v>1126.0541990519989</v>
      </c>
      <c r="M323" s="841">
        <f t="shared" si="308"/>
        <v>1126.469623872915</v>
      </c>
      <c r="N323" s="841">
        <f t="shared" si="308"/>
        <v>1125.5670782970988</v>
      </c>
      <c r="O323" s="841">
        <f t="shared" si="308"/>
        <v>1122.685100662949</v>
      </c>
      <c r="P323" s="841">
        <f t="shared" si="308"/>
        <v>1116.7589401218092</v>
      </c>
      <c r="Q323" s="842">
        <f t="shared" si="308"/>
        <v>1107.5061613465234</v>
      </c>
    </row>
    <row r="324" spans="1:17">
      <c r="A324" s="481">
        <v>43</v>
      </c>
      <c r="B324" s="840">
        <f t="shared" ref="B324:Q324" si="309">B110+B217</f>
        <v>1079.5927909916445</v>
      </c>
      <c r="C324" s="841">
        <f t="shared" si="309"/>
        <v>1125.9071747140156</v>
      </c>
      <c r="D324" s="841">
        <f t="shared" si="309"/>
        <v>1170.8177293674048</v>
      </c>
      <c r="E324" s="841">
        <f t="shared" si="309"/>
        <v>1212.7126601010925</v>
      </c>
      <c r="F324" s="841">
        <f t="shared" si="309"/>
        <v>1249.5740000000001</v>
      </c>
      <c r="G324" s="841">
        <f t="shared" si="309"/>
        <v>1279.9953318256898</v>
      </c>
      <c r="H324" s="840">
        <f t="shared" si="309"/>
        <v>1303.2789569940951</v>
      </c>
      <c r="I324" s="841">
        <f t="shared" si="309"/>
        <v>1319.8414215402761</v>
      </c>
      <c r="J324" s="841">
        <f t="shared" si="309"/>
        <v>1330.7887372078551</v>
      </c>
      <c r="K324" s="841">
        <f t="shared" si="309"/>
        <v>1337.8248613125629</v>
      </c>
      <c r="L324" s="841">
        <f t="shared" si="309"/>
        <v>1342.2667630743758</v>
      </c>
      <c r="M324" s="841">
        <f t="shared" si="309"/>
        <v>1345.2856295365214</v>
      </c>
      <c r="N324" s="841">
        <f t="shared" si="309"/>
        <v>1346.8941145710219</v>
      </c>
      <c r="O324" s="841">
        <f t="shared" si="309"/>
        <v>1345.9663614022893</v>
      </c>
      <c r="P324" s="841">
        <f t="shared" si="309"/>
        <v>1340.7643879153616</v>
      </c>
      <c r="Q324" s="842">
        <f t="shared" si="309"/>
        <v>1330.5829808905692</v>
      </c>
    </row>
    <row r="325" spans="1:17">
      <c r="A325" s="481">
        <v>44</v>
      </c>
      <c r="B325" s="840">
        <f t="shared" ref="B325:Q325" si="310">B111+B218</f>
        <v>1028.5307782296704</v>
      </c>
      <c r="C325" s="841">
        <f t="shared" si="310"/>
        <v>1078.4207320222552</v>
      </c>
      <c r="D325" s="841">
        <f t="shared" si="310"/>
        <v>1127.7650714713905</v>
      </c>
      <c r="E325" s="841">
        <f t="shared" si="310"/>
        <v>1174.4621608673247</v>
      </c>
      <c r="F325" s="841">
        <f t="shared" si="310"/>
        <v>1215.827</v>
      </c>
      <c r="G325" s="841">
        <f t="shared" si="310"/>
        <v>1249.9752093641696</v>
      </c>
      <c r="H325" s="840">
        <f t="shared" si="310"/>
        <v>1276.0107725266344</v>
      </c>
      <c r="I325" s="841">
        <f t="shared" si="310"/>
        <v>1294.4928620857445</v>
      </c>
      <c r="J325" s="841">
        <f t="shared" si="310"/>
        <v>1306.8370106736804</v>
      </c>
      <c r="K325" s="841">
        <f t="shared" si="310"/>
        <v>1315.2355385922415</v>
      </c>
      <c r="L325" s="841">
        <f t="shared" si="310"/>
        <v>1321.3506492829165</v>
      </c>
      <c r="M325" s="841">
        <f t="shared" si="310"/>
        <v>1326.2394357087651</v>
      </c>
      <c r="N325" s="841">
        <f t="shared" si="310"/>
        <v>1329.7441682300964</v>
      </c>
      <c r="O325" s="841">
        <f t="shared" si="310"/>
        <v>1330.9572473415956</v>
      </c>
      <c r="P325" s="841">
        <f t="shared" si="310"/>
        <v>1328.4146675638626</v>
      </c>
      <c r="Q325" s="842">
        <f t="shared" si="310"/>
        <v>1321.4917434977615</v>
      </c>
    </row>
    <row r="326" spans="1:17">
      <c r="A326" s="481">
        <v>45</v>
      </c>
      <c r="B326" s="840">
        <f t="shared" ref="B326:Q326" si="311">B112+B219</f>
        <v>1108.7432985936962</v>
      </c>
      <c r="C326" s="841">
        <f t="shared" si="311"/>
        <v>1168.2734713285311</v>
      </c>
      <c r="D326" s="841">
        <f t="shared" si="311"/>
        <v>1228.560434527305</v>
      </c>
      <c r="E326" s="841">
        <f t="shared" si="311"/>
        <v>1286.5837933747953</v>
      </c>
      <c r="F326" s="841">
        <f t="shared" si="311"/>
        <v>1338.394</v>
      </c>
      <c r="G326" s="841">
        <f t="shared" si="311"/>
        <v>1381.210967675549</v>
      </c>
      <c r="H326" s="840">
        <f t="shared" si="311"/>
        <v>1413.7500612424765</v>
      </c>
      <c r="I326" s="841">
        <f t="shared" si="311"/>
        <v>1436.8540582140724</v>
      </c>
      <c r="J326" s="841">
        <f t="shared" si="311"/>
        <v>1452.5259303956407</v>
      </c>
      <c r="K326" s="841">
        <f t="shared" si="311"/>
        <v>1463.8550718074489</v>
      </c>
      <c r="L326" s="841">
        <f t="shared" si="311"/>
        <v>1473.1583432078999</v>
      </c>
      <c r="M326" s="841">
        <f t="shared" si="311"/>
        <v>1481.5090693408401</v>
      </c>
      <c r="N326" s="841">
        <f t="shared" si="311"/>
        <v>1488.4740080028387</v>
      </c>
      <c r="O326" s="841">
        <f t="shared" si="311"/>
        <v>1493.1292909732972</v>
      </c>
      <c r="P326" s="841">
        <f t="shared" si="311"/>
        <v>1493.9300469657185</v>
      </c>
      <c r="Q326" s="842">
        <f t="shared" si="311"/>
        <v>1490.1103183586501</v>
      </c>
    </row>
    <row r="327" spans="1:17">
      <c r="A327" s="481">
        <v>46</v>
      </c>
      <c r="B327" s="840">
        <f t="shared" ref="B327:Q327" si="312">B113+B220</f>
        <v>1016.4950228584056</v>
      </c>
      <c r="C327" s="841">
        <f t="shared" si="312"/>
        <v>1077.3000486846595</v>
      </c>
      <c r="D327" s="841">
        <f t="shared" si="312"/>
        <v>1140.1654277192451</v>
      </c>
      <c r="E327" s="841">
        <f t="shared" si="312"/>
        <v>1201.5000096712915</v>
      </c>
      <c r="F327" s="841">
        <f t="shared" si="312"/>
        <v>1256.5509999999999</v>
      </c>
      <c r="G327" s="841">
        <f t="shared" si="312"/>
        <v>1301.9665617086603</v>
      </c>
      <c r="H327" s="840">
        <f t="shared" si="312"/>
        <v>1336.1990111694424</v>
      </c>
      <c r="I327" s="841">
        <f t="shared" si="312"/>
        <v>1360.2940664792636</v>
      </c>
      <c r="J327" s="841">
        <f t="shared" si="312"/>
        <v>1376.7346845968027</v>
      </c>
      <c r="K327" s="841">
        <f t="shared" si="312"/>
        <v>1389.3268523083486</v>
      </c>
      <c r="L327" s="841">
        <f t="shared" si="312"/>
        <v>1400.8675151266482</v>
      </c>
      <c r="M327" s="841">
        <f t="shared" si="312"/>
        <v>1412.3600323669148</v>
      </c>
      <c r="N327" s="841">
        <f t="shared" si="312"/>
        <v>1423.0501116197534</v>
      </c>
      <c r="O327" s="841">
        <f t="shared" si="312"/>
        <v>1431.9489161856491</v>
      </c>
      <c r="P327" s="841">
        <f t="shared" si="312"/>
        <v>1437.3965592133204</v>
      </c>
      <c r="Q327" s="842">
        <f t="shared" si="312"/>
        <v>1438.3948159297472</v>
      </c>
    </row>
    <row r="328" spans="1:17">
      <c r="A328" s="481">
        <v>47</v>
      </c>
      <c r="B328" s="840">
        <f t="shared" ref="B328:Q328" si="313">B114+B221</f>
        <v>866.81614449800077</v>
      </c>
      <c r="C328" s="841">
        <f t="shared" si="313"/>
        <v>923.4413123688114</v>
      </c>
      <c r="D328" s="841">
        <f t="shared" si="313"/>
        <v>982.49219451050089</v>
      </c>
      <c r="E328" s="841">
        <f t="shared" si="313"/>
        <v>1040.5588534846713</v>
      </c>
      <c r="F328" s="841">
        <f t="shared" si="313"/>
        <v>1093.1170000000002</v>
      </c>
      <c r="G328" s="841">
        <f t="shared" si="313"/>
        <v>1136.9775497088638</v>
      </c>
      <c r="H328" s="840">
        <f t="shared" si="313"/>
        <v>1170.6438884135493</v>
      </c>
      <c r="I328" s="841">
        <f t="shared" si="313"/>
        <v>1195.0741070793226</v>
      </c>
      <c r="J328" s="841">
        <f t="shared" si="313"/>
        <v>1212.5821263066978</v>
      </c>
      <c r="K328" s="841">
        <f t="shared" si="313"/>
        <v>1226.7409471066467</v>
      </c>
      <c r="L328" s="841">
        <f t="shared" si="313"/>
        <v>1240.1539930608737</v>
      </c>
      <c r="M328" s="841">
        <f t="shared" si="313"/>
        <v>1253.5850329534437</v>
      </c>
      <c r="N328" s="841">
        <f t="shared" si="313"/>
        <v>1266.2408844947261</v>
      </c>
      <c r="O328" s="841">
        <f t="shared" si="313"/>
        <v>1277.3418340958651</v>
      </c>
      <c r="P328" s="841">
        <f t="shared" si="313"/>
        <v>1285.568825096271</v>
      </c>
      <c r="Q328" s="842">
        <f t="shared" si="313"/>
        <v>1290.0429073659616</v>
      </c>
    </row>
    <row r="329" spans="1:17">
      <c r="A329" s="481">
        <v>48</v>
      </c>
      <c r="B329" s="840">
        <f t="shared" ref="B329:Q329" si="314">B115+B222</f>
        <v>845.94647700140331</v>
      </c>
      <c r="C329" s="841">
        <f t="shared" si="314"/>
        <v>904.88678165924705</v>
      </c>
      <c r="D329" s="841">
        <f t="shared" si="314"/>
        <v>965.7180611565467</v>
      </c>
      <c r="E329" s="841">
        <f t="shared" si="314"/>
        <v>1025.4574901381197</v>
      </c>
      <c r="F329" s="841">
        <f t="shared" si="314"/>
        <v>1080.2559999999999</v>
      </c>
      <c r="G329" s="841">
        <f t="shared" si="314"/>
        <v>1127.3718641490518</v>
      </c>
      <c r="H329" s="840">
        <f t="shared" si="314"/>
        <v>1165.43969346105</v>
      </c>
      <c r="I329" s="841">
        <f t="shared" si="314"/>
        <v>1195.1272346585192</v>
      </c>
      <c r="J329" s="841">
        <f t="shared" si="314"/>
        <v>1218.2714095795754</v>
      </c>
      <c r="K329" s="841">
        <f t="shared" si="314"/>
        <v>1237.7711111914653</v>
      </c>
      <c r="L329" s="841">
        <f t="shared" si="314"/>
        <v>1255.7500129819207</v>
      </c>
      <c r="M329" s="841">
        <f t="shared" si="314"/>
        <v>1272.7371712695217</v>
      </c>
      <c r="N329" s="841">
        <f t="shared" si="314"/>
        <v>1288.0634674798225</v>
      </c>
      <c r="O329" s="841">
        <f t="shared" si="314"/>
        <v>1301.269176496563</v>
      </c>
      <c r="P329" s="841">
        <f t="shared" si="314"/>
        <v>1311.5182195206601</v>
      </c>
      <c r="Q329" s="842">
        <f t="shared" si="314"/>
        <v>1318.2544880264848</v>
      </c>
    </row>
    <row r="330" spans="1:17">
      <c r="A330" s="481">
        <v>49</v>
      </c>
      <c r="B330" s="840">
        <f t="shared" ref="B330:Q330" si="315">B116+B223</f>
        <v>990.53147116847072</v>
      </c>
      <c r="C330" s="841">
        <f t="shared" si="315"/>
        <v>1064.2429096161236</v>
      </c>
      <c r="D330" s="841">
        <f t="shared" si="315"/>
        <v>1138.905232133088</v>
      </c>
      <c r="E330" s="841">
        <f t="shared" si="315"/>
        <v>1211.8550113890483</v>
      </c>
      <c r="F330" s="841">
        <f t="shared" si="315"/>
        <v>1279.9000000000001</v>
      </c>
      <c r="G330" s="841">
        <f t="shared" si="315"/>
        <v>1340.7134020899803</v>
      </c>
      <c r="H330" s="840">
        <f t="shared" si="315"/>
        <v>1392.9609317900372</v>
      </c>
      <c r="I330" s="841">
        <f t="shared" si="315"/>
        <v>1436.8754875655782</v>
      </c>
      <c r="J330" s="841">
        <f t="shared" si="315"/>
        <v>1473.7027094507011</v>
      </c>
      <c r="K330" s="841">
        <f t="shared" si="315"/>
        <v>1505.5567773175881</v>
      </c>
      <c r="L330" s="841">
        <f t="shared" si="315"/>
        <v>1534.0141773449177</v>
      </c>
      <c r="M330" s="841">
        <f t="shared" si="315"/>
        <v>1559.3562174530321</v>
      </c>
      <c r="N330" s="841">
        <f t="shared" si="315"/>
        <v>1581.1047586275479</v>
      </c>
      <c r="O330" s="841">
        <f t="shared" si="315"/>
        <v>1599.2069788066301</v>
      </c>
      <c r="P330" s="841">
        <f t="shared" si="315"/>
        <v>1613.4675898242904</v>
      </c>
      <c r="Q330" s="842">
        <f t="shared" si="315"/>
        <v>1623.7968939291118</v>
      </c>
    </row>
    <row r="331" spans="1:17">
      <c r="A331" s="481">
        <v>50</v>
      </c>
      <c r="B331" s="840">
        <f t="shared" ref="B331:Q331" si="316">B117+B224</f>
        <v>829.31044442424513</v>
      </c>
      <c r="C331" s="841">
        <f t="shared" si="316"/>
        <v>894.42752978406418</v>
      </c>
      <c r="D331" s="841">
        <f t="shared" si="316"/>
        <v>959.20807207033397</v>
      </c>
      <c r="E331" s="841">
        <f t="shared" si="316"/>
        <v>1022.2131601265371</v>
      </c>
      <c r="F331" s="841">
        <f t="shared" si="316"/>
        <v>1081.9839999999999</v>
      </c>
      <c r="G331" s="841">
        <f t="shared" si="316"/>
        <v>1137.3899483624396</v>
      </c>
      <c r="H331" s="840">
        <f t="shared" si="316"/>
        <v>1187.5833755688675</v>
      </c>
      <c r="I331" s="841">
        <f t="shared" si="316"/>
        <v>1232.271568113053</v>
      </c>
      <c r="J331" s="841">
        <f t="shared" si="316"/>
        <v>1271.659841317485</v>
      </c>
      <c r="K331" s="841">
        <f t="shared" si="316"/>
        <v>1306.3314518458471</v>
      </c>
      <c r="L331" s="841">
        <f t="shared" si="316"/>
        <v>1336.7629845025313</v>
      </c>
      <c r="M331" s="841">
        <f t="shared" si="316"/>
        <v>1362.8599118707564</v>
      </c>
      <c r="N331" s="841">
        <f t="shared" si="316"/>
        <v>1384.4965159095195</v>
      </c>
      <c r="O331" s="841">
        <f t="shared" si="316"/>
        <v>1402.1498107000377</v>
      </c>
      <c r="P331" s="841">
        <f t="shared" si="316"/>
        <v>1416.4476555543479</v>
      </c>
      <c r="Q331" s="842">
        <f t="shared" si="316"/>
        <v>1427.8885773500058</v>
      </c>
    </row>
    <row r="332" spans="1:17">
      <c r="A332" s="481">
        <v>51</v>
      </c>
      <c r="B332" s="840">
        <f t="shared" ref="B332:Q332" si="317">B118+B225</f>
        <v>783.45118832351352</v>
      </c>
      <c r="C332" s="841">
        <f t="shared" si="317"/>
        <v>848.13737499688602</v>
      </c>
      <c r="D332" s="841">
        <f t="shared" si="317"/>
        <v>911.01530726655608</v>
      </c>
      <c r="E332" s="841">
        <f t="shared" si="317"/>
        <v>971.67936035945149</v>
      </c>
      <c r="F332" s="841">
        <f t="shared" si="317"/>
        <v>1030.241</v>
      </c>
      <c r="G332" s="841">
        <f t="shared" si="317"/>
        <v>1086.6463943145759</v>
      </c>
      <c r="H332" s="840">
        <f t="shared" si="317"/>
        <v>1140.4229927141207</v>
      </c>
      <c r="I332" s="841">
        <f t="shared" si="317"/>
        <v>1190.7305111279377</v>
      </c>
      <c r="J332" s="841">
        <f t="shared" si="317"/>
        <v>1236.8255551313659</v>
      </c>
      <c r="K332" s="841">
        <f t="shared" si="317"/>
        <v>1277.9094507223379</v>
      </c>
      <c r="L332" s="841">
        <f t="shared" si="317"/>
        <v>1313.4731632949643</v>
      </c>
      <c r="M332" s="841">
        <f t="shared" si="317"/>
        <v>1343.0372889701143</v>
      </c>
      <c r="N332" s="841">
        <f t="shared" si="317"/>
        <v>1366.8267212222072</v>
      </c>
      <c r="O332" s="841">
        <f t="shared" si="317"/>
        <v>1385.9284492570455</v>
      </c>
      <c r="P332" s="841">
        <f t="shared" si="317"/>
        <v>1401.9128688511259</v>
      </c>
      <c r="Q332" s="842">
        <f t="shared" si="317"/>
        <v>1415.9304788787654</v>
      </c>
    </row>
    <row r="333" spans="1:17">
      <c r="A333" s="481">
        <v>52</v>
      </c>
      <c r="B333" s="840">
        <f t="shared" ref="B333:Q333" si="318">B119+B226</f>
        <v>743.10488472898146</v>
      </c>
      <c r="C333" s="841">
        <f t="shared" si="318"/>
        <v>806.57993060064655</v>
      </c>
      <c r="D333" s="841">
        <f t="shared" si="318"/>
        <v>867.62768593949454</v>
      </c>
      <c r="E333" s="841">
        <f t="shared" si="318"/>
        <v>926.73472742044919</v>
      </c>
      <c r="F333" s="841">
        <f t="shared" si="318"/>
        <v>985.27499999999998</v>
      </c>
      <c r="G333" s="841">
        <f t="shared" si="318"/>
        <v>1044.0351989583614</v>
      </c>
      <c r="H333" s="840">
        <f t="shared" si="318"/>
        <v>1102.9122578230986</v>
      </c>
      <c r="I333" s="841">
        <f t="shared" si="318"/>
        <v>1160.5850279006363</v>
      </c>
      <c r="J333" s="841">
        <f t="shared" si="318"/>
        <v>1215.2453849505855</v>
      </c>
      <c r="K333" s="841">
        <f t="shared" si="318"/>
        <v>1264.5863616232155</v>
      </c>
      <c r="L333" s="841">
        <f t="shared" si="318"/>
        <v>1307.0210831230547</v>
      </c>
      <c r="M333" s="841">
        <f t="shared" si="318"/>
        <v>1341.6582879548241</v>
      </c>
      <c r="N333" s="841">
        <f t="shared" si="318"/>
        <v>1369.044205157699</v>
      </c>
      <c r="O333" s="841">
        <f t="shared" si="318"/>
        <v>1390.837099075402</v>
      </c>
      <c r="P333" s="841">
        <f t="shared" si="318"/>
        <v>1409.505509085222</v>
      </c>
      <c r="Q333" s="842">
        <f t="shared" si="318"/>
        <v>1426.8387664964939</v>
      </c>
    </row>
    <row r="334" spans="1:17">
      <c r="A334" s="481">
        <v>53</v>
      </c>
      <c r="B334" s="840">
        <f t="shared" ref="B334:Q334" si="319">B120+B227</f>
        <v>644.57622508152122</v>
      </c>
      <c r="C334" s="841">
        <f t="shared" si="319"/>
        <v>700.88411429862003</v>
      </c>
      <c r="D334" s="841">
        <f t="shared" si="319"/>
        <v>757.19097305151399</v>
      </c>
      <c r="E334" s="841">
        <f t="shared" si="319"/>
        <v>813.3321268774514</v>
      </c>
      <c r="F334" s="841">
        <f t="shared" si="319"/>
        <v>869.61799999999994</v>
      </c>
      <c r="G334" s="841">
        <f t="shared" si="319"/>
        <v>926.06842012333504</v>
      </c>
      <c r="H334" s="840">
        <f t="shared" si="319"/>
        <v>982.3763212245899</v>
      </c>
      <c r="I334" s="841">
        <f t="shared" si="319"/>
        <v>1037.5518278737131</v>
      </c>
      <c r="J334" s="841">
        <f t="shared" si="319"/>
        <v>1090.1937469740856</v>
      </c>
      <c r="K334" s="841">
        <f t="shared" si="319"/>
        <v>1138.5987258104274</v>
      </c>
      <c r="L334" s="841">
        <f t="shared" si="319"/>
        <v>1181.5672468424459</v>
      </c>
      <c r="M334" s="841">
        <f t="shared" si="319"/>
        <v>1218.363416861363</v>
      </c>
      <c r="N334" s="841">
        <f t="shared" si="319"/>
        <v>1249.2461591535869</v>
      </c>
      <c r="O334" s="841">
        <f t="shared" si="319"/>
        <v>1275.2621624531764</v>
      </c>
      <c r="P334" s="841">
        <f t="shared" si="319"/>
        <v>1298.0376404698095</v>
      </c>
      <c r="Q334" s="842">
        <f t="shared" si="319"/>
        <v>1318.7477858244979</v>
      </c>
    </row>
    <row r="335" spans="1:17">
      <c r="A335" s="481">
        <v>54</v>
      </c>
      <c r="B335" s="840">
        <f t="shared" ref="B335:Q335" si="320">B121+B228</f>
        <v>643.3416214852391</v>
      </c>
      <c r="C335" s="841">
        <f t="shared" si="320"/>
        <v>699.87230205376557</v>
      </c>
      <c r="D335" s="841">
        <f t="shared" si="320"/>
        <v>760.04102274406068</v>
      </c>
      <c r="E335" s="841">
        <f t="shared" si="320"/>
        <v>822.57053020941203</v>
      </c>
      <c r="F335" s="841">
        <f t="shared" si="320"/>
        <v>886.02600000000007</v>
      </c>
      <c r="G335" s="841">
        <f t="shared" si="320"/>
        <v>949.1619206566163</v>
      </c>
      <c r="H335" s="840">
        <f t="shared" si="320"/>
        <v>1011.266103165432</v>
      </c>
      <c r="I335" s="841">
        <f t="shared" si="320"/>
        <v>1071.7504992857555</v>
      </c>
      <c r="J335" s="841">
        <f t="shared" si="320"/>
        <v>1129.7010060704451</v>
      </c>
      <c r="K335" s="841">
        <f t="shared" si="320"/>
        <v>1184.1977368565726</v>
      </c>
      <c r="L335" s="841">
        <f t="shared" si="320"/>
        <v>1234.5351429102566</v>
      </c>
      <c r="M335" s="841">
        <f t="shared" si="320"/>
        <v>1280.1493954750742</v>
      </c>
      <c r="N335" s="841">
        <f t="shared" si="320"/>
        <v>1320.8785973022175</v>
      </c>
      <c r="O335" s="841">
        <f t="shared" si="320"/>
        <v>1356.9689438606788</v>
      </c>
      <c r="P335" s="841">
        <f t="shared" si="320"/>
        <v>1388.9426839639955</v>
      </c>
      <c r="Q335" s="842">
        <f t="shared" si="320"/>
        <v>1417.2028907021174</v>
      </c>
    </row>
    <row r="336" spans="1:17">
      <c r="A336" s="481">
        <v>55</v>
      </c>
      <c r="B336" s="840">
        <f t="shared" ref="B336:Q336" si="321">B122+B229</f>
        <v>613.47863849745318</v>
      </c>
      <c r="C336" s="841">
        <f t="shared" si="321"/>
        <v>667.19060595620158</v>
      </c>
      <c r="D336" s="841">
        <f t="shared" si="321"/>
        <v>728.48201096281241</v>
      </c>
      <c r="E336" s="841">
        <f t="shared" si="321"/>
        <v>794.80846570857261</v>
      </c>
      <c r="F336" s="841">
        <f t="shared" si="321"/>
        <v>862.73599999999999</v>
      </c>
      <c r="G336" s="841">
        <f t="shared" si="321"/>
        <v>929.58764945828909</v>
      </c>
      <c r="H336" s="840">
        <f t="shared" si="321"/>
        <v>994.21161207330897</v>
      </c>
      <c r="I336" s="841">
        <f t="shared" si="321"/>
        <v>1056.5509090119012</v>
      </c>
      <c r="J336" s="841">
        <f t="shared" si="321"/>
        <v>1116.3443392269819</v>
      </c>
      <c r="K336" s="841">
        <f t="shared" si="321"/>
        <v>1173.6957754437922</v>
      </c>
      <c r="L336" s="841">
        <f t="shared" si="321"/>
        <v>1228.5729841791617</v>
      </c>
      <c r="M336" s="841">
        <f t="shared" si="321"/>
        <v>1280.64507297004</v>
      </c>
      <c r="N336" s="841">
        <f t="shared" si="321"/>
        <v>1329.2958991580608</v>
      </c>
      <c r="O336" s="841">
        <f t="shared" si="321"/>
        <v>1373.9213621902645</v>
      </c>
      <c r="P336" s="841">
        <f t="shared" si="321"/>
        <v>1413.8622318379607</v>
      </c>
      <c r="Q336" s="842">
        <f t="shared" si="321"/>
        <v>1448.6843898389254</v>
      </c>
    </row>
    <row r="337" spans="1:17">
      <c r="A337" s="481">
        <v>56</v>
      </c>
      <c r="B337" s="840">
        <f t="shared" ref="B337:Q337" si="322">B123+B230</f>
        <v>457.55020444271344</v>
      </c>
      <c r="C337" s="841">
        <f t="shared" si="322"/>
        <v>497.23536312558508</v>
      </c>
      <c r="D337" s="841">
        <f t="shared" si="322"/>
        <v>546.61823978713801</v>
      </c>
      <c r="E337" s="841">
        <f t="shared" si="322"/>
        <v>602.45813870405323</v>
      </c>
      <c r="F337" s="841">
        <f t="shared" si="322"/>
        <v>660.11400000000003</v>
      </c>
      <c r="G337" s="841">
        <f t="shared" si="322"/>
        <v>716.07383932501034</v>
      </c>
      <c r="H337" s="840">
        <f t="shared" si="322"/>
        <v>769.02999025884776</v>
      </c>
      <c r="I337" s="841">
        <f t="shared" si="322"/>
        <v>819.44615876625562</v>
      </c>
      <c r="J337" s="841">
        <f t="shared" si="322"/>
        <v>867.71443544347312</v>
      </c>
      <c r="K337" s="841">
        <f t="shared" si="322"/>
        <v>914.85167722892459</v>
      </c>
      <c r="L337" s="841">
        <f t="shared" si="322"/>
        <v>961.46408128631879</v>
      </c>
      <c r="M337" s="841">
        <f t="shared" si="322"/>
        <v>1007.4994412407841</v>
      </c>
      <c r="N337" s="841">
        <f t="shared" si="322"/>
        <v>1052.0692449732319</v>
      </c>
      <c r="O337" s="841">
        <f t="shared" si="322"/>
        <v>1094.0159876228545</v>
      </c>
      <c r="P337" s="841">
        <f t="shared" si="322"/>
        <v>1131.8451495267514</v>
      </c>
      <c r="Q337" s="842">
        <f t="shared" si="322"/>
        <v>1164.5280873933611</v>
      </c>
    </row>
    <row r="338" spans="1:17">
      <c r="A338" s="481">
        <v>57</v>
      </c>
      <c r="B338" s="840">
        <f t="shared" ref="B338:Q338" si="323">B124+B231</f>
        <v>480.61342752999059</v>
      </c>
      <c r="C338" s="841">
        <f t="shared" si="323"/>
        <v>519.82416045861351</v>
      </c>
      <c r="D338" s="841">
        <f t="shared" si="323"/>
        <v>571.56921651900211</v>
      </c>
      <c r="E338" s="841">
        <f t="shared" si="323"/>
        <v>631.95399736721049</v>
      </c>
      <c r="F338" s="841">
        <f t="shared" si="323"/>
        <v>695.25400000000002</v>
      </c>
      <c r="G338" s="841">
        <f t="shared" si="323"/>
        <v>757.16968760265081</v>
      </c>
      <c r="H338" s="840">
        <f t="shared" si="323"/>
        <v>816.14902746672021</v>
      </c>
      <c r="I338" s="841">
        <f t="shared" si="323"/>
        <v>872.90824603861449</v>
      </c>
      <c r="J338" s="841">
        <f t="shared" si="323"/>
        <v>928.07146568851988</v>
      </c>
      <c r="K338" s="841">
        <f t="shared" si="323"/>
        <v>983.04835990413903</v>
      </c>
      <c r="L338" s="841">
        <f t="shared" si="323"/>
        <v>1038.6609538185676</v>
      </c>
      <c r="M338" s="841">
        <f t="shared" si="323"/>
        <v>1094.9465247407079</v>
      </c>
      <c r="N338" s="841">
        <f t="shared" si="323"/>
        <v>1150.702334382273</v>
      </c>
      <c r="O338" s="841">
        <f t="shared" si="323"/>
        <v>1204.0778262613458</v>
      </c>
      <c r="P338" s="841">
        <f t="shared" si="323"/>
        <v>1252.6655880527533</v>
      </c>
      <c r="Q338" s="842">
        <f t="shared" si="323"/>
        <v>1294.7795079552104</v>
      </c>
    </row>
    <row r="339" spans="1:17">
      <c r="A339" s="481">
        <v>58</v>
      </c>
      <c r="B339" s="840">
        <f t="shared" ref="B339:Q339" si="324">B125+B232</f>
        <v>473.98356106214845</v>
      </c>
      <c r="C339" s="841">
        <f t="shared" si="324"/>
        <v>506.36723023328091</v>
      </c>
      <c r="D339" s="841">
        <f t="shared" si="324"/>
        <v>549.3066730119242</v>
      </c>
      <c r="E339" s="841">
        <f t="shared" si="324"/>
        <v>600.3136213818525</v>
      </c>
      <c r="F339" s="841">
        <f t="shared" si="324"/>
        <v>655.63900000000001</v>
      </c>
      <c r="G339" s="841">
        <f t="shared" si="324"/>
        <v>712.36932847018352</v>
      </c>
      <c r="H339" s="840">
        <f t="shared" si="324"/>
        <v>769.51256727878604</v>
      </c>
      <c r="I339" s="841">
        <f t="shared" si="324"/>
        <v>827.3156936593798</v>
      </c>
      <c r="J339" s="841">
        <f t="shared" si="324"/>
        <v>885.55054697562127</v>
      </c>
      <c r="K339" s="841">
        <f t="shared" si="324"/>
        <v>944.30347765284307</v>
      </c>
      <c r="L339" s="841">
        <f t="shared" si="324"/>
        <v>1003.4239418870319</v>
      </c>
      <c r="M339" s="841">
        <f t="shared" si="324"/>
        <v>1062.6572203029868</v>
      </c>
      <c r="N339" s="841">
        <f t="shared" si="324"/>
        <v>1121.0969268478766</v>
      </c>
      <c r="O339" s="841">
        <f t="shared" si="324"/>
        <v>1177.2038959645374</v>
      </c>
      <c r="P339" s="841">
        <f t="shared" si="324"/>
        <v>1229.090320585156</v>
      </c>
      <c r="Q339" s="842">
        <f t="shared" si="324"/>
        <v>1275.4057964581564</v>
      </c>
    </row>
    <row r="340" spans="1:17">
      <c r="A340" s="481">
        <v>59</v>
      </c>
      <c r="B340" s="840">
        <f t="shared" ref="B340:Q340" si="325">B126+B233</f>
        <v>480.80465139077262</v>
      </c>
      <c r="C340" s="841">
        <f t="shared" si="325"/>
        <v>505.70984162949446</v>
      </c>
      <c r="D340" s="841">
        <f t="shared" si="325"/>
        <v>536.64504095429766</v>
      </c>
      <c r="E340" s="841">
        <f t="shared" si="325"/>
        <v>573.63185806867273</v>
      </c>
      <c r="F340" s="841">
        <f t="shared" si="325"/>
        <v>616.51300000000003</v>
      </c>
      <c r="G340" s="841">
        <f t="shared" si="325"/>
        <v>664.95958330180065</v>
      </c>
      <c r="H340" s="840">
        <f t="shared" si="325"/>
        <v>718.8650660964372</v>
      </c>
      <c r="I340" s="841">
        <f t="shared" si="325"/>
        <v>777.63008634217022</v>
      </c>
      <c r="J340" s="841">
        <f t="shared" si="325"/>
        <v>839.74332252673526</v>
      </c>
      <c r="K340" s="841">
        <f t="shared" si="325"/>
        <v>903.25806058490502</v>
      </c>
      <c r="L340" s="841">
        <f t="shared" si="325"/>
        <v>966.54892139812159</v>
      </c>
      <c r="M340" s="841">
        <f t="shared" si="325"/>
        <v>1028.9439518150637</v>
      </c>
      <c r="N340" s="841">
        <f t="shared" si="325"/>
        <v>1090.0345365675259</v>
      </c>
      <c r="O340" s="841">
        <f t="shared" si="325"/>
        <v>1148.8097417230174</v>
      </c>
      <c r="P340" s="841">
        <f t="shared" si="325"/>
        <v>1204.230370192799</v>
      </c>
      <c r="Q340" s="842">
        <f t="shared" si="325"/>
        <v>1255.5012879771066</v>
      </c>
    </row>
    <row r="341" spans="1:17">
      <c r="A341" s="481">
        <v>60</v>
      </c>
      <c r="B341" s="840">
        <f t="shared" ref="B341:Q341" si="326">B127+B234</f>
        <v>445.63685904354713</v>
      </c>
      <c r="C341" s="841">
        <f t="shared" si="326"/>
        <v>460.90843979865969</v>
      </c>
      <c r="D341" s="841">
        <f t="shared" si="326"/>
        <v>477.60888248865706</v>
      </c>
      <c r="E341" s="841">
        <f t="shared" si="326"/>
        <v>498.00970660506357</v>
      </c>
      <c r="F341" s="841">
        <f t="shared" si="326"/>
        <v>525.20600000000002</v>
      </c>
      <c r="G341" s="841">
        <f t="shared" si="326"/>
        <v>561.20466876610124</v>
      </c>
      <c r="H341" s="840">
        <f t="shared" si="326"/>
        <v>606.7449612023612</v>
      </c>
      <c r="I341" s="841">
        <f t="shared" si="326"/>
        <v>660.52215088769594</v>
      </c>
      <c r="J341" s="841">
        <f t="shared" si="326"/>
        <v>719.92232846305058</v>
      </c>
      <c r="K341" s="841">
        <f t="shared" si="326"/>
        <v>781.23743280565873</v>
      </c>
      <c r="L341" s="841">
        <f t="shared" si="326"/>
        <v>841.59589266383205</v>
      </c>
      <c r="M341" s="841">
        <f t="shared" si="326"/>
        <v>899.97198840976694</v>
      </c>
      <c r="N341" s="841">
        <f t="shared" si="326"/>
        <v>956.5029528399599</v>
      </c>
      <c r="O341" s="841">
        <f t="shared" si="326"/>
        <v>1010.864877473477</v>
      </c>
      <c r="P341" s="841">
        <f t="shared" si="326"/>
        <v>1063.0439183807262</v>
      </c>
      <c r="Q341" s="842">
        <f t="shared" si="326"/>
        <v>1112.940317091133</v>
      </c>
    </row>
    <row r="342" spans="1:17">
      <c r="A342" s="481">
        <v>61</v>
      </c>
      <c r="B342" s="840">
        <f t="shared" ref="B342:Q342" si="327">B128+B235</f>
        <v>458.14170354937892</v>
      </c>
      <c r="C342" s="841">
        <f t="shared" si="327"/>
        <v>465.38402510798113</v>
      </c>
      <c r="D342" s="841">
        <f t="shared" si="327"/>
        <v>469.2510902155708</v>
      </c>
      <c r="E342" s="841">
        <f t="shared" si="327"/>
        <v>474.66860969070933</v>
      </c>
      <c r="F342" s="841">
        <f t="shared" si="327"/>
        <v>488.51799999999997</v>
      </c>
      <c r="G342" s="841">
        <f t="shared" si="327"/>
        <v>515.51491136800166</v>
      </c>
      <c r="H342" s="840">
        <f t="shared" si="327"/>
        <v>557.38282373914262</v>
      </c>
      <c r="I342" s="841">
        <f t="shared" si="327"/>
        <v>611.89777857052536</v>
      </c>
      <c r="J342" s="841">
        <f t="shared" si="327"/>
        <v>674.96664555582674</v>
      </c>
      <c r="K342" s="841">
        <f t="shared" si="327"/>
        <v>740.56368783955554</v>
      </c>
      <c r="L342" s="841">
        <f t="shared" si="327"/>
        <v>804.14993490983159</v>
      </c>
      <c r="M342" s="841">
        <f t="shared" si="327"/>
        <v>864.21238429693176</v>
      </c>
      <c r="N342" s="841">
        <f t="shared" si="327"/>
        <v>921.49538350344289</v>
      </c>
      <c r="O342" s="841">
        <f t="shared" si="327"/>
        <v>976.39472246707248</v>
      </c>
      <c r="P342" s="841">
        <f t="shared" si="327"/>
        <v>1030.0429295047841</v>
      </c>
      <c r="Q342" s="842">
        <f t="shared" si="327"/>
        <v>1083.10151460474</v>
      </c>
    </row>
    <row r="343" spans="1:17">
      <c r="A343" s="481">
        <v>62</v>
      </c>
      <c r="B343" s="840">
        <f t="shared" ref="B343:Q343" si="328">B129+B236</f>
        <v>490.28440899792588</v>
      </c>
      <c r="C343" s="841">
        <f t="shared" si="328"/>
        <v>491.96699830835803</v>
      </c>
      <c r="D343" s="841">
        <f t="shared" si="328"/>
        <v>487.29267675684082</v>
      </c>
      <c r="E343" s="841">
        <f t="shared" si="328"/>
        <v>482.85415401133264</v>
      </c>
      <c r="F343" s="841">
        <f t="shared" si="328"/>
        <v>487.92500000000001</v>
      </c>
      <c r="G343" s="841">
        <f t="shared" si="328"/>
        <v>508.93729472895507</v>
      </c>
      <c r="H343" s="840">
        <f t="shared" si="328"/>
        <v>548.2227123268699</v>
      </c>
      <c r="I343" s="841">
        <f t="shared" si="328"/>
        <v>603.07190754573503</v>
      </c>
      <c r="J343" s="841">
        <f t="shared" si="328"/>
        <v>668.67458547341403</v>
      </c>
      <c r="K343" s="841">
        <f t="shared" si="328"/>
        <v>737.84324855921545</v>
      </c>
      <c r="L343" s="841">
        <f t="shared" si="328"/>
        <v>805.18861350907241</v>
      </c>
      <c r="M343" s="841">
        <f t="shared" si="328"/>
        <v>868.92847049476563</v>
      </c>
      <c r="N343" s="841">
        <f t="shared" si="328"/>
        <v>930.120615622076</v>
      </c>
      <c r="O343" s="841">
        <f t="shared" si="328"/>
        <v>989.55202941784819</v>
      </c>
      <c r="P343" s="841">
        <f t="shared" si="328"/>
        <v>1048.9560664176752</v>
      </c>
      <c r="Q343" s="842">
        <f t="shared" si="328"/>
        <v>1109.3579524233469</v>
      </c>
    </row>
    <row r="344" spans="1:17">
      <c r="A344" s="481">
        <v>63</v>
      </c>
      <c r="B344" s="840">
        <f t="shared" ref="B344:Q344" si="329">B130+B237</f>
        <v>361.98779827344526</v>
      </c>
      <c r="C344" s="841">
        <f t="shared" si="329"/>
        <v>361.82755655615506</v>
      </c>
      <c r="D344" s="841">
        <f t="shared" si="329"/>
        <v>357.63620774311755</v>
      </c>
      <c r="E344" s="841">
        <f t="shared" si="329"/>
        <v>353.61521748321422</v>
      </c>
      <c r="F344" s="841">
        <f t="shared" si="329"/>
        <v>355.65</v>
      </c>
      <c r="G344" s="841">
        <f t="shared" si="329"/>
        <v>367.87875126172895</v>
      </c>
      <c r="H344" s="840">
        <f t="shared" si="329"/>
        <v>391.72381562060525</v>
      </c>
      <c r="I344" s="841">
        <f t="shared" si="329"/>
        <v>425.63027977618015</v>
      </c>
      <c r="J344" s="841">
        <f t="shared" si="329"/>
        <v>467.07720868919353</v>
      </c>
      <c r="K344" s="841">
        <f t="shared" si="329"/>
        <v>512.18463388725718</v>
      </c>
      <c r="L344" s="841">
        <f t="shared" si="329"/>
        <v>557.99577735786079</v>
      </c>
      <c r="M344" s="841">
        <f t="shared" si="329"/>
        <v>603.58073582309294</v>
      </c>
      <c r="N344" s="841">
        <f t="shared" si="329"/>
        <v>649.39297878457739</v>
      </c>
      <c r="O344" s="841">
        <f t="shared" si="329"/>
        <v>695.444163103699</v>
      </c>
      <c r="P344" s="841">
        <f t="shared" si="329"/>
        <v>742.11872986101889</v>
      </c>
      <c r="Q344" s="842">
        <f t="shared" si="329"/>
        <v>789.51044612021849</v>
      </c>
    </row>
    <row r="345" spans="1:17">
      <c r="A345" s="481">
        <v>64</v>
      </c>
      <c r="B345" s="840">
        <f t="shared" ref="B345:Q345" si="330">B131+B238</f>
        <v>354.88677896834304</v>
      </c>
      <c r="C345" s="841">
        <f t="shared" si="330"/>
        <v>355.48011349115848</v>
      </c>
      <c r="D345" s="841">
        <f t="shared" si="330"/>
        <v>354.69909102008648</v>
      </c>
      <c r="E345" s="841">
        <f t="shared" si="330"/>
        <v>354.88009677830433</v>
      </c>
      <c r="F345" s="841">
        <f t="shared" si="330"/>
        <v>359.21100000000001</v>
      </c>
      <c r="G345" s="841">
        <f t="shared" si="330"/>
        <v>369.99845795243596</v>
      </c>
      <c r="H345" s="840">
        <f t="shared" si="330"/>
        <v>387.92100579324597</v>
      </c>
      <c r="I345" s="841">
        <f t="shared" si="330"/>
        <v>412.37068537096121</v>
      </c>
      <c r="J345" s="841">
        <f t="shared" si="330"/>
        <v>442.76336071577646</v>
      </c>
      <c r="K345" s="841">
        <f t="shared" si="330"/>
        <v>478.008674049322</v>
      </c>
      <c r="L345" s="841">
        <f t="shared" si="330"/>
        <v>517.14661142077011</v>
      </c>
      <c r="M345" s="841">
        <f t="shared" si="330"/>
        <v>559.94269904560133</v>
      </c>
      <c r="N345" s="841">
        <f t="shared" si="330"/>
        <v>606.19362653538724</v>
      </c>
      <c r="O345" s="841">
        <f t="shared" si="330"/>
        <v>654.9254313634375</v>
      </c>
      <c r="P345" s="841">
        <f t="shared" si="330"/>
        <v>704.95864457806204</v>
      </c>
      <c r="Q345" s="842">
        <f t="shared" si="330"/>
        <v>755.26297073043929</v>
      </c>
    </row>
    <row r="346" spans="1:17">
      <c r="A346" s="481">
        <v>65</v>
      </c>
      <c r="B346" s="840">
        <f t="shared" ref="B346:Q346" si="331">B132+B239</f>
        <v>384.3212722319862</v>
      </c>
      <c r="C346" s="841">
        <f t="shared" si="331"/>
        <v>386.16008441341563</v>
      </c>
      <c r="D346" s="841">
        <f t="shared" si="331"/>
        <v>388.95070867865809</v>
      </c>
      <c r="E346" s="841">
        <f t="shared" si="331"/>
        <v>393.29622807069961</v>
      </c>
      <c r="F346" s="841">
        <f t="shared" si="331"/>
        <v>399.88800000000003</v>
      </c>
      <c r="G346" s="841">
        <f t="shared" si="331"/>
        <v>409.37424165543922</v>
      </c>
      <c r="H346" s="840">
        <f t="shared" si="331"/>
        <v>421.66858793365185</v>
      </c>
      <c r="I346" s="841">
        <f t="shared" si="331"/>
        <v>437.1070312258588</v>
      </c>
      <c r="J346" s="841">
        <f t="shared" si="331"/>
        <v>457.21115274475397</v>
      </c>
      <c r="K346" s="841">
        <f t="shared" si="331"/>
        <v>483.89374716949214</v>
      </c>
      <c r="L346" s="841">
        <f t="shared" si="331"/>
        <v>518.31566994832679</v>
      </c>
      <c r="M346" s="841">
        <f t="shared" si="331"/>
        <v>561.03435802665604</v>
      </c>
      <c r="N346" s="841">
        <f t="shared" si="331"/>
        <v>611.09557492391309</v>
      </c>
      <c r="O346" s="841">
        <f t="shared" si="331"/>
        <v>666.19585045249278</v>
      </c>
      <c r="P346" s="841">
        <f t="shared" si="331"/>
        <v>723.12334007326808</v>
      </c>
      <c r="Q346" s="842">
        <f t="shared" si="331"/>
        <v>779.3745563713112</v>
      </c>
    </row>
    <row r="347" spans="1:17">
      <c r="A347" s="481">
        <v>66</v>
      </c>
      <c r="B347" s="840">
        <f t="shared" ref="B347:Q347" si="332">B133+B240</f>
        <v>298.14208136410718</v>
      </c>
      <c r="C347" s="841">
        <f t="shared" si="332"/>
        <v>300.37674986460183</v>
      </c>
      <c r="D347" s="841">
        <f t="shared" si="332"/>
        <v>305.71699820802939</v>
      </c>
      <c r="E347" s="841">
        <f t="shared" si="332"/>
        <v>312.92991011561026</v>
      </c>
      <c r="F347" s="841">
        <f t="shared" si="332"/>
        <v>320.08500000000004</v>
      </c>
      <c r="G347" s="841">
        <f t="shared" si="332"/>
        <v>326.02381172683391</v>
      </c>
      <c r="H347" s="840">
        <f t="shared" si="332"/>
        <v>329.97721035588432</v>
      </c>
      <c r="I347" s="841">
        <f t="shared" si="332"/>
        <v>333.09338872124636</v>
      </c>
      <c r="J347" s="841">
        <f t="shared" si="332"/>
        <v>338.40509376070139</v>
      </c>
      <c r="K347" s="841">
        <f t="shared" si="332"/>
        <v>350.04829378739043</v>
      </c>
      <c r="L347" s="841">
        <f t="shared" si="332"/>
        <v>370.81818186928979</v>
      </c>
      <c r="M347" s="841">
        <f t="shared" si="332"/>
        <v>401.84848188622954</v>
      </c>
      <c r="N347" s="841">
        <f t="shared" si="332"/>
        <v>441.75868448028979</v>
      </c>
      <c r="O347" s="841">
        <f t="shared" si="332"/>
        <v>487.72750119859666</v>
      </c>
      <c r="P347" s="841">
        <f t="shared" si="332"/>
        <v>535.63145252194226</v>
      </c>
      <c r="Q347" s="842">
        <f t="shared" si="332"/>
        <v>582.36337343113655</v>
      </c>
    </row>
    <row r="348" spans="1:17">
      <c r="A348" s="481">
        <v>67</v>
      </c>
      <c r="B348" s="840">
        <f t="shared" ref="B348:Q348" si="333">B134+B241</f>
        <v>334.99609143123109</v>
      </c>
      <c r="C348" s="841">
        <f t="shared" si="333"/>
        <v>339.03374042346974</v>
      </c>
      <c r="D348" s="841">
        <f t="shared" si="333"/>
        <v>347.9006542492242</v>
      </c>
      <c r="E348" s="841">
        <f t="shared" si="333"/>
        <v>358.95098244572347</v>
      </c>
      <c r="F348" s="841">
        <f t="shared" si="333"/>
        <v>368.24799999999999</v>
      </c>
      <c r="G348" s="841">
        <f t="shared" si="333"/>
        <v>373.29329202265944</v>
      </c>
      <c r="H348" s="840">
        <f t="shared" si="333"/>
        <v>372.72775545999821</v>
      </c>
      <c r="I348" s="841">
        <f t="shared" si="333"/>
        <v>368.46327329227324</v>
      </c>
      <c r="J348" s="841">
        <f t="shared" si="333"/>
        <v>365.18836225387207</v>
      </c>
      <c r="K348" s="841">
        <f t="shared" si="333"/>
        <v>369.4111939292153</v>
      </c>
      <c r="L348" s="841">
        <f t="shared" si="333"/>
        <v>385.62510770727198</v>
      </c>
      <c r="M348" s="841">
        <f t="shared" si="333"/>
        <v>415.53822416230844</v>
      </c>
      <c r="N348" s="841">
        <f t="shared" si="333"/>
        <v>457.23684931529459</v>
      </c>
      <c r="O348" s="841">
        <f t="shared" si="333"/>
        <v>507.13093929798708</v>
      </c>
      <c r="P348" s="841">
        <f t="shared" si="333"/>
        <v>559.86428824324048</v>
      </c>
      <c r="Q348" s="842">
        <f t="shared" si="333"/>
        <v>611.41535670663063</v>
      </c>
    </row>
    <row r="349" spans="1:17">
      <c r="A349" s="481">
        <v>68</v>
      </c>
      <c r="B349" s="840">
        <f t="shared" ref="B349:Q349" si="334">B135+B242</f>
        <v>289.38673207309495</v>
      </c>
      <c r="C349" s="841">
        <f t="shared" si="334"/>
        <v>292.33162805626807</v>
      </c>
      <c r="D349" s="841">
        <f t="shared" si="334"/>
        <v>298.12389713066909</v>
      </c>
      <c r="E349" s="841">
        <f t="shared" si="334"/>
        <v>305.02303150634765</v>
      </c>
      <c r="F349" s="841">
        <f t="shared" si="334"/>
        <v>310.43700000000001</v>
      </c>
      <c r="G349" s="841">
        <f t="shared" si="334"/>
        <v>312.76694573772147</v>
      </c>
      <c r="H349" s="840">
        <f t="shared" si="334"/>
        <v>311.14242629147407</v>
      </c>
      <c r="I349" s="841">
        <f t="shared" si="334"/>
        <v>306.9636086145037</v>
      </c>
      <c r="J349" s="841">
        <f t="shared" si="334"/>
        <v>303.61813797197073</v>
      </c>
      <c r="K349" s="841">
        <f t="shared" si="334"/>
        <v>305.76698611035772</v>
      </c>
      <c r="L349" s="841">
        <f t="shared" si="334"/>
        <v>316.67033439689902</v>
      </c>
      <c r="M349" s="841">
        <f t="shared" si="334"/>
        <v>337.52069156132904</v>
      </c>
      <c r="N349" s="841">
        <f t="shared" si="334"/>
        <v>367.08609591798927</v>
      </c>
      <c r="O349" s="841">
        <f t="shared" si="334"/>
        <v>403.19927267952926</v>
      </c>
      <c r="P349" s="841">
        <f t="shared" si="334"/>
        <v>442.55392108754893</v>
      </c>
      <c r="Q349" s="842">
        <f t="shared" si="334"/>
        <v>482.6185160647687</v>
      </c>
    </row>
    <row r="350" spans="1:17">
      <c r="A350" s="481">
        <v>69</v>
      </c>
      <c r="B350" s="840">
        <f t="shared" ref="B350:Q350" si="335">B136+B243</f>
        <v>381.19578841848323</v>
      </c>
      <c r="C350" s="841">
        <f t="shared" si="335"/>
        <v>383.48190606217224</v>
      </c>
      <c r="D350" s="841">
        <f t="shared" si="335"/>
        <v>385.86043773017792</v>
      </c>
      <c r="E350" s="841">
        <f t="shared" si="335"/>
        <v>387.97750210693835</v>
      </c>
      <c r="F350" s="841">
        <f t="shared" si="335"/>
        <v>389.24700000000001</v>
      </c>
      <c r="G350" s="841">
        <f t="shared" si="335"/>
        <v>389.4916371574302</v>
      </c>
      <c r="H350" s="840">
        <f t="shared" si="335"/>
        <v>388.51506014407522</v>
      </c>
      <c r="I350" s="841">
        <f t="shared" si="335"/>
        <v>387.21488560489388</v>
      </c>
      <c r="J350" s="841">
        <f t="shared" si="335"/>
        <v>387.83198965172886</v>
      </c>
      <c r="K350" s="841">
        <f t="shared" si="335"/>
        <v>393.31248407552266</v>
      </c>
      <c r="L350" s="841">
        <f t="shared" si="335"/>
        <v>405.79178998154384</v>
      </c>
      <c r="M350" s="841">
        <f t="shared" si="335"/>
        <v>425.94564125951729</v>
      </c>
      <c r="N350" s="841">
        <f t="shared" si="335"/>
        <v>453.24877932378115</v>
      </c>
      <c r="O350" s="841">
        <f t="shared" si="335"/>
        <v>487.06928829709801</v>
      </c>
      <c r="P350" s="841">
        <f t="shared" si="335"/>
        <v>526.25987114755696</v>
      </c>
      <c r="Q350" s="842">
        <f t="shared" si="335"/>
        <v>569.79441306156218</v>
      </c>
    </row>
    <row r="351" spans="1:17">
      <c r="A351" s="481">
        <v>70</v>
      </c>
      <c r="B351" s="840">
        <f t="shared" ref="B351:Q351" si="336">B137+B244</f>
        <v>337.65257966368546</v>
      </c>
      <c r="C351" s="841">
        <f t="shared" si="336"/>
        <v>339.11892686238508</v>
      </c>
      <c r="D351" s="841">
        <f t="shared" si="336"/>
        <v>338.01632926558148</v>
      </c>
      <c r="E351" s="841">
        <f t="shared" si="336"/>
        <v>335.42636349111012</v>
      </c>
      <c r="F351" s="841">
        <f t="shared" si="336"/>
        <v>332.89299999999997</v>
      </c>
      <c r="G351" s="841">
        <f t="shared" si="336"/>
        <v>331.64167238692312</v>
      </c>
      <c r="H351" s="840">
        <f t="shared" si="336"/>
        <v>332.2153386139031</v>
      </c>
      <c r="I351" s="841">
        <f t="shared" si="336"/>
        <v>334.6794823266888</v>
      </c>
      <c r="J351" s="841">
        <f t="shared" si="336"/>
        <v>339.20654964504672</v>
      </c>
      <c r="K351" s="841">
        <f t="shared" si="336"/>
        <v>345.83149789969343</v>
      </c>
      <c r="L351" s="841">
        <f t="shared" si="336"/>
        <v>354.7044756003699</v>
      </c>
      <c r="M351" s="841">
        <f t="shared" si="336"/>
        <v>365.66737705351113</v>
      </c>
      <c r="N351" s="841">
        <f t="shared" si="336"/>
        <v>379.15307275893861</v>
      </c>
      <c r="O351" s="841">
        <f t="shared" si="336"/>
        <v>396.53966873028276</v>
      </c>
      <c r="P351" s="841">
        <f t="shared" si="336"/>
        <v>419.60573099775081</v>
      </c>
      <c r="Q351" s="842">
        <f t="shared" si="336"/>
        <v>449.43997020305198</v>
      </c>
    </row>
    <row r="352" spans="1:17">
      <c r="A352" s="481">
        <v>71</v>
      </c>
      <c r="B352" s="840">
        <f t="shared" ref="B352:Q352" si="337">B138+B245</f>
        <v>319.38133420967142</v>
      </c>
      <c r="C352" s="841">
        <f t="shared" si="337"/>
        <v>319.80835544876197</v>
      </c>
      <c r="D352" s="841">
        <f t="shared" si="337"/>
        <v>314.82724251398861</v>
      </c>
      <c r="E352" s="841">
        <f t="shared" si="337"/>
        <v>307.00928530463602</v>
      </c>
      <c r="F352" s="841">
        <f t="shared" si="337"/>
        <v>300.07499999999999</v>
      </c>
      <c r="G352" s="841">
        <f t="shared" si="337"/>
        <v>296.72525429103382</v>
      </c>
      <c r="H352" s="840">
        <f t="shared" si="337"/>
        <v>298.23856786977115</v>
      </c>
      <c r="I352" s="841">
        <f t="shared" si="337"/>
        <v>303.91932637931785</v>
      </c>
      <c r="J352" s="841">
        <f t="shared" si="337"/>
        <v>312.16438861705626</v>
      </c>
      <c r="K352" s="841">
        <f t="shared" si="337"/>
        <v>320.45519775913431</v>
      </c>
      <c r="L352" s="841">
        <f t="shared" si="337"/>
        <v>327.20735777031462</v>
      </c>
      <c r="M352" s="841">
        <f t="shared" si="337"/>
        <v>331.56324957872891</v>
      </c>
      <c r="N352" s="841">
        <f t="shared" si="337"/>
        <v>334.82189695293391</v>
      </c>
      <c r="O352" s="841">
        <f t="shared" si="337"/>
        <v>340.09872508418528</v>
      </c>
      <c r="P352" s="841">
        <f t="shared" si="337"/>
        <v>351.67935630777833</v>
      </c>
      <c r="Q352" s="842">
        <f t="shared" si="337"/>
        <v>372.47050585666472</v>
      </c>
    </row>
    <row r="353" spans="1:17">
      <c r="A353" s="481">
        <v>72</v>
      </c>
      <c r="B353" s="840">
        <f t="shared" ref="B353:Q353" si="338">B139+B246</f>
        <v>356.11817127652989</v>
      </c>
      <c r="C353" s="841">
        <f t="shared" si="338"/>
        <v>356.73570425014498</v>
      </c>
      <c r="D353" s="841">
        <f t="shared" si="338"/>
        <v>349.58445896222361</v>
      </c>
      <c r="E353" s="841">
        <f t="shared" si="338"/>
        <v>338.42656431319847</v>
      </c>
      <c r="F353" s="841">
        <f t="shared" si="338"/>
        <v>328.74200000000002</v>
      </c>
      <c r="G353" s="841">
        <f t="shared" si="338"/>
        <v>324.42265474899347</v>
      </c>
      <c r="H353" s="840">
        <f t="shared" si="338"/>
        <v>327.35647430375474</v>
      </c>
      <c r="I353" s="841">
        <f t="shared" si="338"/>
        <v>336.27447453681896</v>
      </c>
      <c r="J353" s="841">
        <f t="shared" si="338"/>
        <v>348.1721334160386</v>
      </c>
      <c r="K353" s="841">
        <f t="shared" si="338"/>
        <v>358.52514873927055</v>
      </c>
      <c r="L353" s="841">
        <f t="shared" si="338"/>
        <v>364.39785548391046</v>
      </c>
      <c r="M353" s="841">
        <f t="shared" si="338"/>
        <v>364.37763786804703</v>
      </c>
      <c r="N353" s="841">
        <f t="shared" si="338"/>
        <v>360.50333267976077</v>
      </c>
      <c r="O353" s="841">
        <f t="shared" si="338"/>
        <v>357.45176801707197</v>
      </c>
      <c r="P353" s="841">
        <f t="shared" si="338"/>
        <v>361.73761001704929</v>
      </c>
      <c r="Q353" s="842">
        <f t="shared" si="338"/>
        <v>377.87576891497281</v>
      </c>
    </row>
    <row r="354" spans="1:17">
      <c r="A354" s="481">
        <v>73</v>
      </c>
      <c r="B354" s="840">
        <f t="shared" ref="B354:Q354" si="339">B140+B247</f>
        <v>301.33844650525174</v>
      </c>
      <c r="C354" s="841">
        <f t="shared" si="339"/>
        <v>303.39973425095297</v>
      </c>
      <c r="D354" s="841">
        <f t="shared" si="339"/>
        <v>299.42827174269507</v>
      </c>
      <c r="E354" s="841">
        <f t="shared" si="339"/>
        <v>292.19514043247329</v>
      </c>
      <c r="F354" s="841">
        <f t="shared" si="339"/>
        <v>285.76800000000003</v>
      </c>
      <c r="G354" s="841">
        <f t="shared" si="339"/>
        <v>283.04470163126189</v>
      </c>
      <c r="H354" s="840">
        <f t="shared" si="339"/>
        <v>285.42914745839846</v>
      </c>
      <c r="I354" s="841">
        <f t="shared" si="339"/>
        <v>291.98091188632861</v>
      </c>
      <c r="J354" s="841">
        <f t="shared" si="339"/>
        <v>300.45927871388034</v>
      </c>
      <c r="K354" s="841">
        <f t="shared" si="339"/>
        <v>307.50033189940524</v>
      </c>
      <c r="L354" s="841">
        <f t="shared" si="339"/>
        <v>310.94699734039853</v>
      </c>
      <c r="M354" s="841">
        <f t="shared" si="339"/>
        <v>309.79877866971958</v>
      </c>
      <c r="N354" s="841">
        <f t="shared" si="339"/>
        <v>305.65461028325274</v>
      </c>
      <c r="O354" s="841">
        <f t="shared" si="339"/>
        <v>302.05400429097119</v>
      </c>
      <c r="P354" s="841">
        <f t="shared" si="339"/>
        <v>303.92264640153547</v>
      </c>
      <c r="Q354" s="842">
        <f t="shared" si="339"/>
        <v>314.71827042505276</v>
      </c>
    </row>
    <row r="355" spans="1:17">
      <c r="A355" s="481">
        <v>74</v>
      </c>
      <c r="B355" s="840">
        <f t="shared" ref="B355:Q355" si="340">B141+B248</f>
        <v>250.30958333622419</v>
      </c>
      <c r="C355" s="841">
        <f t="shared" si="340"/>
        <v>254.61411491748925</v>
      </c>
      <c r="D355" s="841">
        <f t="shared" si="340"/>
        <v>255.5854955934779</v>
      </c>
      <c r="E355" s="841">
        <f t="shared" si="340"/>
        <v>254.40185347818635</v>
      </c>
      <c r="F355" s="841">
        <f t="shared" si="340"/>
        <v>252.83500000000001</v>
      </c>
      <c r="G355" s="841">
        <f t="shared" si="340"/>
        <v>252.18433743880482</v>
      </c>
      <c r="H355" s="840">
        <f t="shared" si="340"/>
        <v>253.06888758498235</v>
      </c>
      <c r="I355" s="841">
        <f t="shared" si="340"/>
        <v>255.18991690804546</v>
      </c>
      <c r="J355" s="841">
        <f t="shared" si="340"/>
        <v>257.88651840111163</v>
      </c>
      <c r="K355" s="841">
        <f t="shared" si="340"/>
        <v>260.10206049007564</v>
      </c>
      <c r="L355" s="841">
        <f t="shared" si="340"/>
        <v>261.23634771421638</v>
      </c>
      <c r="M355" s="841">
        <f t="shared" si="340"/>
        <v>261.04423568335727</v>
      </c>
      <c r="N355" s="841">
        <f t="shared" si="340"/>
        <v>260.30828973251215</v>
      </c>
      <c r="O355" s="841">
        <f t="shared" si="340"/>
        <v>260.69084480391405</v>
      </c>
      <c r="P355" s="841">
        <f t="shared" si="340"/>
        <v>264.42757411330473</v>
      </c>
      <c r="Q355" s="842">
        <f t="shared" si="340"/>
        <v>273.1315697447568</v>
      </c>
    </row>
    <row r="356" spans="1:17">
      <c r="A356" s="481">
        <v>75</v>
      </c>
      <c r="B356" s="840">
        <f t="shared" ref="B356:Q356" si="341">B142+B249</f>
        <v>215.77472069872903</v>
      </c>
      <c r="C356" s="841">
        <f t="shared" si="341"/>
        <v>221.83036680358504</v>
      </c>
      <c r="D356" s="841">
        <f t="shared" si="341"/>
        <v>226.53592309280813</v>
      </c>
      <c r="E356" s="841">
        <f t="shared" si="341"/>
        <v>229.93443477119521</v>
      </c>
      <c r="F356" s="841">
        <f t="shared" si="341"/>
        <v>232.167</v>
      </c>
      <c r="G356" s="841">
        <f t="shared" si="341"/>
        <v>233.40582251077547</v>
      </c>
      <c r="H356" s="840">
        <f t="shared" si="341"/>
        <v>233.70321060230259</v>
      </c>
      <c r="I356" s="841">
        <f t="shared" si="341"/>
        <v>233.20068481692761</v>
      </c>
      <c r="J356" s="841">
        <f t="shared" si="341"/>
        <v>232.29823974873761</v>
      </c>
      <c r="K356" s="841">
        <f t="shared" si="341"/>
        <v>231.50351179363668</v>
      </c>
      <c r="L356" s="841">
        <f t="shared" si="341"/>
        <v>231.26751578175089</v>
      </c>
      <c r="M356" s="841">
        <f t="shared" si="341"/>
        <v>231.8705682411362</v>
      </c>
      <c r="N356" s="841">
        <f t="shared" si="341"/>
        <v>233.5302164983737</v>
      </c>
      <c r="O356" s="841">
        <f t="shared" si="341"/>
        <v>236.55153956529603</v>
      </c>
      <c r="P356" s="841">
        <f t="shared" si="341"/>
        <v>241.24706709493503</v>
      </c>
      <c r="Q356" s="842">
        <f t="shared" si="341"/>
        <v>247.91698007357178</v>
      </c>
    </row>
    <row r="357" spans="1:17">
      <c r="A357" s="481">
        <v>76</v>
      </c>
      <c r="B357" s="840">
        <f t="shared" ref="B357:Q357" si="342">B143+B250</f>
        <v>231.55523881320488</v>
      </c>
      <c r="C357" s="841">
        <f t="shared" si="342"/>
        <v>241.26346344176437</v>
      </c>
      <c r="D357" s="841">
        <f t="shared" si="342"/>
        <v>251.65113892456731</v>
      </c>
      <c r="E357" s="841">
        <f t="shared" si="342"/>
        <v>261.41770943410899</v>
      </c>
      <c r="F357" s="841">
        <f t="shared" si="342"/>
        <v>268.81099999999998</v>
      </c>
      <c r="G357" s="841">
        <f t="shared" si="342"/>
        <v>272.69642445422323</v>
      </c>
      <c r="H357" s="840">
        <f t="shared" si="342"/>
        <v>272.45933527614483</v>
      </c>
      <c r="I357" s="841">
        <f t="shared" si="342"/>
        <v>268.8065405794822</v>
      </c>
      <c r="J357" s="841">
        <f t="shared" si="342"/>
        <v>263.52704654760549</v>
      </c>
      <c r="K357" s="841">
        <f t="shared" si="342"/>
        <v>259.16387684874087</v>
      </c>
      <c r="L357" s="841">
        <f t="shared" si="342"/>
        <v>257.5550270077635</v>
      </c>
      <c r="M357" s="841">
        <f t="shared" si="342"/>
        <v>259.70897736545106</v>
      </c>
      <c r="N357" s="841">
        <f t="shared" si="342"/>
        <v>265.19207883709646</v>
      </c>
      <c r="O357" s="841">
        <f t="shared" si="342"/>
        <v>272.70185213429693</v>
      </c>
      <c r="P357" s="841">
        <f t="shared" si="342"/>
        <v>280.22636486444105</v>
      </c>
      <c r="Q357" s="842">
        <f t="shared" si="342"/>
        <v>286.51346569426408</v>
      </c>
    </row>
    <row r="358" spans="1:17">
      <c r="A358" s="481">
        <v>77</v>
      </c>
      <c r="B358" s="840">
        <f t="shared" ref="B358:Q358" si="343">B144+B251</f>
        <v>157.36439240067796</v>
      </c>
      <c r="C358" s="841">
        <f t="shared" si="343"/>
        <v>165.58072228188161</v>
      </c>
      <c r="D358" s="841">
        <f t="shared" si="343"/>
        <v>175.32954801104916</v>
      </c>
      <c r="E358" s="841">
        <f t="shared" si="343"/>
        <v>185.08206295274096</v>
      </c>
      <c r="F358" s="841">
        <f t="shared" si="343"/>
        <v>192.72300000000001</v>
      </c>
      <c r="G358" s="841">
        <f t="shared" si="343"/>
        <v>196.83781782847592</v>
      </c>
      <c r="H358" s="840">
        <f t="shared" si="343"/>
        <v>196.69062330923322</v>
      </c>
      <c r="I358" s="841">
        <f t="shared" si="343"/>
        <v>193.00977083756237</v>
      </c>
      <c r="J358" s="841">
        <f t="shared" si="343"/>
        <v>187.65507760599755</v>
      </c>
      <c r="K358" s="841">
        <f t="shared" si="343"/>
        <v>183.28888901804189</v>
      </c>
      <c r="L358" s="841">
        <f t="shared" si="343"/>
        <v>181.79236069903652</v>
      </c>
      <c r="M358" s="841">
        <f t="shared" si="343"/>
        <v>184.17882699680467</v>
      </c>
      <c r="N358" s="841">
        <f t="shared" si="343"/>
        <v>189.83220851946649</v>
      </c>
      <c r="O358" s="841">
        <f t="shared" si="343"/>
        <v>197.05241678162224</v>
      </c>
      <c r="P358" s="841">
        <f t="shared" si="343"/>
        <v>203.3108301140239</v>
      </c>
      <c r="Q358" s="842">
        <f t="shared" si="343"/>
        <v>206.97917365228574</v>
      </c>
    </row>
    <row r="359" spans="1:17">
      <c r="A359" s="481">
        <v>78</v>
      </c>
      <c r="B359" s="840">
        <f t="shared" ref="B359:Q359" si="344">B145+B252</f>
        <v>156.085714109919</v>
      </c>
      <c r="C359" s="841">
        <f t="shared" si="344"/>
        <v>164.54223969753917</v>
      </c>
      <c r="D359" s="841">
        <f t="shared" si="344"/>
        <v>174.53633028203558</v>
      </c>
      <c r="E359" s="841">
        <f t="shared" si="344"/>
        <v>184.61035207354848</v>
      </c>
      <c r="F359" s="841">
        <f t="shared" si="344"/>
        <v>192.74599999999998</v>
      </c>
      <c r="G359" s="841">
        <f t="shared" si="344"/>
        <v>197.58504709540117</v>
      </c>
      <c r="H359" s="840">
        <f t="shared" si="344"/>
        <v>198.43397595252344</v>
      </c>
      <c r="I359" s="841">
        <f t="shared" si="344"/>
        <v>195.96333215564624</v>
      </c>
      <c r="J359" s="841">
        <f t="shared" si="344"/>
        <v>191.82490153424465</v>
      </c>
      <c r="K359" s="841">
        <f t="shared" si="344"/>
        <v>188.40375599682233</v>
      </c>
      <c r="L359" s="841">
        <f t="shared" si="344"/>
        <v>187.3847722658578</v>
      </c>
      <c r="M359" s="841">
        <f t="shared" si="344"/>
        <v>189.68961725306605</v>
      </c>
      <c r="N359" s="841">
        <f t="shared" si="344"/>
        <v>194.76279399280668</v>
      </c>
      <c r="O359" s="841">
        <f t="shared" si="344"/>
        <v>201.06125615528515</v>
      </c>
      <c r="P359" s="841">
        <f t="shared" si="344"/>
        <v>206.28898640342456</v>
      </c>
      <c r="Q359" s="842">
        <f t="shared" si="344"/>
        <v>208.98009047632627</v>
      </c>
    </row>
    <row r="360" spans="1:17">
      <c r="A360" s="481">
        <v>79</v>
      </c>
      <c r="B360" s="840">
        <f t="shared" ref="B360:Q360" si="345">B146+B253</f>
        <v>284.73137223910595</v>
      </c>
      <c r="C360" s="841">
        <f t="shared" si="345"/>
        <v>298.54134498783543</v>
      </c>
      <c r="D360" s="841">
        <f t="shared" si="345"/>
        <v>313.56714914168992</v>
      </c>
      <c r="E360" s="841">
        <f t="shared" si="345"/>
        <v>328.35377558592342</v>
      </c>
      <c r="F360" s="841">
        <f t="shared" si="345"/>
        <v>340.916</v>
      </c>
      <c r="G360" s="841">
        <f t="shared" si="345"/>
        <v>349.90272434677945</v>
      </c>
      <c r="H360" s="840">
        <f t="shared" si="345"/>
        <v>354.68830429170828</v>
      </c>
      <c r="I360" s="841">
        <f t="shared" si="345"/>
        <v>355.88680643550242</v>
      </c>
      <c r="J360" s="841">
        <f t="shared" si="345"/>
        <v>354.94679096224274</v>
      </c>
      <c r="K360" s="841">
        <f t="shared" si="345"/>
        <v>353.96566352869468</v>
      </c>
      <c r="L360" s="841">
        <f t="shared" si="345"/>
        <v>354.46817367536522</v>
      </c>
      <c r="M360" s="841">
        <f t="shared" si="345"/>
        <v>357.36540537891148</v>
      </c>
      <c r="N360" s="841">
        <f t="shared" si="345"/>
        <v>362.30216406727163</v>
      </c>
      <c r="O360" s="841">
        <f t="shared" si="345"/>
        <v>368.09875634041362</v>
      </c>
      <c r="P360" s="841">
        <f t="shared" si="345"/>
        <v>372.93948767712288</v>
      </c>
      <c r="Q360" s="842">
        <f t="shared" si="345"/>
        <v>375.77952360769194</v>
      </c>
    </row>
    <row r="361" spans="1:17">
      <c r="A361" s="481">
        <v>80</v>
      </c>
      <c r="B361" s="840">
        <f t="shared" ref="B361:Q361" si="346">B147+B254</f>
        <v>214.11872383765669</v>
      </c>
      <c r="C361" s="841">
        <f t="shared" si="346"/>
        <v>223.08363981557619</v>
      </c>
      <c r="D361" s="841">
        <f t="shared" si="346"/>
        <v>231.77652521261516</v>
      </c>
      <c r="E361" s="841">
        <f t="shared" si="346"/>
        <v>240.0314310581407</v>
      </c>
      <c r="F361" s="841">
        <f t="shared" si="346"/>
        <v>247.65100000000001</v>
      </c>
      <c r="G361" s="841">
        <f t="shared" si="346"/>
        <v>254.49688807752651</v>
      </c>
      <c r="H361" s="840">
        <f t="shared" si="346"/>
        <v>260.57060974979396</v>
      </c>
      <c r="I361" s="841">
        <f t="shared" si="346"/>
        <v>265.88796866924201</v>
      </c>
      <c r="J361" s="841">
        <f t="shared" si="346"/>
        <v>270.35576014391256</v>
      </c>
      <c r="K361" s="841">
        <f t="shared" si="346"/>
        <v>273.87660610746013</v>
      </c>
      <c r="L361" s="841">
        <f t="shared" si="346"/>
        <v>276.43557352060435</v>
      </c>
      <c r="M361" s="841">
        <f t="shared" si="346"/>
        <v>278.1292275323832</v>
      </c>
      <c r="N361" s="841">
        <f t="shared" si="346"/>
        <v>279.17405314864942</v>
      </c>
      <c r="O361" s="841">
        <f t="shared" si="346"/>
        <v>279.84211338994061</v>
      </c>
      <c r="P361" s="841">
        <f t="shared" si="346"/>
        <v>280.49171106347842</v>
      </c>
      <c r="Q361" s="842">
        <f t="shared" si="346"/>
        <v>281.48322174173563</v>
      </c>
    </row>
    <row r="362" spans="1:17">
      <c r="A362" s="481">
        <v>81</v>
      </c>
      <c r="B362" s="840">
        <f t="shared" ref="B362:Q362" si="347">B148+B255</f>
        <v>162.82250142959543</v>
      </c>
      <c r="C362" s="841">
        <f t="shared" si="347"/>
        <v>168.42943138838652</v>
      </c>
      <c r="D362" s="841">
        <f t="shared" si="347"/>
        <v>172.82891509409149</v>
      </c>
      <c r="E362" s="841">
        <f t="shared" si="347"/>
        <v>176.74783764788003</v>
      </c>
      <c r="F362" s="841">
        <f t="shared" si="347"/>
        <v>181.238</v>
      </c>
      <c r="G362" s="841">
        <f t="shared" si="347"/>
        <v>186.98075216154319</v>
      </c>
      <c r="H362" s="840">
        <f t="shared" si="347"/>
        <v>194.43199728536604</v>
      </c>
      <c r="I362" s="841">
        <f t="shared" si="347"/>
        <v>203.17563202316455</v>
      </c>
      <c r="J362" s="841">
        <f t="shared" si="347"/>
        <v>211.97346152749697</v>
      </c>
      <c r="K362" s="841">
        <f t="shared" si="347"/>
        <v>219.07882691269214</v>
      </c>
      <c r="L362" s="841">
        <f t="shared" si="347"/>
        <v>223.33101690424508</v>
      </c>
      <c r="M362" s="841">
        <f t="shared" si="347"/>
        <v>224.21348150409281</v>
      </c>
      <c r="N362" s="841">
        <f t="shared" si="347"/>
        <v>222.36582418676051</v>
      </c>
      <c r="O362" s="841">
        <f t="shared" si="347"/>
        <v>219.19901703930071</v>
      </c>
      <c r="P362" s="841">
        <f t="shared" si="347"/>
        <v>216.71720108701015</v>
      </c>
      <c r="Q362" s="842">
        <f t="shared" si="347"/>
        <v>216.38390930231424</v>
      </c>
    </row>
    <row r="363" spans="1:17">
      <c r="A363" s="481">
        <v>82</v>
      </c>
      <c r="B363" s="840">
        <f t="shared" ref="B363:Q363" si="348">B149+B256</f>
        <v>150.68599054278553</v>
      </c>
      <c r="C363" s="841">
        <f t="shared" si="348"/>
        <v>155.03538456587856</v>
      </c>
      <c r="D363" s="841">
        <f t="shared" si="348"/>
        <v>157.58136126524556</v>
      </c>
      <c r="E363" s="841">
        <f t="shared" si="348"/>
        <v>159.6513473395336</v>
      </c>
      <c r="F363" s="841">
        <f t="shared" si="348"/>
        <v>163.11399999999998</v>
      </c>
      <c r="G363" s="841">
        <f t="shared" si="348"/>
        <v>169.18981385425894</v>
      </c>
      <c r="H363" s="840">
        <f t="shared" si="348"/>
        <v>178.65261998679114</v>
      </c>
      <c r="I363" s="841">
        <f t="shared" si="348"/>
        <v>190.78089878047675</v>
      </c>
      <c r="J363" s="841">
        <f t="shared" si="348"/>
        <v>203.52188917198129</v>
      </c>
      <c r="K363" s="841">
        <f t="shared" si="348"/>
        <v>213.98978579949238</v>
      </c>
      <c r="L363" s="841">
        <f t="shared" si="348"/>
        <v>220.21410813357363</v>
      </c>
      <c r="M363" s="841">
        <f t="shared" si="348"/>
        <v>221.28980747008035</v>
      </c>
      <c r="N363" s="841">
        <f t="shared" si="348"/>
        <v>218.15483128680859</v>
      </c>
      <c r="O363" s="841">
        <f t="shared" si="348"/>
        <v>212.93558221367391</v>
      </c>
      <c r="P363" s="841">
        <f t="shared" si="348"/>
        <v>208.72364417850071</v>
      </c>
      <c r="Q363" s="842">
        <f t="shared" si="348"/>
        <v>207.70053372452975</v>
      </c>
    </row>
    <row r="364" spans="1:17">
      <c r="A364" s="481">
        <v>83</v>
      </c>
      <c r="B364" s="840">
        <f t="shared" ref="B364:Q364" si="349">B150+B257</f>
        <v>124.25599064410405</v>
      </c>
      <c r="C364" s="841">
        <f t="shared" si="349"/>
        <v>128.04181309080803</v>
      </c>
      <c r="D364" s="841">
        <f t="shared" si="349"/>
        <v>130.16217323890393</v>
      </c>
      <c r="E364" s="841">
        <f t="shared" si="349"/>
        <v>131.76805423553299</v>
      </c>
      <c r="F364" s="841">
        <f t="shared" si="349"/>
        <v>134.5</v>
      </c>
      <c r="G364" s="841">
        <f t="shared" si="349"/>
        <v>139.4404635547522</v>
      </c>
      <c r="H364" s="840">
        <f t="shared" si="349"/>
        <v>147.21822490552103</v>
      </c>
      <c r="I364" s="841">
        <f t="shared" si="349"/>
        <v>157.23081084370804</v>
      </c>
      <c r="J364" s="841">
        <f t="shared" si="349"/>
        <v>167.83271104076925</v>
      </c>
      <c r="K364" s="841">
        <f t="shared" si="349"/>
        <v>176.69546956527603</v>
      </c>
      <c r="L364" s="841">
        <f t="shared" si="349"/>
        <v>182.23044942218598</v>
      </c>
      <c r="M364" s="841">
        <f t="shared" si="349"/>
        <v>183.69594706701702</v>
      </c>
      <c r="N364" s="841">
        <f t="shared" si="349"/>
        <v>181.83448917250371</v>
      </c>
      <c r="O364" s="841">
        <f t="shared" si="349"/>
        <v>178.33860134874621</v>
      </c>
      <c r="P364" s="841">
        <f t="shared" si="349"/>
        <v>175.65570772454424</v>
      </c>
      <c r="Q364" s="842">
        <f t="shared" si="349"/>
        <v>175.5164887231054</v>
      </c>
    </row>
    <row r="365" spans="1:17">
      <c r="A365" s="481">
        <v>84</v>
      </c>
      <c r="B365" s="840">
        <f t="shared" ref="B365:Q365" si="350">B151+B258</f>
        <v>138.81845486868201</v>
      </c>
      <c r="C365" s="841">
        <f t="shared" si="350"/>
        <v>144.36711590971817</v>
      </c>
      <c r="D365" s="841">
        <f t="shared" si="350"/>
        <v>148.62724886658714</v>
      </c>
      <c r="E365" s="841">
        <f t="shared" si="350"/>
        <v>152.47468762246805</v>
      </c>
      <c r="F365" s="841">
        <f t="shared" si="350"/>
        <v>157.167</v>
      </c>
      <c r="G365" s="841">
        <f t="shared" si="350"/>
        <v>163.52908598686668</v>
      </c>
      <c r="H365" s="840">
        <f t="shared" si="350"/>
        <v>172.01588713633438</v>
      </c>
      <c r="I365" s="841">
        <f t="shared" si="350"/>
        <v>182.13984568064251</v>
      </c>
      <c r="J365" s="841">
        <f t="shared" si="350"/>
        <v>192.67036852468306</v>
      </c>
      <c r="K365" s="841">
        <f t="shared" si="350"/>
        <v>201.85048940440294</v>
      </c>
      <c r="L365" s="841">
        <f t="shared" si="350"/>
        <v>208.47456768853959</v>
      </c>
      <c r="M365" s="841">
        <f t="shared" si="350"/>
        <v>212.03408073789581</v>
      </c>
      <c r="N365" s="841">
        <f t="shared" si="350"/>
        <v>213.05487145996483</v>
      </c>
      <c r="O365" s="841">
        <f t="shared" si="350"/>
        <v>212.62952644480191</v>
      </c>
      <c r="P365" s="841">
        <f t="shared" si="350"/>
        <v>212.36342239313791</v>
      </c>
      <c r="Q365" s="842">
        <f t="shared" si="350"/>
        <v>213.40325724241097</v>
      </c>
    </row>
    <row r="366" spans="1:17">
      <c r="A366" s="481">
        <v>85</v>
      </c>
      <c r="B366" s="840">
        <f t="shared" ref="B366:Q366" si="351">B152+B259</f>
        <v>112.53354434176009</v>
      </c>
      <c r="C366" s="841">
        <f t="shared" si="351"/>
        <v>118.21491247693528</v>
      </c>
      <c r="D366" s="841">
        <f t="shared" si="351"/>
        <v>123.29778898684461</v>
      </c>
      <c r="E366" s="841">
        <f t="shared" si="351"/>
        <v>128.13443226724775</v>
      </c>
      <c r="F366" s="841">
        <f t="shared" si="351"/>
        <v>133.24199999999999</v>
      </c>
      <c r="G366" s="841">
        <f t="shared" si="351"/>
        <v>138.96512346323883</v>
      </c>
      <c r="H366" s="840">
        <f t="shared" si="351"/>
        <v>145.43225247214247</v>
      </c>
      <c r="I366" s="841">
        <f t="shared" si="351"/>
        <v>152.43810252437689</v>
      </c>
      <c r="J366" s="841">
        <f t="shared" si="351"/>
        <v>159.56885613366947</v>
      </c>
      <c r="K366" s="841">
        <f t="shared" si="351"/>
        <v>166.23911172746494</v>
      </c>
      <c r="L366" s="841">
        <f t="shared" si="351"/>
        <v>172.02930933673926</v>
      </c>
      <c r="M366" s="841">
        <f t="shared" si="351"/>
        <v>176.83483349731529</v>
      </c>
      <c r="N366" s="841">
        <f t="shared" si="351"/>
        <v>180.7869716573766</v>
      </c>
      <c r="O366" s="841">
        <f t="shared" si="351"/>
        <v>184.01822999765932</v>
      </c>
      <c r="P366" s="841">
        <f t="shared" si="351"/>
        <v>186.75252703828261</v>
      </c>
      <c r="Q366" s="842">
        <f t="shared" si="351"/>
        <v>189.17698819658989</v>
      </c>
    </row>
    <row r="367" spans="1:17">
      <c r="A367" s="481">
        <v>86</v>
      </c>
      <c r="B367" s="840">
        <f t="shared" ref="B367:Q367" si="352">B153+B260</f>
        <v>93.718159712532227</v>
      </c>
      <c r="C367" s="841">
        <f t="shared" si="352"/>
        <v>99.867536110527467</v>
      </c>
      <c r="D367" s="841">
        <f t="shared" si="352"/>
        <v>106.07764261220717</v>
      </c>
      <c r="E367" s="841">
        <f t="shared" si="352"/>
        <v>112.19166817982651</v>
      </c>
      <c r="F367" s="841">
        <f t="shared" si="352"/>
        <v>118.018</v>
      </c>
      <c r="G367" s="841">
        <f t="shared" si="352"/>
        <v>123.43370195886999</v>
      </c>
      <c r="H367" s="840">
        <f t="shared" si="352"/>
        <v>128.25350036504992</v>
      </c>
      <c r="I367" s="841">
        <f t="shared" si="352"/>
        <v>132.53572807637408</v>
      </c>
      <c r="J367" s="841">
        <f t="shared" si="352"/>
        <v>136.70393317967063</v>
      </c>
      <c r="K367" s="841">
        <f t="shared" si="352"/>
        <v>141.35413352206481</v>
      </c>
      <c r="L367" s="841">
        <f t="shared" si="352"/>
        <v>146.85708817015154</v>
      </c>
      <c r="M367" s="841">
        <f t="shared" si="352"/>
        <v>153.52391317152723</v>
      </c>
      <c r="N367" s="841">
        <f t="shared" si="352"/>
        <v>161.09161306209182</v>
      </c>
      <c r="O367" s="841">
        <f t="shared" si="352"/>
        <v>168.66282006850523</v>
      </c>
      <c r="P367" s="841">
        <f t="shared" si="352"/>
        <v>174.98410504366214</v>
      </c>
      <c r="Q367" s="842">
        <f t="shared" si="352"/>
        <v>179.23073018255548</v>
      </c>
    </row>
    <row r="368" spans="1:17">
      <c r="A368" s="481">
        <v>87</v>
      </c>
      <c r="B368" s="840">
        <f t="shared" ref="B368:Q368" si="353">B154+B261</f>
        <v>91.532582552205483</v>
      </c>
      <c r="C368" s="841">
        <f t="shared" si="353"/>
        <v>99.078645828767122</v>
      </c>
      <c r="D368" s="841">
        <f t="shared" si="353"/>
        <v>107.32622854687801</v>
      </c>
      <c r="E368" s="841">
        <f t="shared" si="353"/>
        <v>115.62009316446751</v>
      </c>
      <c r="F368" s="841">
        <f t="shared" si="353"/>
        <v>123.08500000000001</v>
      </c>
      <c r="G368" s="841">
        <f t="shared" si="353"/>
        <v>129.16170317936317</v>
      </c>
      <c r="H368" s="840">
        <f t="shared" si="353"/>
        <v>133.34497987623439</v>
      </c>
      <c r="I368" s="841">
        <f t="shared" si="353"/>
        <v>135.94441696183361</v>
      </c>
      <c r="J368" s="841">
        <f t="shared" si="353"/>
        <v>138.17196793622583</v>
      </c>
      <c r="K368" s="841">
        <f t="shared" si="353"/>
        <v>141.73616967531885</v>
      </c>
      <c r="L368" s="841">
        <f t="shared" si="353"/>
        <v>147.74963523980469</v>
      </c>
      <c r="M368" s="841">
        <f t="shared" si="353"/>
        <v>156.92110986273275</v>
      </c>
      <c r="N368" s="841">
        <f t="shared" si="353"/>
        <v>168.61215282368724</v>
      </c>
      <c r="O368" s="841">
        <f t="shared" si="353"/>
        <v>180.94878319897128</v>
      </c>
      <c r="P368" s="841">
        <f t="shared" si="353"/>
        <v>191.28944997950416</v>
      </c>
      <c r="Q368" s="842">
        <f t="shared" si="353"/>
        <v>197.8468573530136</v>
      </c>
    </row>
    <row r="369" spans="1:18">
      <c r="A369" s="481">
        <v>88</v>
      </c>
      <c r="B369" s="840">
        <f t="shared" ref="B369:Q369" si="354">B155+B262</f>
        <v>51.545322207969008</v>
      </c>
      <c r="C369" s="841">
        <f t="shared" si="354"/>
        <v>56.314747352897029</v>
      </c>
      <c r="D369" s="841">
        <f t="shared" si="354"/>
        <v>61.731524438072299</v>
      </c>
      <c r="E369" s="841">
        <f t="shared" si="354"/>
        <v>67.293103968776308</v>
      </c>
      <c r="F369" s="841">
        <f t="shared" si="354"/>
        <v>72.310999999999993</v>
      </c>
      <c r="G369" s="841">
        <f t="shared" si="354"/>
        <v>76.323265099450424</v>
      </c>
      <c r="H369" s="840">
        <f t="shared" si="354"/>
        <v>78.98486295103514</v>
      </c>
      <c r="I369" s="841">
        <f t="shared" si="354"/>
        <v>80.52682589683549</v>
      </c>
      <c r="J369" s="841">
        <f t="shared" si="354"/>
        <v>81.771787288946371</v>
      </c>
      <c r="K369" s="841">
        <f t="shared" si="354"/>
        <v>83.879993235410893</v>
      </c>
      <c r="L369" s="841">
        <f t="shared" si="354"/>
        <v>87.626218203725529</v>
      </c>
      <c r="M369" s="841">
        <f t="shared" si="354"/>
        <v>93.468885018210358</v>
      </c>
      <c r="N369" s="841">
        <f t="shared" si="354"/>
        <v>100.97816086418104</v>
      </c>
      <c r="O369" s="841">
        <f t="shared" si="354"/>
        <v>108.96368156271777</v>
      </c>
      <c r="P369" s="841">
        <f t="shared" si="354"/>
        <v>115.73175354535059</v>
      </c>
      <c r="Q369" s="842">
        <f t="shared" si="354"/>
        <v>120.13936216401116</v>
      </c>
    </row>
    <row r="370" spans="1:18">
      <c r="A370" s="481">
        <v>89</v>
      </c>
      <c r="B370" s="840">
        <f t="shared" ref="B370:Q370" si="355">B156+B263</f>
        <v>57.206568356870775</v>
      </c>
      <c r="C370" s="841">
        <f t="shared" si="355"/>
        <v>62.375707614060715</v>
      </c>
      <c r="D370" s="841">
        <f t="shared" si="355"/>
        <v>67.891912024216552</v>
      </c>
      <c r="E370" s="841">
        <f t="shared" si="355"/>
        <v>73.441029869223911</v>
      </c>
      <c r="F370" s="841">
        <f t="shared" si="355"/>
        <v>78.596000000000004</v>
      </c>
      <c r="G370" s="841">
        <f t="shared" si="355"/>
        <v>83.097318939618788</v>
      </c>
      <c r="H370" s="840">
        <f t="shared" si="355"/>
        <v>86.663273230580728</v>
      </c>
      <c r="I370" s="841">
        <f t="shared" si="355"/>
        <v>89.452422673435663</v>
      </c>
      <c r="J370" s="841">
        <f t="shared" si="355"/>
        <v>92.174448446400802</v>
      </c>
      <c r="K370" s="841">
        <f t="shared" si="355"/>
        <v>95.825604488158973</v>
      </c>
      <c r="L370" s="841">
        <f t="shared" si="355"/>
        <v>101.05748067851704</v>
      </c>
      <c r="M370" s="841">
        <f t="shared" si="355"/>
        <v>108.25775406872026</v>
      </c>
      <c r="N370" s="841">
        <f t="shared" si="355"/>
        <v>117.02447498149223</v>
      </c>
      <c r="O370" s="841">
        <f t="shared" si="355"/>
        <v>126.23607361822505</v>
      </c>
      <c r="P370" s="841">
        <f t="shared" si="355"/>
        <v>134.32399069918711</v>
      </c>
      <c r="Q370" s="842">
        <f t="shared" si="355"/>
        <v>140.1936752634976</v>
      </c>
    </row>
    <row r="371" spans="1:18">
      <c r="A371" s="481">
        <v>90</v>
      </c>
      <c r="B371" s="840">
        <f t="shared" ref="B371:Q371" si="356">B157+B264</f>
        <v>38.071214791205236</v>
      </c>
      <c r="C371" s="841">
        <f t="shared" si="356"/>
        <v>41.54184856527295</v>
      </c>
      <c r="D371" s="841">
        <f t="shared" si="356"/>
        <v>45.355941729954957</v>
      </c>
      <c r="E371" s="841">
        <f t="shared" si="356"/>
        <v>49.333032321204733</v>
      </c>
      <c r="F371" s="841">
        <f t="shared" si="356"/>
        <v>53.216999999999999</v>
      </c>
      <c r="G371" s="841">
        <f t="shared" si="356"/>
        <v>56.839508114996875</v>
      </c>
      <c r="H371" s="840">
        <f t="shared" si="356"/>
        <v>60.068151316872914</v>
      </c>
      <c r="I371" s="841">
        <f t="shared" si="356"/>
        <v>62.972108028954196</v>
      </c>
      <c r="J371" s="841">
        <f t="shared" si="356"/>
        <v>65.818309153395234</v>
      </c>
      <c r="K371" s="841">
        <f t="shared" si="356"/>
        <v>68.987749904480609</v>
      </c>
      <c r="L371" s="841">
        <f t="shared" si="356"/>
        <v>72.73214896397576</v>
      </c>
      <c r="M371" s="841">
        <f t="shared" si="356"/>
        <v>77.178843069816622</v>
      </c>
      <c r="N371" s="841">
        <f t="shared" si="356"/>
        <v>82.163723205219398</v>
      </c>
      <c r="O371" s="841">
        <f t="shared" si="356"/>
        <v>87.308658745542715</v>
      </c>
      <c r="P371" s="841">
        <f t="shared" si="356"/>
        <v>92.08573938380728</v>
      </c>
      <c r="Q371" s="842">
        <f t="shared" si="356"/>
        <v>96.115291041528494</v>
      </c>
    </row>
    <row r="372" spans="1:18">
      <c r="A372" s="481">
        <v>91</v>
      </c>
      <c r="B372" s="840">
        <f t="shared" ref="B372:Q372" si="357">B158+B265</f>
        <v>32.098784568930839</v>
      </c>
      <c r="C372" s="841">
        <f t="shared" si="357"/>
        <v>35.038623942509197</v>
      </c>
      <c r="D372" s="841">
        <f t="shared" si="357"/>
        <v>38.236072228137871</v>
      </c>
      <c r="E372" s="841">
        <f t="shared" si="357"/>
        <v>41.633181262355578</v>
      </c>
      <c r="F372" s="841">
        <f t="shared" si="357"/>
        <v>45.152999999999999</v>
      </c>
      <c r="G372" s="841">
        <f t="shared" si="357"/>
        <v>48.736761926555374</v>
      </c>
      <c r="H372" s="840">
        <f t="shared" si="357"/>
        <v>52.369895184043727</v>
      </c>
      <c r="I372" s="841">
        <f t="shared" si="357"/>
        <v>56.051557187949818</v>
      </c>
      <c r="J372" s="841">
        <f t="shared" si="357"/>
        <v>59.733122258012841</v>
      </c>
      <c r="K372" s="841">
        <f t="shared" si="357"/>
        <v>63.367843750688607</v>
      </c>
      <c r="L372" s="841">
        <f t="shared" si="357"/>
        <v>66.923377246185524</v>
      </c>
      <c r="M372" s="841">
        <f t="shared" si="357"/>
        <v>70.315643287847251</v>
      </c>
      <c r="N372" s="841">
        <f t="shared" si="357"/>
        <v>73.557237763092175</v>
      </c>
      <c r="O372" s="841">
        <f t="shared" si="357"/>
        <v>76.835346700394751</v>
      </c>
      <c r="P372" s="841">
        <f t="shared" si="357"/>
        <v>80.385927209254788</v>
      </c>
      <c r="Q372" s="842">
        <f t="shared" si="357"/>
        <v>84.36627595151856</v>
      </c>
    </row>
    <row r="373" spans="1:18">
      <c r="A373" s="481">
        <v>92</v>
      </c>
      <c r="B373" s="840">
        <f t="shared" ref="B373:Q373" si="358">B159+B266</f>
        <v>19.417924857854906</v>
      </c>
      <c r="C373" s="841">
        <f t="shared" si="358"/>
        <v>20.894068652875635</v>
      </c>
      <c r="D373" s="841">
        <f t="shared" si="358"/>
        <v>22.529467250128789</v>
      </c>
      <c r="E373" s="841">
        <f t="shared" si="358"/>
        <v>24.396762664056531</v>
      </c>
      <c r="F373" s="841">
        <f t="shared" si="358"/>
        <v>26.588999999999999</v>
      </c>
      <c r="G373" s="841">
        <f t="shared" si="358"/>
        <v>29.158109031731829</v>
      </c>
      <c r="H373" s="840">
        <f t="shared" si="358"/>
        <v>32.188815231699721</v>
      </c>
      <c r="I373" s="841">
        <f t="shared" si="358"/>
        <v>35.612630999121706</v>
      </c>
      <c r="J373" s="841">
        <f t="shared" si="358"/>
        <v>39.128233661656452</v>
      </c>
      <c r="K373" s="841">
        <f t="shared" si="358"/>
        <v>42.327821529037102</v>
      </c>
      <c r="L373" s="841">
        <f t="shared" si="358"/>
        <v>44.941506367445449</v>
      </c>
      <c r="M373" s="841">
        <f t="shared" si="358"/>
        <v>46.753515376376136</v>
      </c>
      <c r="N373" s="841">
        <f t="shared" si="358"/>
        <v>47.904782876779215</v>
      </c>
      <c r="O373" s="841">
        <f t="shared" si="358"/>
        <v>48.912632052494502</v>
      </c>
      <c r="P373" s="841">
        <f t="shared" si="358"/>
        <v>50.509746688173024</v>
      </c>
      <c r="Q373" s="842">
        <f t="shared" si="358"/>
        <v>53.1747263954733</v>
      </c>
    </row>
    <row r="374" spans="1:18">
      <c r="A374" s="481">
        <v>93</v>
      </c>
      <c r="B374" s="840">
        <f t="shared" ref="B374:Q374" si="359">B160+B267</f>
        <v>16.976926949409354</v>
      </c>
      <c r="C374" s="841">
        <f t="shared" si="359"/>
        <v>18.563326144904408</v>
      </c>
      <c r="D374" s="841">
        <f t="shared" si="359"/>
        <v>20.331430259880584</v>
      </c>
      <c r="E374" s="841">
        <f t="shared" si="359"/>
        <v>22.353554008218971</v>
      </c>
      <c r="F374" s="841">
        <f t="shared" si="359"/>
        <v>24.725999999999999</v>
      </c>
      <c r="G374" s="841">
        <f t="shared" si="359"/>
        <v>27.490417636710575</v>
      </c>
      <c r="H374" s="840">
        <f t="shared" si="359"/>
        <v>30.758133053551596</v>
      </c>
      <c r="I374" s="841">
        <f t="shared" si="359"/>
        <v>34.448660940357911</v>
      </c>
      <c r="J374" s="841">
        <f t="shared" si="359"/>
        <v>38.194195706312719</v>
      </c>
      <c r="K374" s="841">
        <f t="shared" si="359"/>
        <v>41.495308785215457</v>
      </c>
      <c r="L374" s="841">
        <f t="shared" si="359"/>
        <v>44.034541121944955</v>
      </c>
      <c r="M374" s="841">
        <f t="shared" si="359"/>
        <v>45.531514443642692</v>
      </c>
      <c r="N374" s="841">
        <f t="shared" si="359"/>
        <v>46.171624725806254</v>
      </c>
      <c r="O374" s="841">
        <f t="shared" si="359"/>
        <v>46.68863365415325</v>
      </c>
      <c r="P374" s="841">
        <f t="shared" si="359"/>
        <v>48.090179283706512</v>
      </c>
      <c r="Q374" s="842">
        <f t="shared" si="359"/>
        <v>51.06064340665251</v>
      </c>
    </row>
    <row r="375" spans="1:18">
      <c r="A375" s="481">
        <v>94</v>
      </c>
      <c r="B375" s="840">
        <f t="shared" ref="B375:Q375" si="360">B161+B268</f>
        <v>17.633020298647111</v>
      </c>
      <c r="C375" s="841">
        <f t="shared" si="360"/>
        <v>19.428793472693833</v>
      </c>
      <c r="D375" s="841">
        <f t="shared" si="360"/>
        <v>21.530377323672987</v>
      </c>
      <c r="E375" s="841">
        <f t="shared" si="360"/>
        <v>23.957231272636651</v>
      </c>
      <c r="F375" s="841">
        <f t="shared" si="360"/>
        <v>26.764000000000003</v>
      </c>
      <c r="G375" s="841">
        <f t="shared" si="360"/>
        <v>29.964843632230163</v>
      </c>
      <c r="H375" s="840">
        <f t="shared" si="360"/>
        <v>33.650331953666438</v>
      </c>
      <c r="I375" s="841">
        <f t="shared" si="360"/>
        <v>37.757131497455219</v>
      </c>
      <c r="J375" s="841">
        <f t="shared" si="360"/>
        <v>41.97226550070863</v>
      </c>
      <c r="K375" s="841">
        <f t="shared" si="360"/>
        <v>45.871076260581617</v>
      </c>
      <c r="L375" s="841">
        <f t="shared" si="360"/>
        <v>49.188022597285055</v>
      </c>
      <c r="M375" s="841">
        <f t="shared" si="360"/>
        <v>51.658561243756537</v>
      </c>
      <c r="N375" s="841">
        <f t="shared" si="360"/>
        <v>53.453190168143799</v>
      </c>
      <c r="O375" s="841">
        <f t="shared" si="360"/>
        <v>55.180881077019279</v>
      </c>
      <c r="P375" s="841">
        <f t="shared" si="360"/>
        <v>57.730917793689798</v>
      </c>
      <c r="Q375" s="842">
        <f t="shared" si="360"/>
        <v>61.660449037048814</v>
      </c>
    </row>
    <row r="376" spans="1:18">
      <c r="A376" s="481">
        <v>95</v>
      </c>
      <c r="B376" s="840">
        <f t="shared" ref="B376:Q376" si="361">B162+B269</f>
        <v>35.40075873493565</v>
      </c>
      <c r="C376" s="841">
        <f t="shared" si="361"/>
        <v>37.422769800324822</v>
      </c>
      <c r="D376" s="841">
        <f t="shared" si="361"/>
        <v>40.857176128376253</v>
      </c>
      <c r="E376" s="841">
        <f t="shared" si="361"/>
        <v>45.135750822312296</v>
      </c>
      <c r="F376" s="841">
        <f t="shared" si="361"/>
        <v>50.286000000000001</v>
      </c>
      <c r="G376" s="841">
        <f t="shared" si="361"/>
        <v>59.826429223136657</v>
      </c>
      <c r="H376" s="840">
        <f t="shared" si="361"/>
        <v>67.32358206745009</v>
      </c>
      <c r="I376" s="841">
        <f t="shared" si="361"/>
        <v>75.680446703244201</v>
      </c>
      <c r="J376" s="841">
        <f t="shared" si="361"/>
        <v>84.458305251880063</v>
      </c>
      <c r="K376" s="841">
        <f t="shared" si="361"/>
        <v>93.02457657399448</v>
      </c>
      <c r="L376" s="841">
        <f t="shared" si="361"/>
        <v>100.8918319173184</v>
      </c>
      <c r="M376" s="841">
        <f t="shared" si="361"/>
        <v>107.74628126833996</v>
      </c>
      <c r="N376" s="841">
        <f t="shared" si="361"/>
        <v>113.79179011246229</v>
      </c>
      <c r="O376" s="841">
        <f t="shared" si="361"/>
        <v>119.81979506339651</v>
      </c>
      <c r="P376" s="841">
        <f t="shared" si="361"/>
        <v>127.01195981247184</v>
      </c>
      <c r="Q376" s="842">
        <f t="shared" si="361"/>
        <v>136.10676914861676</v>
      </c>
    </row>
    <row r="377" spans="1:18">
      <c r="A377" s="481">
        <v>96</v>
      </c>
      <c r="B377" s="840">
        <f t="shared" ref="B377:Q377" si="362">B163+B270</f>
        <v>0</v>
      </c>
      <c r="C377" s="841">
        <f t="shared" si="362"/>
        <v>0</v>
      </c>
      <c r="D377" s="841">
        <f t="shared" si="362"/>
        <v>0</v>
      </c>
      <c r="E377" s="841">
        <f t="shared" si="362"/>
        <v>0</v>
      </c>
      <c r="F377" s="841">
        <f t="shared" si="362"/>
        <v>0</v>
      </c>
      <c r="G377" s="841">
        <f t="shared" si="362"/>
        <v>0</v>
      </c>
      <c r="H377" s="840">
        <f t="shared" si="362"/>
        <v>0</v>
      </c>
      <c r="I377" s="841">
        <f t="shared" si="362"/>
        <v>0</v>
      </c>
      <c r="J377" s="841">
        <f t="shared" si="362"/>
        <v>0</v>
      </c>
      <c r="K377" s="841">
        <f t="shared" si="362"/>
        <v>0</v>
      </c>
      <c r="L377" s="841">
        <f t="shared" si="362"/>
        <v>0</v>
      </c>
      <c r="M377" s="841">
        <f t="shared" si="362"/>
        <v>0</v>
      </c>
      <c r="N377" s="841">
        <f t="shared" si="362"/>
        <v>0</v>
      </c>
      <c r="O377" s="841">
        <f t="shared" si="362"/>
        <v>0</v>
      </c>
      <c r="P377" s="841">
        <f t="shared" si="362"/>
        <v>0</v>
      </c>
      <c r="Q377" s="842">
        <f t="shared" si="362"/>
        <v>0</v>
      </c>
    </row>
    <row r="378" spans="1:18">
      <c r="A378" s="481">
        <v>97</v>
      </c>
      <c r="B378" s="840">
        <f t="shared" ref="B378:Q378" si="363">B164+B271</f>
        <v>0</v>
      </c>
      <c r="C378" s="841">
        <f t="shared" si="363"/>
        <v>0</v>
      </c>
      <c r="D378" s="841">
        <f t="shared" si="363"/>
        <v>0</v>
      </c>
      <c r="E378" s="841">
        <f t="shared" si="363"/>
        <v>0</v>
      </c>
      <c r="F378" s="841">
        <f t="shared" si="363"/>
        <v>0</v>
      </c>
      <c r="G378" s="841">
        <f t="shared" si="363"/>
        <v>0</v>
      </c>
      <c r="H378" s="840">
        <f t="shared" si="363"/>
        <v>0</v>
      </c>
      <c r="I378" s="841">
        <f t="shared" si="363"/>
        <v>0</v>
      </c>
      <c r="J378" s="841">
        <f t="shared" si="363"/>
        <v>0</v>
      </c>
      <c r="K378" s="841">
        <f t="shared" si="363"/>
        <v>0</v>
      </c>
      <c r="L378" s="841">
        <f t="shared" si="363"/>
        <v>0</v>
      </c>
      <c r="M378" s="841">
        <f t="shared" si="363"/>
        <v>0</v>
      </c>
      <c r="N378" s="841">
        <f t="shared" si="363"/>
        <v>0</v>
      </c>
      <c r="O378" s="841">
        <f t="shared" si="363"/>
        <v>0</v>
      </c>
      <c r="P378" s="841">
        <f t="shared" si="363"/>
        <v>0</v>
      </c>
      <c r="Q378" s="842">
        <f t="shared" si="363"/>
        <v>0</v>
      </c>
    </row>
    <row r="379" spans="1:18">
      <c r="A379" s="481">
        <v>98</v>
      </c>
      <c r="B379" s="840">
        <f t="shared" ref="B379:Q379" si="364">B165+B272</f>
        <v>0</v>
      </c>
      <c r="C379" s="841">
        <f t="shared" si="364"/>
        <v>0</v>
      </c>
      <c r="D379" s="841">
        <f t="shared" si="364"/>
        <v>0</v>
      </c>
      <c r="E379" s="841">
        <f t="shared" si="364"/>
        <v>0</v>
      </c>
      <c r="F379" s="841">
        <f t="shared" si="364"/>
        <v>0</v>
      </c>
      <c r="G379" s="841">
        <f t="shared" si="364"/>
        <v>0</v>
      </c>
      <c r="H379" s="840">
        <f t="shared" si="364"/>
        <v>0</v>
      </c>
      <c r="I379" s="841">
        <f t="shared" si="364"/>
        <v>0</v>
      </c>
      <c r="J379" s="841">
        <f t="shared" si="364"/>
        <v>0</v>
      </c>
      <c r="K379" s="841">
        <f t="shared" si="364"/>
        <v>0</v>
      </c>
      <c r="L379" s="841">
        <f t="shared" si="364"/>
        <v>0</v>
      </c>
      <c r="M379" s="841">
        <f t="shared" si="364"/>
        <v>0</v>
      </c>
      <c r="N379" s="841">
        <f t="shared" si="364"/>
        <v>0</v>
      </c>
      <c r="O379" s="841">
        <f t="shared" si="364"/>
        <v>0</v>
      </c>
      <c r="P379" s="841">
        <f t="shared" si="364"/>
        <v>0</v>
      </c>
      <c r="Q379" s="842">
        <f t="shared" si="364"/>
        <v>0</v>
      </c>
    </row>
    <row r="380" spans="1:18">
      <c r="A380" s="481">
        <v>99</v>
      </c>
      <c r="B380" s="840">
        <v>0</v>
      </c>
      <c r="C380" s="841">
        <f t="shared" ref="C380:Q380" si="365">C166+C273</f>
        <v>0</v>
      </c>
      <c r="D380" s="841">
        <f t="shared" si="365"/>
        <v>0</v>
      </c>
      <c r="E380" s="841">
        <f t="shared" si="365"/>
        <v>0</v>
      </c>
      <c r="F380" s="841">
        <f t="shared" si="365"/>
        <v>0</v>
      </c>
      <c r="G380" s="841">
        <f t="shared" si="365"/>
        <v>0</v>
      </c>
      <c r="H380" s="840">
        <f t="shared" si="365"/>
        <v>0</v>
      </c>
      <c r="I380" s="841">
        <f t="shared" si="365"/>
        <v>0</v>
      </c>
      <c r="J380" s="841">
        <f t="shared" si="365"/>
        <v>0</v>
      </c>
      <c r="K380" s="841">
        <f t="shared" si="365"/>
        <v>0</v>
      </c>
      <c r="L380" s="841">
        <f t="shared" si="365"/>
        <v>0</v>
      </c>
      <c r="M380" s="841">
        <f t="shared" si="365"/>
        <v>0</v>
      </c>
      <c r="N380" s="841">
        <f t="shared" si="365"/>
        <v>0</v>
      </c>
      <c r="O380" s="841">
        <f t="shared" si="365"/>
        <v>0</v>
      </c>
      <c r="P380" s="841">
        <f t="shared" si="365"/>
        <v>0</v>
      </c>
      <c r="Q380" s="842">
        <f t="shared" si="365"/>
        <v>0</v>
      </c>
    </row>
    <row r="381" spans="1:18">
      <c r="A381" s="482">
        <v>100</v>
      </c>
      <c r="B381" s="840">
        <f t="shared" ref="B381:Q381" si="366">B167+B274</f>
        <v>0</v>
      </c>
      <c r="C381" s="841">
        <f t="shared" si="366"/>
        <v>0</v>
      </c>
      <c r="D381" s="841">
        <f t="shared" si="366"/>
        <v>0</v>
      </c>
      <c r="E381" s="841">
        <f t="shared" si="366"/>
        <v>0</v>
      </c>
      <c r="F381" s="841">
        <f t="shared" si="366"/>
        <v>0</v>
      </c>
      <c r="G381" s="841">
        <f t="shared" si="366"/>
        <v>0</v>
      </c>
      <c r="H381" s="840">
        <f t="shared" si="366"/>
        <v>0</v>
      </c>
      <c r="I381" s="841">
        <f t="shared" si="366"/>
        <v>0</v>
      </c>
      <c r="J381" s="841">
        <f t="shared" si="366"/>
        <v>0</v>
      </c>
      <c r="K381" s="841">
        <f t="shared" si="366"/>
        <v>0</v>
      </c>
      <c r="L381" s="841">
        <f t="shared" si="366"/>
        <v>0</v>
      </c>
      <c r="M381" s="841">
        <f t="shared" si="366"/>
        <v>0</v>
      </c>
      <c r="N381" s="841">
        <f t="shared" si="366"/>
        <v>0</v>
      </c>
      <c r="O381" s="841">
        <f t="shared" si="366"/>
        <v>0</v>
      </c>
      <c r="P381" s="841">
        <f t="shared" si="366"/>
        <v>0</v>
      </c>
      <c r="Q381" s="842">
        <f t="shared" si="366"/>
        <v>0</v>
      </c>
    </row>
    <row r="382" spans="1:18">
      <c r="A382" s="482" t="s">
        <v>760</v>
      </c>
      <c r="B382" s="847">
        <f>SUM(B281:B381)</f>
        <v>81932.037994256243</v>
      </c>
      <c r="C382" s="847">
        <f>SUM(C281:C381)</f>
        <v>83014.366717032652</v>
      </c>
      <c r="D382" s="847">
        <f t="shared" ref="D382:Q382" si="367">SUM(D281:D381)</f>
        <v>84072.424624483916</v>
      </c>
      <c r="E382" s="847">
        <f t="shared" si="367"/>
        <v>85116.94299782801</v>
      </c>
      <c r="F382" s="847">
        <f t="shared" si="367"/>
        <v>86164.532999999996</v>
      </c>
      <c r="G382" s="847">
        <f t="shared" si="367"/>
        <v>87230.198881363103</v>
      </c>
      <c r="H382" s="847">
        <f t="shared" si="367"/>
        <v>88309.938053131264</v>
      </c>
      <c r="I382" s="847">
        <f t="shared" si="367"/>
        <v>89401.076041550536</v>
      </c>
      <c r="J382" s="847">
        <f t="shared" si="367"/>
        <v>90496.724979761595</v>
      </c>
      <c r="K382" s="847">
        <f t="shared" si="367"/>
        <v>91586.540135270552</v>
      </c>
      <c r="L382" s="847">
        <f t="shared" si="367"/>
        <v>92662.052200169128</v>
      </c>
      <c r="M382" s="847">
        <f t="shared" si="367"/>
        <v>93721.152924258669</v>
      </c>
      <c r="N382" s="847">
        <f t="shared" si="367"/>
        <v>94763.377533003819</v>
      </c>
      <c r="O382" s="847">
        <f t="shared" si="367"/>
        <v>95783.769336849669</v>
      </c>
      <c r="P382" s="847">
        <f t="shared" si="367"/>
        <v>96776.947721569682</v>
      </c>
      <c r="Q382" s="847">
        <f t="shared" si="367"/>
        <v>97738.748317780119</v>
      </c>
      <c r="R382" s="76"/>
    </row>
    <row r="383" spans="1:18">
      <c r="E383" s="228"/>
      <c r="F383" s="228"/>
      <c r="G383" s="228"/>
      <c r="H383" s="228"/>
      <c r="Q383" s="228"/>
    </row>
    <row r="384" spans="1:18" s="75" customFormat="1">
      <c r="E384" s="141">
        <f>SUM(E296:E345)</f>
        <v>56920.220916425817</v>
      </c>
      <c r="F384" s="141"/>
      <c r="G384" s="141"/>
    </row>
    <row r="385" spans="1:18" s="75" customFormat="1">
      <c r="E385" s="141"/>
      <c r="F385" s="141"/>
      <c r="G385" s="141"/>
    </row>
    <row r="386" spans="1:18" s="75" customFormat="1" ht="21">
      <c r="A386" s="86" t="s">
        <v>436</v>
      </c>
    </row>
    <row r="387" spans="1:18" s="75" customFormat="1"/>
    <row r="388" spans="1:18" s="75" customFormat="1" ht="17.25">
      <c r="A388" s="87" t="s">
        <v>783</v>
      </c>
    </row>
    <row r="389" spans="1:18" s="75" customFormat="1"/>
    <row r="390" spans="1:18" s="75" customFormat="1" ht="18.75">
      <c r="A390" s="92" t="s">
        <v>188</v>
      </c>
    </row>
    <row r="391" spans="1:18" s="75" customFormat="1" ht="17.25">
      <c r="A391" s="467"/>
      <c r="B391" s="1488" t="s">
        <v>730</v>
      </c>
      <c r="C391" s="1489"/>
      <c r="D391" s="1489"/>
      <c r="E391" s="1489"/>
      <c r="F391" s="1489"/>
      <c r="G391" s="1489"/>
      <c r="H391" s="1488" t="s">
        <v>734</v>
      </c>
      <c r="I391" s="1489"/>
      <c r="J391" s="1489"/>
      <c r="K391" s="1489"/>
      <c r="L391" s="1489"/>
      <c r="M391" s="1489"/>
      <c r="N391" s="1489"/>
      <c r="O391" s="1489"/>
      <c r="P391" s="1489"/>
      <c r="Q391" s="1490"/>
      <c r="R391" s="1491" t="s">
        <v>744</v>
      </c>
    </row>
    <row r="392" spans="1:18" s="75" customFormat="1">
      <c r="A392" s="468" t="s">
        <v>746</v>
      </c>
      <c r="B392" s="468">
        <v>2005</v>
      </c>
      <c r="C392" s="469">
        <v>2006</v>
      </c>
      <c r="D392" s="469">
        <v>2007</v>
      </c>
      <c r="E392" s="469">
        <v>2008</v>
      </c>
      <c r="F392" s="469">
        <v>2009</v>
      </c>
      <c r="G392" s="470">
        <v>2010</v>
      </c>
      <c r="H392" s="469">
        <v>2011</v>
      </c>
      <c r="I392" s="469">
        <v>2012</v>
      </c>
      <c r="J392" s="469">
        <v>2013</v>
      </c>
      <c r="K392" s="469">
        <v>2014</v>
      </c>
      <c r="L392" s="469">
        <v>2015</v>
      </c>
      <c r="M392" s="469">
        <v>2016</v>
      </c>
      <c r="N392" s="469">
        <v>2017</v>
      </c>
      <c r="O392" s="469">
        <v>2018</v>
      </c>
      <c r="P392" s="469">
        <v>2019</v>
      </c>
      <c r="Q392" s="470">
        <v>2020</v>
      </c>
      <c r="R392" s="1492"/>
    </row>
    <row r="393" spans="1:18" s="75" customFormat="1">
      <c r="A393" s="486" t="s">
        <v>87</v>
      </c>
      <c r="B393" s="487">
        <v>847.55200000000002</v>
      </c>
      <c r="C393" s="487">
        <v>843.803</v>
      </c>
      <c r="D393" s="487">
        <v>820.64400000000001</v>
      </c>
      <c r="E393" s="487">
        <v>786.23900000000003</v>
      </c>
      <c r="F393" s="487">
        <v>753.06</v>
      </c>
      <c r="G393" s="487">
        <v>730.09</v>
      </c>
      <c r="H393" s="487">
        <v>719.64800000000002</v>
      </c>
      <c r="I393" s="487">
        <v>718.53200000000004</v>
      </c>
      <c r="J393" s="487">
        <v>723.62800000000004</v>
      </c>
      <c r="K393" s="487">
        <v>729.84500000000003</v>
      </c>
      <c r="L393" s="487">
        <v>733.46900000000005</v>
      </c>
      <c r="M393" s="487">
        <v>733.74800000000005</v>
      </c>
      <c r="N393" s="487">
        <v>732.01499999999999</v>
      </c>
      <c r="O393" s="487">
        <v>729.04600000000005</v>
      </c>
      <c r="P393" s="487">
        <v>726.20899999999995</v>
      </c>
      <c r="Q393" s="487">
        <v>724.423</v>
      </c>
    </row>
    <row r="394" spans="1:18" s="75" customFormat="1">
      <c r="A394" s="488" t="s">
        <v>88</v>
      </c>
      <c r="B394" s="489">
        <v>789.40800000000002</v>
      </c>
      <c r="C394" s="489">
        <v>786.08799999999997</v>
      </c>
      <c r="D394" s="489">
        <v>775.31799999999998</v>
      </c>
      <c r="E394" s="489">
        <v>760.26900000000001</v>
      </c>
      <c r="F394" s="489">
        <v>745.93299999999999</v>
      </c>
      <c r="G394" s="489">
        <v>735.89800000000002</v>
      </c>
      <c r="H394" s="489">
        <v>730.947</v>
      </c>
      <c r="I394" s="489">
        <v>729.66700000000003</v>
      </c>
      <c r="J394" s="489">
        <v>730.84299999999996</v>
      </c>
      <c r="K394" s="489">
        <v>732.52099999999996</v>
      </c>
      <c r="L394" s="489">
        <v>733.26700000000005</v>
      </c>
      <c r="M394" s="489">
        <v>732.73400000000004</v>
      </c>
      <c r="N394" s="489">
        <v>731.38699999999994</v>
      </c>
      <c r="O394" s="489">
        <v>729.55700000000002</v>
      </c>
      <c r="P394" s="489">
        <v>727.82500000000005</v>
      </c>
      <c r="Q394" s="489">
        <v>726.56</v>
      </c>
    </row>
    <row r="395" spans="1:18" s="75" customFormat="1">
      <c r="A395" s="488" t="s">
        <v>89</v>
      </c>
      <c r="B395" s="489">
        <v>752.22400000000005</v>
      </c>
      <c r="C395" s="489">
        <v>748.08900000000006</v>
      </c>
      <c r="D395" s="489">
        <v>745.16700000000003</v>
      </c>
      <c r="E395" s="489">
        <v>743.09199999999998</v>
      </c>
      <c r="F395" s="489">
        <v>741.529</v>
      </c>
      <c r="G395" s="489">
        <v>740.20600000000002</v>
      </c>
      <c r="H395" s="489">
        <v>738.851</v>
      </c>
      <c r="I395" s="489">
        <v>737.33600000000001</v>
      </c>
      <c r="J395" s="489">
        <v>735.74</v>
      </c>
      <c r="K395" s="489">
        <v>734.25900000000001</v>
      </c>
      <c r="L395" s="489">
        <v>733.02200000000005</v>
      </c>
      <c r="M395" s="489">
        <v>731.94600000000003</v>
      </c>
      <c r="N395" s="489">
        <v>730.89700000000005</v>
      </c>
      <c r="O395" s="489">
        <v>729.89</v>
      </c>
      <c r="P395" s="489">
        <v>728.95500000000004</v>
      </c>
      <c r="Q395" s="489">
        <v>728.08100000000002</v>
      </c>
    </row>
    <row r="396" spans="1:18" s="75" customFormat="1">
      <c r="A396" s="488" t="s">
        <v>90</v>
      </c>
      <c r="B396" s="489">
        <v>733.39099999999996</v>
      </c>
      <c r="C396" s="489">
        <v>727.45699999999999</v>
      </c>
      <c r="D396" s="489">
        <v>728.48599999999999</v>
      </c>
      <c r="E396" s="489">
        <v>733.85500000000002</v>
      </c>
      <c r="F396" s="489">
        <v>739.77499999999998</v>
      </c>
      <c r="G396" s="489">
        <v>743.47900000000004</v>
      </c>
      <c r="H396" s="489">
        <v>744.04899999999998</v>
      </c>
      <c r="I396" s="489">
        <v>742.20500000000004</v>
      </c>
      <c r="J396" s="489">
        <v>738.80100000000004</v>
      </c>
      <c r="K396" s="489">
        <v>735.32299999999998</v>
      </c>
      <c r="L396" s="489">
        <v>732.84299999999996</v>
      </c>
      <c r="M396" s="489">
        <v>731.43399999999997</v>
      </c>
      <c r="N396" s="489">
        <v>730.58699999999999</v>
      </c>
      <c r="O396" s="489">
        <v>730.11300000000006</v>
      </c>
      <c r="P396" s="489">
        <v>729.697</v>
      </c>
      <c r="Q396" s="489">
        <v>729.09100000000001</v>
      </c>
    </row>
    <row r="397" spans="1:18" s="75" customFormat="1">
      <c r="A397" s="488" t="s">
        <v>91</v>
      </c>
      <c r="B397" s="489">
        <v>730.29600000000005</v>
      </c>
      <c r="C397" s="489">
        <v>721.84199999999998</v>
      </c>
      <c r="D397" s="489">
        <v>723.57</v>
      </c>
      <c r="E397" s="489">
        <v>731.69500000000005</v>
      </c>
      <c r="F397" s="489">
        <v>740.59799999999996</v>
      </c>
      <c r="G397" s="489">
        <v>746.18</v>
      </c>
      <c r="H397" s="489">
        <v>747.23</v>
      </c>
      <c r="I397" s="489">
        <v>744.94100000000003</v>
      </c>
      <c r="J397" s="489">
        <v>740.5</v>
      </c>
      <c r="K397" s="489">
        <v>735.97299999999996</v>
      </c>
      <c r="L397" s="489">
        <v>732.84199999999998</v>
      </c>
      <c r="M397" s="489">
        <v>731.24699999999996</v>
      </c>
      <c r="N397" s="489">
        <v>730.495</v>
      </c>
      <c r="O397" s="489">
        <v>730.29</v>
      </c>
      <c r="P397" s="489">
        <v>730.14599999999996</v>
      </c>
      <c r="Q397" s="489">
        <v>729.69399999999996</v>
      </c>
    </row>
    <row r="398" spans="1:18" s="75" customFormat="1">
      <c r="A398" s="488" t="s">
        <v>92</v>
      </c>
      <c r="B398" s="489">
        <v>740.32899999999995</v>
      </c>
      <c r="C398" s="489">
        <v>728.89599999999996</v>
      </c>
      <c r="D398" s="489">
        <v>728.71500000000003</v>
      </c>
      <c r="E398" s="489">
        <v>735.75699999999995</v>
      </c>
      <c r="F398" s="489">
        <v>743.92499999999995</v>
      </c>
      <c r="G398" s="489">
        <v>748.774</v>
      </c>
      <c r="H398" s="489">
        <v>749.08500000000004</v>
      </c>
      <c r="I398" s="489">
        <v>746.21199999999999</v>
      </c>
      <c r="J398" s="489">
        <v>741.32100000000003</v>
      </c>
      <c r="K398" s="489">
        <v>736.47</v>
      </c>
      <c r="L398" s="489">
        <v>733.13099999999997</v>
      </c>
      <c r="M398" s="489">
        <v>731.43299999999999</v>
      </c>
      <c r="N398" s="489">
        <v>730.66300000000001</v>
      </c>
      <c r="O398" s="489">
        <v>730.49300000000005</v>
      </c>
      <c r="P398" s="489">
        <v>730.4</v>
      </c>
      <c r="Q398" s="489">
        <v>729.99300000000005</v>
      </c>
    </row>
    <row r="399" spans="1:18" s="75" customFormat="1">
      <c r="A399" s="488" t="s">
        <v>93</v>
      </c>
      <c r="B399" s="489">
        <v>760.88</v>
      </c>
      <c r="C399" s="489">
        <v>746.26700000000005</v>
      </c>
      <c r="D399" s="489">
        <v>742.21600000000001</v>
      </c>
      <c r="E399" s="489">
        <v>745.18200000000002</v>
      </c>
      <c r="F399" s="489">
        <v>749.68600000000004</v>
      </c>
      <c r="G399" s="489">
        <v>751.72199999999998</v>
      </c>
      <c r="H399" s="489">
        <v>750.30399999999997</v>
      </c>
      <c r="I399" s="489">
        <v>746.68200000000002</v>
      </c>
      <c r="J399" s="489">
        <v>741.73900000000003</v>
      </c>
      <c r="K399" s="489">
        <v>737.07299999999998</v>
      </c>
      <c r="L399" s="489">
        <v>733.81899999999996</v>
      </c>
      <c r="M399" s="489">
        <v>732.04200000000003</v>
      </c>
      <c r="N399" s="489">
        <v>731.13199999999995</v>
      </c>
      <c r="O399" s="489">
        <v>730.78899999999999</v>
      </c>
      <c r="P399" s="489">
        <v>730.55700000000002</v>
      </c>
      <c r="Q399" s="489">
        <v>730.09500000000003</v>
      </c>
    </row>
    <row r="400" spans="1:18" s="75" customFormat="1">
      <c r="A400" s="488" t="s">
        <v>94</v>
      </c>
      <c r="B400" s="489">
        <v>789.33500000000004</v>
      </c>
      <c r="C400" s="489">
        <v>771.60900000000004</v>
      </c>
      <c r="D400" s="489">
        <v>762.37</v>
      </c>
      <c r="E400" s="489">
        <v>759.11099999999999</v>
      </c>
      <c r="F400" s="489">
        <v>757.80499999999995</v>
      </c>
      <c r="G400" s="489">
        <v>755.49199999999996</v>
      </c>
      <c r="H400" s="489">
        <v>751.57500000000005</v>
      </c>
      <c r="I400" s="489">
        <v>747.02</v>
      </c>
      <c r="J400" s="489">
        <v>742.23599999999999</v>
      </c>
      <c r="K400" s="489">
        <v>738.04700000000003</v>
      </c>
      <c r="L400" s="489">
        <v>735.02</v>
      </c>
      <c r="M400" s="489">
        <v>733.12099999999998</v>
      </c>
      <c r="N400" s="489">
        <v>731.94100000000003</v>
      </c>
      <c r="O400" s="489">
        <v>731.24400000000003</v>
      </c>
      <c r="P400" s="489">
        <v>730.71100000000001</v>
      </c>
      <c r="Q400" s="489">
        <v>730.10299999999995</v>
      </c>
    </row>
    <row r="401" spans="1:17" s="75" customFormat="1">
      <c r="A401" s="488" t="s">
        <v>95</v>
      </c>
      <c r="B401" s="489">
        <v>823.08500000000004</v>
      </c>
      <c r="C401" s="489">
        <v>802.57299999999998</v>
      </c>
      <c r="D401" s="489">
        <v>787.46900000000005</v>
      </c>
      <c r="E401" s="489">
        <v>776.68700000000001</v>
      </c>
      <c r="F401" s="489">
        <v>768.21299999999997</v>
      </c>
      <c r="G401" s="489">
        <v>760.54499999999996</v>
      </c>
      <c r="H401" s="489">
        <v>753.59</v>
      </c>
      <c r="I401" s="489">
        <v>747.89400000000001</v>
      </c>
      <c r="J401" s="489">
        <v>743.29</v>
      </c>
      <c r="K401" s="489">
        <v>739.649</v>
      </c>
      <c r="L401" s="489">
        <v>736.84</v>
      </c>
      <c r="M401" s="489">
        <v>734.721</v>
      </c>
      <c r="N401" s="489">
        <v>733.13199999999995</v>
      </c>
      <c r="O401" s="489">
        <v>731.92600000000004</v>
      </c>
      <c r="P401" s="489">
        <v>730.96100000000001</v>
      </c>
      <c r="Q401" s="489">
        <v>730.11900000000003</v>
      </c>
    </row>
    <row r="402" spans="1:17" s="75" customFormat="1">
      <c r="A402" s="488" t="s">
        <v>96</v>
      </c>
      <c r="B402" s="489">
        <v>859.51900000000001</v>
      </c>
      <c r="C402" s="489">
        <v>836.80600000000004</v>
      </c>
      <c r="D402" s="489">
        <v>815.81299999999999</v>
      </c>
      <c r="E402" s="489">
        <v>797.05100000000004</v>
      </c>
      <c r="F402" s="489">
        <v>780.83399999999995</v>
      </c>
      <c r="G402" s="489">
        <v>767.34500000000003</v>
      </c>
      <c r="H402" s="489">
        <v>757.03700000000003</v>
      </c>
      <c r="I402" s="489">
        <v>749.96699999999998</v>
      </c>
      <c r="J402" s="489">
        <v>745.37900000000002</v>
      </c>
      <c r="K402" s="489">
        <v>742.14200000000005</v>
      </c>
      <c r="L402" s="489">
        <v>739.39599999999996</v>
      </c>
      <c r="M402" s="489">
        <v>736.89</v>
      </c>
      <c r="N402" s="489">
        <v>734.745</v>
      </c>
      <c r="O402" s="489">
        <v>732.90599999999995</v>
      </c>
      <c r="P402" s="489">
        <v>731.40499999999997</v>
      </c>
      <c r="Q402" s="489">
        <v>730.25199999999995</v>
      </c>
    </row>
    <row r="403" spans="1:17" s="75" customFormat="1">
      <c r="A403" s="488" t="s">
        <v>97</v>
      </c>
      <c r="B403" s="489">
        <v>899.32799999999997</v>
      </c>
      <c r="C403" s="489">
        <v>874.34799999999996</v>
      </c>
      <c r="D403" s="489">
        <v>846.57100000000003</v>
      </c>
      <c r="E403" s="489">
        <v>818.49099999999999</v>
      </c>
      <c r="F403" s="489">
        <v>793.303</v>
      </c>
      <c r="G403" s="489">
        <v>773.27599999999995</v>
      </c>
      <c r="H403" s="489">
        <v>759.53200000000004</v>
      </c>
      <c r="I403" s="489">
        <v>751.5</v>
      </c>
      <c r="J403" s="489">
        <v>747.62300000000005</v>
      </c>
      <c r="K403" s="489">
        <v>745.45</v>
      </c>
      <c r="L403" s="489">
        <v>743.15700000000004</v>
      </c>
      <c r="M403" s="489">
        <v>740.33299999999997</v>
      </c>
      <c r="N403" s="489">
        <v>737.46600000000001</v>
      </c>
      <c r="O403" s="489">
        <v>734.67499999999995</v>
      </c>
      <c r="P403" s="489">
        <v>732.31700000000001</v>
      </c>
      <c r="Q403" s="489">
        <v>730.62199999999996</v>
      </c>
    </row>
    <row r="404" spans="1:17" s="75" customFormat="1">
      <c r="A404" s="488" t="s">
        <v>98</v>
      </c>
      <c r="B404" s="489">
        <v>943.20899999999995</v>
      </c>
      <c r="C404" s="489">
        <v>915.23500000000001</v>
      </c>
      <c r="D404" s="489">
        <v>878.91499999999996</v>
      </c>
      <c r="E404" s="489">
        <v>839.29399999999998</v>
      </c>
      <c r="F404" s="489">
        <v>803.25599999999997</v>
      </c>
      <c r="G404" s="489">
        <v>775.71699999999998</v>
      </c>
      <c r="H404" s="489">
        <v>758.69</v>
      </c>
      <c r="I404" s="489">
        <v>750.75</v>
      </c>
      <c r="J404" s="489">
        <v>749.14099999999996</v>
      </c>
      <c r="K404" s="489">
        <v>749.495</v>
      </c>
      <c r="L404" s="489">
        <v>748.6</v>
      </c>
      <c r="M404" s="489">
        <v>745.75900000000001</v>
      </c>
      <c r="N404" s="489">
        <v>741.97699999999998</v>
      </c>
      <c r="O404" s="489">
        <v>737.73099999999999</v>
      </c>
      <c r="P404" s="489">
        <v>733.97</v>
      </c>
      <c r="Q404" s="489">
        <v>731.35400000000004</v>
      </c>
    </row>
    <row r="405" spans="1:17" s="75" customFormat="1">
      <c r="A405" s="488" t="s">
        <v>99</v>
      </c>
      <c r="B405" s="489">
        <v>972.02499999999998</v>
      </c>
      <c r="C405" s="489">
        <v>945.18899999999996</v>
      </c>
      <c r="D405" s="489">
        <v>906.75900000000001</v>
      </c>
      <c r="E405" s="489">
        <v>862.87300000000005</v>
      </c>
      <c r="F405" s="489">
        <v>822.08500000000004</v>
      </c>
      <c r="G405" s="489">
        <v>790.54600000000005</v>
      </c>
      <c r="H405" s="489">
        <v>770.57500000000005</v>
      </c>
      <c r="I405" s="489">
        <v>760.43</v>
      </c>
      <c r="J405" s="489">
        <v>757.21299999999997</v>
      </c>
      <c r="K405" s="489">
        <v>756.22500000000002</v>
      </c>
      <c r="L405" s="489">
        <v>754.01900000000001</v>
      </c>
      <c r="M405" s="489">
        <v>749.928</v>
      </c>
      <c r="N405" s="489">
        <v>745.1</v>
      </c>
      <c r="O405" s="489">
        <v>740.00300000000004</v>
      </c>
      <c r="P405" s="489">
        <v>735.57399999999996</v>
      </c>
      <c r="Q405" s="489">
        <v>732.45699999999999</v>
      </c>
    </row>
    <row r="406" spans="1:17" s="75" customFormat="1">
      <c r="A406" s="488" t="s">
        <v>100</v>
      </c>
      <c r="B406" s="489">
        <v>976.553</v>
      </c>
      <c r="C406" s="489">
        <v>957.09299999999996</v>
      </c>
      <c r="D406" s="489">
        <v>926.64200000000005</v>
      </c>
      <c r="E406" s="489">
        <v>890.08100000000002</v>
      </c>
      <c r="F406" s="489">
        <v>854.31</v>
      </c>
      <c r="G406" s="489">
        <v>824.38800000000003</v>
      </c>
      <c r="H406" s="489">
        <v>802.02099999999996</v>
      </c>
      <c r="I406" s="489">
        <v>786.02300000000002</v>
      </c>
      <c r="J406" s="489">
        <v>775.03700000000003</v>
      </c>
      <c r="K406" s="489">
        <v>766.57799999999997</v>
      </c>
      <c r="L406" s="489">
        <v>758.8</v>
      </c>
      <c r="M406" s="489">
        <v>751.57299999999998</v>
      </c>
      <c r="N406" s="489">
        <v>745.58600000000001</v>
      </c>
      <c r="O406" s="489">
        <v>740.70399999999995</v>
      </c>
      <c r="P406" s="489">
        <v>736.87</v>
      </c>
      <c r="Q406" s="489">
        <v>733.995</v>
      </c>
    </row>
    <row r="407" spans="1:17" s="75" customFormat="1">
      <c r="A407" s="488" t="s">
        <v>101</v>
      </c>
      <c r="B407" s="489">
        <v>964.09799999999996</v>
      </c>
      <c r="C407" s="489">
        <v>955.75199999999995</v>
      </c>
      <c r="D407" s="489">
        <v>939.49199999999996</v>
      </c>
      <c r="E407" s="489">
        <v>917.495</v>
      </c>
      <c r="F407" s="489">
        <v>892.97299999999996</v>
      </c>
      <c r="G407" s="489">
        <v>868.46299999999997</v>
      </c>
      <c r="H407" s="489">
        <v>844.49900000000002</v>
      </c>
      <c r="I407" s="489">
        <v>820.97199999999998</v>
      </c>
      <c r="J407" s="489">
        <v>799.01300000000003</v>
      </c>
      <c r="K407" s="489">
        <v>779.80100000000004</v>
      </c>
      <c r="L407" s="489">
        <v>764.14400000000001</v>
      </c>
      <c r="M407" s="489">
        <v>752.71799999999996</v>
      </c>
      <c r="N407" s="489">
        <v>745.40599999999995</v>
      </c>
      <c r="O407" s="489">
        <v>741.18600000000004</v>
      </c>
      <c r="P407" s="489">
        <v>738.48800000000006</v>
      </c>
      <c r="Q407" s="489">
        <v>736.13099999999997</v>
      </c>
    </row>
    <row r="408" spans="1:17" s="75" customFormat="1">
      <c r="A408" s="488" t="s">
        <v>102</v>
      </c>
      <c r="B408" s="489">
        <v>952.63800000000003</v>
      </c>
      <c r="C408" s="489">
        <v>954.79899999999998</v>
      </c>
      <c r="D408" s="489">
        <v>951.59199999999998</v>
      </c>
      <c r="E408" s="489">
        <v>942.80600000000004</v>
      </c>
      <c r="F408" s="489">
        <v>928.41899999999998</v>
      </c>
      <c r="G408" s="489">
        <v>908.75900000000001</v>
      </c>
      <c r="H408" s="489">
        <v>883.298</v>
      </c>
      <c r="I408" s="489">
        <v>852.88599999999997</v>
      </c>
      <c r="J408" s="489">
        <v>820.94100000000003</v>
      </c>
      <c r="K408" s="489">
        <v>791.99300000000005</v>
      </c>
      <c r="L408" s="489">
        <v>769.28300000000002</v>
      </c>
      <c r="M408" s="489">
        <v>754.23800000000006</v>
      </c>
      <c r="N408" s="489">
        <v>746.00199999999995</v>
      </c>
      <c r="O408" s="489">
        <v>742.67700000000002</v>
      </c>
      <c r="P408" s="489">
        <v>741.23800000000006</v>
      </c>
      <c r="Q408" s="489">
        <v>739.44799999999998</v>
      </c>
    </row>
    <row r="409" spans="1:17" s="75" customFormat="1">
      <c r="A409" s="488" t="s">
        <v>103</v>
      </c>
      <c r="B409" s="489">
        <v>940.31700000000001</v>
      </c>
      <c r="C409" s="489">
        <v>953.55200000000002</v>
      </c>
      <c r="D409" s="489">
        <v>963.96500000000003</v>
      </c>
      <c r="E409" s="489">
        <v>968.83500000000004</v>
      </c>
      <c r="F409" s="489">
        <v>964.755</v>
      </c>
      <c r="G409" s="489">
        <v>949.755</v>
      </c>
      <c r="H409" s="489">
        <v>922.15800000000002</v>
      </c>
      <c r="I409" s="489">
        <v>883.83600000000001</v>
      </c>
      <c r="J409" s="489">
        <v>840.78200000000004</v>
      </c>
      <c r="K409" s="489">
        <v>801.28300000000002</v>
      </c>
      <c r="L409" s="489">
        <v>771.27599999999995</v>
      </c>
      <c r="M409" s="489">
        <v>753.07100000000003</v>
      </c>
      <c r="N409" s="489">
        <v>744.94600000000003</v>
      </c>
      <c r="O409" s="489">
        <v>743.84100000000001</v>
      </c>
      <c r="P409" s="489">
        <v>744.86300000000006</v>
      </c>
      <c r="Q409" s="489">
        <v>744.41600000000005</v>
      </c>
    </row>
    <row r="410" spans="1:17" s="75" customFormat="1">
      <c r="A410" s="488" t="s">
        <v>104</v>
      </c>
      <c r="B410" s="489">
        <v>920.73800000000006</v>
      </c>
      <c r="C410" s="489">
        <v>941.31700000000001</v>
      </c>
      <c r="D410" s="489">
        <v>961.27</v>
      </c>
      <c r="E410" s="489">
        <v>976.34</v>
      </c>
      <c r="F410" s="489">
        <v>981.01400000000001</v>
      </c>
      <c r="G410" s="489">
        <v>971.83</v>
      </c>
      <c r="H410" s="489">
        <v>946.52700000000004</v>
      </c>
      <c r="I410" s="489">
        <v>907.48099999999999</v>
      </c>
      <c r="J410" s="489">
        <v>861.60199999999998</v>
      </c>
      <c r="K410" s="489">
        <v>818.60900000000004</v>
      </c>
      <c r="L410" s="489">
        <v>785.50400000000002</v>
      </c>
      <c r="M410" s="489">
        <v>764.83699999999999</v>
      </c>
      <c r="N410" s="489">
        <v>754.61800000000005</v>
      </c>
      <c r="O410" s="489">
        <v>751.76400000000001</v>
      </c>
      <c r="P410" s="489">
        <v>751.23099999999999</v>
      </c>
      <c r="Q410" s="489">
        <v>749.31899999999996</v>
      </c>
    </row>
    <row r="411" spans="1:17" s="75" customFormat="1">
      <c r="A411" s="488" t="s">
        <v>105</v>
      </c>
      <c r="B411" s="489">
        <v>893.07899999999995</v>
      </c>
      <c r="C411" s="489">
        <v>914.78899999999999</v>
      </c>
      <c r="D411" s="489">
        <v>937.221</v>
      </c>
      <c r="E411" s="489">
        <v>956.255</v>
      </c>
      <c r="F411" s="489">
        <v>966.46900000000005</v>
      </c>
      <c r="G411" s="489">
        <v>964.32399999999996</v>
      </c>
      <c r="H411" s="489">
        <v>947.92700000000002</v>
      </c>
      <c r="I411" s="489">
        <v>919.27599999999995</v>
      </c>
      <c r="J411" s="489">
        <v>883.55499999999995</v>
      </c>
      <c r="K411" s="489">
        <v>848.16700000000003</v>
      </c>
      <c r="L411" s="489">
        <v>818.55200000000002</v>
      </c>
      <c r="M411" s="489">
        <v>796.47299999999996</v>
      </c>
      <c r="N411" s="489">
        <v>780.64099999999996</v>
      </c>
      <c r="O411" s="489">
        <v>769.745</v>
      </c>
      <c r="P411" s="489">
        <v>761.32500000000005</v>
      </c>
      <c r="Q411" s="489">
        <v>753.55600000000004</v>
      </c>
    </row>
    <row r="412" spans="1:17" s="75" customFormat="1">
      <c r="A412" s="488" t="s">
        <v>106</v>
      </c>
      <c r="B412" s="489">
        <v>860.30600000000004</v>
      </c>
      <c r="C412" s="489">
        <v>879.01300000000003</v>
      </c>
      <c r="D412" s="489">
        <v>899.178</v>
      </c>
      <c r="E412" s="489">
        <v>917.89800000000002</v>
      </c>
      <c r="F412" s="489">
        <v>931.29499999999996</v>
      </c>
      <c r="G412" s="489">
        <v>936.67600000000004</v>
      </c>
      <c r="H412" s="489">
        <v>933.11599999999999</v>
      </c>
      <c r="I412" s="489">
        <v>921.68399999999997</v>
      </c>
      <c r="J412" s="489">
        <v>904.20600000000002</v>
      </c>
      <c r="K412" s="489">
        <v>883.47299999999996</v>
      </c>
      <c r="L412" s="489">
        <v>861.73099999999999</v>
      </c>
      <c r="M412" s="489">
        <v>839.34</v>
      </c>
      <c r="N412" s="489">
        <v>816.29499999999996</v>
      </c>
      <c r="O412" s="489">
        <v>794.07</v>
      </c>
      <c r="P412" s="489">
        <v>774.35699999999997</v>
      </c>
      <c r="Q412" s="489">
        <v>758.34100000000001</v>
      </c>
    </row>
    <row r="413" spans="1:17" s="75" customFormat="1">
      <c r="A413" s="488" t="s">
        <v>107</v>
      </c>
      <c r="B413" s="489">
        <v>825.78300000000002</v>
      </c>
      <c r="C413" s="489">
        <v>842.19299999999998</v>
      </c>
      <c r="D413" s="489">
        <v>861.08600000000001</v>
      </c>
      <c r="E413" s="489">
        <v>880.51099999999997</v>
      </c>
      <c r="F413" s="489">
        <v>897.75099999999998</v>
      </c>
      <c r="G413" s="489">
        <v>910.72400000000005</v>
      </c>
      <c r="H413" s="489">
        <v>919.327</v>
      </c>
      <c r="I413" s="489">
        <v>923.83600000000001</v>
      </c>
      <c r="J413" s="489">
        <v>923.07</v>
      </c>
      <c r="K413" s="489">
        <v>915.70500000000004</v>
      </c>
      <c r="L413" s="489">
        <v>901.15</v>
      </c>
      <c r="M413" s="489">
        <v>878.48500000000001</v>
      </c>
      <c r="N413" s="489">
        <v>848.85400000000004</v>
      </c>
      <c r="O413" s="489">
        <v>816.30399999999997</v>
      </c>
      <c r="P413" s="489">
        <v>786.34</v>
      </c>
      <c r="Q413" s="489">
        <v>762.91899999999998</v>
      </c>
    </row>
    <row r="414" spans="1:17" s="75" customFormat="1">
      <c r="A414" s="488" t="s">
        <v>108</v>
      </c>
      <c r="B414" s="489">
        <v>788.32299999999998</v>
      </c>
      <c r="C414" s="489">
        <v>802.51300000000003</v>
      </c>
      <c r="D414" s="489">
        <v>820.53200000000004</v>
      </c>
      <c r="E414" s="489">
        <v>841.27300000000002</v>
      </c>
      <c r="F414" s="489">
        <v>863.03</v>
      </c>
      <c r="G414" s="489">
        <v>884.19600000000003</v>
      </c>
      <c r="H414" s="489">
        <v>905.50800000000004</v>
      </c>
      <c r="I414" s="489">
        <v>926.45899999999995</v>
      </c>
      <c r="J414" s="489">
        <v>942.76199999999994</v>
      </c>
      <c r="K414" s="489">
        <v>948.85799999999995</v>
      </c>
      <c r="L414" s="489">
        <v>941.25</v>
      </c>
      <c r="M414" s="489">
        <v>917.64700000000005</v>
      </c>
      <c r="N414" s="489">
        <v>880.40599999999995</v>
      </c>
      <c r="O414" s="489">
        <v>836.42700000000002</v>
      </c>
      <c r="P414" s="489">
        <v>795.41399999999999</v>
      </c>
      <c r="Q414" s="489">
        <v>764.35500000000002</v>
      </c>
    </row>
    <row r="415" spans="1:17" s="75" customFormat="1">
      <c r="A415" s="488" t="s">
        <v>109</v>
      </c>
      <c r="B415" s="489">
        <v>758.00900000000001</v>
      </c>
      <c r="C415" s="489">
        <v>769.26300000000003</v>
      </c>
      <c r="D415" s="489">
        <v>784.625</v>
      </c>
      <c r="E415" s="489">
        <v>804.00099999999998</v>
      </c>
      <c r="F415" s="489">
        <v>826.98299999999995</v>
      </c>
      <c r="G415" s="489">
        <v>852.73500000000001</v>
      </c>
      <c r="H415" s="489">
        <v>882.62</v>
      </c>
      <c r="I415" s="489">
        <v>915.47</v>
      </c>
      <c r="J415" s="489">
        <v>944.91499999999996</v>
      </c>
      <c r="K415" s="489">
        <v>962.50300000000004</v>
      </c>
      <c r="L415" s="489">
        <v>962.67899999999997</v>
      </c>
      <c r="M415" s="489">
        <v>942.37900000000002</v>
      </c>
      <c r="N415" s="489">
        <v>904.63199999999995</v>
      </c>
      <c r="O415" s="489">
        <v>857.505</v>
      </c>
      <c r="P415" s="489">
        <v>812.53399999999999</v>
      </c>
      <c r="Q415" s="489">
        <v>778.06500000000005</v>
      </c>
    </row>
    <row r="416" spans="1:17" s="75" customFormat="1">
      <c r="A416" s="488" t="s">
        <v>110</v>
      </c>
      <c r="B416" s="489">
        <v>740.04100000000005</v>
      </c>
      <c r="C416" s="489">
        <v>747.84900000000005</v>
      </c>
      <c r="D416" s="489">
        <v>758.44200000000001</v>
      </c>
      <c r="E416" s="489">
        <v>772.87099999999998</v>
      </c>
      <c r="F416" s="489">
        <v>792.31</v>
      </c>
      <c r="G416" s="489">
        <v>817.04700000000003</v>
      </c>
      <c r="H416" s="489">
        <v>848.66499999999996</v>
      </c>
      <c r="I416" s="489">
        <v>885.59400000000005</v>
      </c>
      <c r="J416" s="489">
        <v>921.13699999999994</v>
      </c>
      <c r="K416" s="489">
        <v>946.28399999999999</v>
      </c>
      <c r="L416" s="489">
        <v>954.928</v>
      </c>
      <c r="M416" s="489">
        <v>944.21900000000005</v>
      </c>
      <c r="N416" s="489">
        <v>916.95299999999997</v>
      </c>
      <c r="O416" s="489">
        <v>879.66200000000003</v>
      </c>
      <c r="P416" s="489">
        <v>841.88900000000001</v>
      </c>
      <c r="Q416" s="489">
        <v>810.65200000000004</v>
      </c>
    </row>
    <row r="417" spans="1:17" s="75" customFormat="1">
      <c r="A417" s="488" t="s">
        <v>111</v>
      </c>
      <c r="B417" s="489">
        <v>730.24199999999996</v>
      </c>
      <c r="C417" s="489">
        <v>734.42499999999995</v>
      </c>
      <c r="D417" s="489">
        <v>739.11599999999999</v>
      </c>
      <c r="E417" s="489">
        <v>746.52800000000002</v>
      </c>
      <c r="F417" s="489">
        <v>759.49300000000005</v>
      </c>
      <c r="G417" s="489">
        <v>779.57299999999998</v>
      </c>
      <c r="H417" s="489">
        <v>808.30200000000002</v>
      </c>
      <c r="I417" s="489">
        <v>843.89099999999996</v>
      </c>
      <c r="J417" s="489">
        <v>880.52</v>
      </c>
      <c r="K417" s="489">
        <v>910.202</v>
      </c>
      <c r="L417" s="489">
        <v>927.31100000000004</v>
      </c>
      <c r="M417" s="489">
        <v>929.84400000000005</v>
      </c>
      <c r="N417" s="489">
        <v>919.78300000000002</v>
      </c>
      <c r="O417" s="489">
        <v>900.44600000000003</v>
      </c>
      <c r="P417" s="489">
        <v>876.99699999999996</v>
      </c>
      <c r="Q417" s="489">
        <v>853.42899999999997</v>
      </c>
    </row>
    <row r="418" spans="1:17" s="75" customFormat="1">
      <c r="A418" s="488" t="s">
        <v>112</v>
      </c>
      <c r="B418" s="489">
        <v>719.21199999999999</v>
      </c>
      <c r="C418" s="489">
        <v>719.47699999999998</v>
      </c>
      <c r="D418" s="489">
        <v>718.07799999999997</v>
      </c>
      <c r="E418" s="489">
        <v>718.42899999999997</v>
      </c>
      <c r="F418" s="489">
        <v>725.07</v>
      </c>
      <c r="G418" s="489">
        <v>740.85799999999995</v>
      </c>
      <c r="H418" s="489">
        <v>767.34199999999998</v>
      </c>
      <c r="I418" s="489">
        <v>802.48</v>
      </c>
      <c r="J418" s="489">
        <v>841.072</v>
      </c>
      <c r="K418" s="489">
        <v>875.827</v>
      </c>
      <c r="L418" s="489">
        <v>901.37800000000004</v>
      </c>
      <c r="M418" s="489">
        <v>916.44100000000003</v>
      </c>
      <c r="N418" s="489">
        <v>922.30799999999999</v>
      </c>
      <c r="O418" s="489">
        <v>919.41899999999998</v>
      </c>
      <c r="P418" s="489">
        <v>909.03800000000001</v>
      </c>
      <c r="Q418" s="489">
        <v>892.47500000000002</v>
      </c>
    </row>
    <row r="419" spans="1:17" s="75" customFormat="1">
      <c r="A419" s="488" t="s">
        <v>113</v>
      </c>
      <c r="B419" s="489">
        <v>708.81100000000004</v>
      </c>
      <c r="C419" s="489">
        <v>704.59299999999996</v>
      </c>
      <c r="D419" s="489">
        <v>696.27800000000002</v>
      </c>
      <c r="E419" s="489">
        <v>688.66200000000003</v>
      </c>
      <c r="F419" s="489">
        <v>688.24599999999998</v>
      </c>
      <c r="G419" s="489">
        <v>699.35599999999999</v>
      </c>
      <c r="H419" s="489">
        <v>723.62199999999996</v>
      </c>
      <c r="I419" s="489">
        <v>758.67</v>
      </c>
      <c r="J419" s="489">
        <v>799.82</v>
      </c>
      <c r="K419" s="489">
        <v>840.30499999999995</v>
      </c>
      <c r="L419" s="489">
        <v>874.89</v>
      </c>
      <c r="M419" s="489">
        <v>903.02</v>
      </c>
      <c r="N419" s="489">
        <v>925.31399999999996</v>
      </c>
      <c r="O419" s="489">
        <v>939.23199999999997</v>
      </c>
      <c r="P419" s="489">
        <v>942.01300000000003</v>
      </c>
      <c r="Q419" s="489">
        <v>932.21900000000005</v>
      </c>
    </row>
    <row r="420" spans="1:17" s="75" customFormat="1">
      <c r="A420" s="488" t="s">
        <v>114</v>
      </c>
      <c r="B420" s="489">
        <v>698.44500000000005</v>
      </c>
      <c r="C420" s="489">
        <v>692.06399999999996</v>
      </c>
      <c r="D420" s="489">
        <v>680.35299999999995</v>
      </c>
      <c r="E420" s="489">
        <v>668.56899999999996</v>
      </c>
      <c r="F420" s="489">
        <v>663.88099999999997</v>
      </c>
      <c r="G420" s="489">
        <v>671.18700000000001</v>
      </c>
      <c r="H420" s="489">
        <v>691.95399999999995</v>
      </c>
      <c r="I420" s="489">
        <v>723.86300000000006</v>
      </c>
      <c r="J420" s="489">
        <v>763.24800000000005</v>
      </c>
      <c r="K420" s="489">
        <v>804.63400000000001</v>
      </c>
      <c r="L420" s="489">
        <v>843.55700000000002</v>
      </c>
      <c r="M420" s="489">
        <v>880.08399999999995</v>
      </c>
      <c r="N420" s="489">
        <v>914.17399999999998</v>
      </c>
      <c r="O420" s="489">
        <v>941.18700000000001</v>
      </c>
      <c r="P420" s="489">
        <v>955.44799999999998</v>
      </c>
      <c r="Q420" s="489">
        <v>953.43799999999999</v>
      </c>
    </row>
    <row r="421" spans="1:17" s="75" customFormat="1">
      <c r="A421" s="488" t="s">
        <v>115</v>
      </c>
      <c r="B421" s="489">
        <v>686.87300000000005</v>
      </c>
      <c r="C421" s="489">
        <v>681.97799999999995</v>
      </c>
      <c r="D421" s="489">
        <v>672.51</v>
      </c>
      <c r="E421" s="489">
        <v>662.76300000000003</v>
      </c>
      <c r="F421" s="489">
        <v>658.56799999999998</v>
      </c>
      <c r="G421" s="489">
        <v>663.98400000000004</v>
      </c>
      <c r="H421" s="489">
        <v>679.98900000000003</v>
      </c>
      <c r="I421" s="489">
        <v>704.88</v>
      </c>
      <c r="J421" s="489">
        <v>736.60699999999997</v>
      </c>
      <c r="K421" s="489">
        <v>771.95799999999997</v>
      </c>
      <c r="L421" s="489">
        <v>808.07500000000005</v>
      </c>
      <c r="M421" s="489">
        <v>845.41399999999999</v>
      </c>
      <c r="N421" s="489">
        <v>883.36900000000003</v>
      </c>
      <c r="O421" s="489">
        <v>916.75099999999998</v>
      </c>
      <c r="P421" s="489">
        <v>938.96600000000001</v>
      </c>
      <c r="Q421" s="489">
        <v>945.68</v>
      </c>
    </row>
    <row r="422" spans="1:17" s="75" customFormat="1">
      <c r="A422" s="488" t="s">
        <v>116</v>
      </c>
      <c r="B422" s="489">
        <v>674.89599999999996</v>
      </c>
      <c r="C422" s="489">
        <v>673.83799999999997</v>
      </c>
      <c r="D422" s="489">
        <v>670.22</v>
      </c>
      <c r="E422" s="489">
        <v>666.47199999999998</v>
      </c>
      <c r="F422" s="489">
        <v>665.84199999999998</v>
      </c>
      <c r="G422" s="489">
        <v>670.66499999999996</v>
      </c>
      <c r="H422" s="489">
        <v>681.23500000000001</v>
      </c>
      <c r="I422" s="489">
        <v>696.80399999999997</v>
      </c>
      <c r="J422" s="489">
        <v>717.26800000000003</v>
      </c>
      <c r="K422" s="489">
        <v>742.20699999999999</v>
      </c>
      <c r="L422" s="489">
        <v>770.85699999999997</v>
      </c>
      <c r="M422" s="489">
        <v>803.88900000000001</v>
      </c>
      <c r="N422" s="489">
        <v>840.22</v>
      </c>
      <c r="O422" s="489">
        <v>875.17200000000003</v>
      </c>
      <c r="P422" s="489">
        <v>902.59100000000001</v>
      </c>
      <c r="Q422" s="489">
        <v>918.19799999999998</v>
      </c>
    </row>
    <row r="423" spans="1:17" s="75" customFormat="1">
      <c r="A423" s="488" t="s">
        <v>117</v>
      </c>
      <c r="B423" s="489">
        <v>664.22500000000002</v>
      </c>
      <c r="C423" s="489">
        <v>666.78300000000002</v>
      </c>
      <c r="D423" s="489">
        <v>668.51</v>
      </c>
      <c r="E423" s="489">
        <v>670.101</v>
      </c>
      <c r="F423" s="489">
        <v>672.39800000000002</v>
      </c>
      <c r="G423" s="489">
        <v>676.14300000000003</v>
      </c>
      <c r="H423" s="489">
        <v>680.95299999999997</v>
      </c>
      <c r="I423" s="489">
        <v>687.00599999999997</v>
      </c>
      <c r="J423" s="489">
        <v>696.17600000000004</v>
      </c>
      <c r="K423" s="489">
        <v>710.87199999999996</v>
      </c>
      <c r="L423" s="489">
        <v>732.42499999999995</v>
      </c>
      <c r="M423" s="489">
        <v>761.79600000000005</v>
      </c>
      <c r="N423" s="489">
        <v>797.38599999999997</v>
      </c>
      <c r="O423" s="489">
        <v>834.77800000000002</v>
      </c>
      <c r="P423" s="489">
        <v>867.93399999999997</v>
      </c>
      <c r="Q423" s="489">
        <v>892.41</v>
      </c>
    </row>
    <row r="424" spans="1:17" s="75" customFormat="1">
      <c r="A424" s="488" t="s">
        <v>118</v>
      </c>
      <c r="B424" s="489">
        <v>654.125</v>
      </c>
      <c r="C424" s="489">
        <v>660.64599999999996</v>
      </c>
      <c r="D424" s="489">
        <v>668.09400000000005</v>
      </c>
      <c r="E424" s="489">
        <v>675.31200000000001</v>
      </c>
      <c r="F424" s="489">
        <v>680.59</v>
      </c>
      <c r="G424" s="489">
        <v>682.99199999999996</v>
      </c>
      <c r="H424" s="489">
        <v>681.39</v>
      </c>
      <c r="I424" s="489">
        <v>676.95</v>
      </c>
      <c r="J424" s="489">
        <v>673.73900000000003</v>
      </c>
      <c r="K424" s="489">
        <v>677.29200000000003</v>
      </c>
      <c r="L424" s="489">
        <v>691.24599999999998</v>
      </c>
      <c r="M424" s="489">
        <v>716.91700000000003</v>
      </c>
      <c r="N424" s="489">
        <v>752.11099999999999</v>
      </c>
      <c r="O424" s="489">
        <v>792.55399999999997</v>
      </c>
      <c r="P424" s="489">
        <v>832.13099999999997</v>
      </c>
      <c r="Q424" s="489">
        <v>866.08699999999999</v>
      </c>
    </row>
    <row r="425" spans="1:17" s="75" customFormat="1">
      <c r="A425" s="488" t="s">
        <v>119</v>
      </c>
      <c r="B425" s="489">
        <v>645.73099999999999</v>
      </c>
      <c r="C425" s="489">
        <v>655.37699999999995</v>
      </c>
      <c r="D425" s="489">
        <v>667.27800000000002</v>
      </c>
      <c r="E425" s="489">
        <v>678.95399999999995</v>
      </c>
      <c r="F425" s="489">
        <v>686.85900000000004</v>
      </c>
      <c r="G425" s="489">
        <v>688.82600000000002</v>
      </c>
      <c r="H425" s="489">
        <v>683.29</v>
      </c>
      <c r="I425" s="489">
        <v>672.08399999999995</v>
      </c>
      <c r="J425" s="489">
        <v>660.51400000000001</v>
      </c>
      <c r="K425" s="489">
        <v>655.91</v>
      </c>
      <c r="L425" s="489">
        <v>663.29</v>
      </c>
      <c r="M425" s="489">
        <v>684.07500000000005</v>
      </c>
      <c r="N425" s="489">
        <v>715.86699999999996</v>
      </c>
      <c r="O425" s="489">
        <v>755.04700000000003</v>
      </c>
      <c r="P425" s="489">
        <v>796.21199999999999</v>
      </c>
      <c r="Q425" s="489">
        <v>834.95299999999997</v>
      </c>
    </row>
    <row r="426" spans="1:17" s="75" customFormat="1">
      <c r="A426" s="488" t="s">
        <v>120</v>
      </c>
      <c r="B426" s="489">
        <v>639.65099999999995</v>
      </c>
      <c r="C426" s="489">
        <v>650.75099999999998</v>
      </c>
      <c r="D426" s="489">
        <v>664.62599999999998</v>
      </c>
      <c r="E426" s="489">
        <v>678.40599999999995</v>
      </c>
      <c r="F426" s="489">
        <v>687.99099999999999</v>
      </c>
      <c r="G426" s="489">
        <v>690.79700000000003</v>
      </c>
      <c r="H426" s="489">
        <v>685.32600000000002</v>
      </c>
      <c r="I426" s="489">
        <v>673.52</v>
      </c>
      <c r="J426" s="489">
        <v>660.40700000000004</v>
      </c>
      <c r="K426" s="489">
        <v>652.976</v>
      </c>
      <c r="L426" s="489">
        <v>656.11400000000003</v>
      </c>
      <c r="M426" s="489">
        <v>670.99</v>
      </c>
      <c r="N426" s="489">
        <v>695.58100000000002</v>
      </c>
      <c r="O426" s="489">
        <v>727.57899999999995</v>
      </c>
      <c r="P426" s="489">
        <v>763.34199999999998</v>
      </c>
      <c r="Q426" s="489">
        <v>799.70100000000002</v>
      </c>
    </row>
    <row r="427" spans="1:17" s="75" customFormat="1">
      <c r="A427" s="488" t="s">
        <v>121</v>
      </c>
      <c r="B427" s="489">
        <v>634.93100000000004</v>
      </c>
      <c r="C427" s="489">
        <v>646.45000000000005</v>
      </c>
      <c r="D427" s="489">
        <v>660.70399999999995</v>
      </c>
      <c r="E427" s="489">
        <v>675.05700000000002</v>
      </c>
      <c r="F427" s="489">
        <v>685.70299999999997</v>
      </c>
      <c r="G427" s="489">
        <v>690.19</v>
      </c>
      <c r="H427" s="489">
        <v>687.404</v>
      </c>
      <c r="I427" s="489">
        <v>679.04</v>
      </c>
      <c r="J427" s="489">
        <v>668.86500000000001</v>
      </c>
      <c r="K427" s="489">
        <v>662.15300000000002</v>
      </c>
      <c r="L427" s="489">
        <v>662.69899999999996</v>
      </c>
      <c r="M427" s="489">
        <v>671.17899999999997</v>
      </c>
      <c r="N427" s="489">
        <v>686.32600000000002</v>
      </c>
      <c r="O427" s="489">
        <v>707.505</v>
      </c>
      <c r="P427" s="489">
        <v>733.43499999999995</v>
      </c>
      <c r="Q427" s="489">
        <v>762.72</v>
      </c>
    </row>
    <row r="428" spans="1:17" s="75" customFormat="1">
      <c r="A428" s="488" t="s">
        <v>122</v>
      </c>
      <c r="B428" s="489">
        <v>629.63800000000003</v>
      </c>
      <c r="C428" s="489">
        <v>642.01199999999994</v>
      </c>
      <c r="D428" s="489">
        <v>657.24</v>
      </c>
      <c r="E428" s="489">
        <v>672.779</v>
      </c>
      <c r="F428" s="489">
        <v>684.92</v>
      </c>
      <c r="G428" s="489">
        <v>691.20299999999997</v>
      </c>
      <c r="H428" s="489">
        <v>690.846</v>
      </c>
      <c r="I428" s="489">
        <v>685.35799999999995</v>
      </c>
      <c r="J428" s="489">
        <v>677.38</v>
      </c>
      <c r="K428" s="489">
        <v>670.67600000000004</v>
      </c>
      <c r="L428" s="489">
        <v>668.08699999999999</v>
      </c>
      <c r="M428" s="489">
        <v>669.82100000000003</v>
      </c>
      <c r="N428" s="489">
        <v>675.322</v>
      </c>
      <c r="O428" s="489">
        <v>685.66</v>
      </c>
      <c r="P428" s="489">
        <v>701.93600000000004</v>
      </c>
      <c r="Q428" s="489">
        <v>724.52700000000004</v>
      </c>
    </row>
    <row r="429" spans="1:17" s="75" customFormat="1">
      <c r="A429" s="488" t="s">
        <v>123</v>
      </c>
      <c r="B429" s="489">
        <v>623.71900000000005</v>
      </c>
      <c r="C429" s="489">
        <v>637.08100000000002</v>
      </c>
      <c r="D429" s="489">
        <v>653.55700000000002</v>
      </c>
      <c r="E429" s="489">
        <v>670.63800000000003</v>
      </c>
      <c r="F429" s="489">
        <v>684.654</v>
      </c>
      <c r="G429" s="489">
        <v>693.07899999999995</v>
      </c>
      <c r="H429" s="489">
        <v>695.47799999999995</v>
      </c>
      <c r="I429" s="489">
        <v>693.17499999999995</v>
      </c>
      <c r="J429" s="489">
        <v>687.596</v>
      </c>
      <c r="K429" s="489">
        <v>680.87199999999996</v>
      </c>
      <c r="L429" s="489">
        <v>674.827</v>
      </c>
      <c r="M429" s="489">
        <v>669.13599999999997</v>
      </c>
      <c r="N429" s="489">
        <v>664.01599999999996</v>
      </c>
      <c r="O429" s="489">
        <v>662.44399999999996</v>
      </c>
      <c r="P429" s="489">
        <v>668.18899999999996</v>
      </c>
      <c r="Q429" s="489">
        <v>683.59299999999996</v>
      </c>
    </row>
    <row r="430" spans="1:17" s="75" customFormat="1">
      <c r="A430" s="488" t="s">
        <v>124</v>
      </c>
      <c r="B430" s="489">
        <v>617.35299999999995</v>
      </c>
      <c r="C430" s="489">
        <v>631.85299999999995</v>
      </c>
      <c r="D430" s="489">
        <v>649.23400000000004</v>
      </c>
      <c r="E430" s="489">
        <v>667.20600000000002</v>
      </c>
      <c r="F430" s="489">
        <v>682.39599999999996</v>
      </c>
      <c r="G430" s="489">
        <v>692.43399999999997</v>
      </c>
      <c r="H430" s="489">
        <v>697.149</v>
      </c>
      <c r="I430" s="489">
        <v>697.64499999999998</v>
      </c>
      <c r="J430" s="489">
        <v>694.43</v>
      </c>
      <c r="K430" s="489">
        <v>688.38900000000001</v>
      </c>
      <c r="L430" s="489">
        <v>680.54100000000005</v>
      </c>
      <c r="M430" s="489">
        <v>670.26099999999997</v>
      </c>
      <c r="N430" s="489">
        <v>658.29300000000001</v>
      </c>
      <c r="O430" s="489">
        <v>648.67200000000003</v>
      </c>
      <c r="P430" s="489">
        <v>646.66499999999996</v>
      </c>
      <c r="Q430" s="489">
        <v>655.77599999999995</v>
      </c>
    </row>
    <row r="431" spans="1:17" s="75" customFormat="1">
      <c r="A431" s="488" t="s">
        <v>125</v>
      </c>
      <c r="B431" s="489">
        <v>610.29399999999998</v>
      </c>
      <c r="C431" s="489">
        <v>626.22900000000004</v>
      </c>
      <c r="D431" s="489">
        <v>644.12900000000002</v>
      </c>
      <c r="E431" s="489">
        <v>662.10199999999998</v>
      </c>
      <c r="F431" s="489">
        <v>677.38400000000001</v>
      </c>
      <c r="G431" s="489">
        <v>688.02200000000005</v>
      </c>
      <c r="H431" s="489">
        <v>693.94799999999998</v>
      </c>
      <c r="I431" s="489">
        <v>696.029</v>
      </c>
      <c r="J431" s="489">
        <v>694.46699999999998</v>
      </c>
      <c r="K431" s="489">
        <v>689.69600000000003</v>
      </c>
      <c r="L431" s="489">
        <v>682.39499999999998</v>
      </c>
      <c r="M431" s="489">
        <v>672.03099999999995</v>
      </c>
      <c r="N431" s="489">
        <v>659.44600000000003</v>
      </c>
      <c r="O431" s="489">
        <v>648.35299999999995</v>
      </c>
      <c r="P431" s="489">
        <v>643.62199999999996</v>
      </c>
      <c r="Q431" s="489">
        <v>648.58100000000002</v>
      </c>
    </row>
    <row r="432" spans="1:17" s="75" customFormat="1">
      <c r="A432" s="488" t="s">
        <v>126</v>
      </c>
      <c r="B432" s="489">
        <v>602.09299999999996</v>
      </c>
      <c r="C432" s="489">
        <v>619.65300000000002</v>
      </c>
      <c r="D432" s="489">
        <v>637.87300000000005</v>
      </c>
      <c r="E432" s="489">
        <v>655.35500000000002</v>
      </c>
      <c r="F432" s="489">
        <v>670.12199999999996</v>
      </c>
      <c r="G432" s="489">
        <v>680.79</v>
      </c>
      <c r="H432" s="489">
        <v>687.274</v>
      </c>
      <c r="I432" s="489">
        <v>690.21799999999996</v>
      </c>
      <c r="J432" s="489">
        <v>689.904</v>
      </c>
      <c r="K432" s="489">
        <v>686.83799999999997</v>
      </c>
      <c r="L432" s="489">
        <v>681.66300000000001</v>
      </c>
      <c r="M432" s="489">
        <v>674.19</v>
      </c>
      <c r="N432" s="489">
        <v>665.07299999999998</v>
      </c>
      <c r="O432" s="489">
        <v>656.82600000000002</v>
      </c>
      <c r="P432" s="489">
        <v>652.70799999999997</v>
      </c>
      <c r="Q432" s="489">
        <v>655.02800000000002</v>
      </c>
    </row>
    <row r="433" spans="1:17" s="75" customFormat="1">
      <c r="A433" s="488" t="s">
        <v>127</v>
      </c>
      <c r="B433" s="489">
        <v>593.06600000000003</v>
      </c>
      <c r="C433" s="489">
        <v>612.08699999999999</v>
      </c>
      <c r="D433" s="489">
        <v>630.45799999999997</v>
      </c>
      <c r="E433" s="489">
        <v>647.34699999999998</v>
      </c>
      <c r="F433" s="489">
        <v>661.63900000000001</v>
      </c>
      <c r="G433" s="489">
        <v>672.57100000000003</v>
      </c>
      <c r="H433" s="489">
        <v>680.09299999999996</v>
      </c>
      <c r="I433" s="489">
        <v>684.57299999999998</v>
      </c>
      <c r="J433" s="489">
        <v>686.21500000000003</v>
      </c>
      <c r="K433" s="489">
        <v>685.375</v>
      </c>
      <c r="L433" s="489">
        <v>682.505</v>
      </c>
      <c r="M433" s="489">
        <v>677.70100000000002</v>
      </c>
      <c r="N433" s="489">
        <v>671.49199999999996</v>
      </c>
      <c r="O433" s="489">
        <v>665.346</v>
      </c>
      <c r="P433" s="489">
        <v>661.11699999999996</v>
      </c>
      <c r="Q433" s="489">
        <v>660.24800000000005</v>
      </c>
    </row>
    <row r="434" spans="1:17" s="75" customFormat="1">
      <c r="A434" s="488" t="s">
        <v>128</v>
      </c>
      <c r="B434" s="489">
        <v>583.779</v>
      </c>
      <c r="C434" s="489">
        <v>604.03300000000002</v>
      </c>
      <c r="D434" s="489">
        <v>622.13900000000001</v>
      </c>
      <c r="E434" s="489">
        <v>637.96</v>
      </c>
      <c r="F434" s="489">
        <v>651.44600000000003</v>
      </c>
      <c r="G434" s="489">
        <v>662.57899999999995</v>
      </c>
      <c r="H434" s="489">
        <v>671.38900000000001</v>
      </c>
      <c r="I434" s="489">
        <v>677.90300000000002</v>
      </c>
      <c r="J434" s="489">
        <v>682.15099999999995</v>
      </c>
      <c r="K434" s="489">
        <v>684.18299999999999</v>
      </c>
      <c r="L434" s="489">
        <v>684.15499999999997</v>
      </c>
      <c r="M434" s="489">
        <v>682.44100000000003</v>
      </c>
      <c r="N434" s="489">
        <v>679.47</v>
      </c>
      <c r="O434" s="489">
        <v>675.58699999999999</v>
      </c>
      <c r="P434" s="489">
        <v>671.17200000000003</v>
      </c>
      <c r="Q434" s="489">
        <v>666.76099999999997</v>
      </c>
    </row>
    <row r="435" spans="1:17" s="75" customFormat="1">
      <c r="A435" s="488" t="s">
        <v>129</v>
      </c>
      <c r="B435" s="489">
        <v>569.44799999999998</v>
      </c>
      <c r="C435" s="489">
        <v>591.29300000000001</v>
      </c>
      <c r="D435" s="489">
        <v>610.24</v>
      </c>
      <c r="E435" s="489">
        <v>626.476</v>
      </c>
      <c r="F435" s="489">
        <v>640.46100000000001</v>
      </c>
      <c r="G435" s="489">
        <v>652.53700000000003</v>
      </c>
      <c r="H435" s="489">
        <v>662.71400000000006</v>
      </c>
      <c r="I435" s="489">
        <v>670.84</v>
      </c>
      <c r="J435" s="489">
        <v>676.94799999999998</v>
      </c>
      <c r="K435" s="489">
        <v>681.07500000000005</v>
      </c>
      <c r="L435" s="489">
        <v>683.303</v>
      </c>
      <c r="M435" s="489">
        <v>684.20799999999997</v>
      </c>
      <c r="N435" s="489">
        <v>684.08</v>
      </c>
      <c r="O435" s="489">
        <v>682.43399999999997</v>
      </c>
      <c r="P435" s="489">
        <v>678.54700000000003</v>
      </c>
      <c r="Q435" s="489">
        <v>672.245</v>
      </c>
    </row>
    <row r="436" spans="1:17" s="75" customFormat="1">
      <c r="A436" s="488" t="s">
        <v>130</v>
      </c>
      <c r="B436" s="489">
        <v>547.92399999999998</v>
      </c>
      <c r="C436" s="489">
        <v>571.92899999999997</v>
      </c>
      <c r="D436" s="489">
        <v>593.50900000000001</v>
      </c>
      <c r="E436" s="489">
        <v>612.56200000000001</v>
      </c>
      <c r="F436" s="489">
        <v>629.15300000000002</v>
      </c>
      <c r="G436" s="489">
        <v>643.35199999999998</v>
      </c>
      <c r="H436" s="489">
        <v>655.00099999999998</v>
      </c>
      <c r="I436" s="489">
        <v>664.02800000000002</v>
      </c>
      <c r="J436" s="489">
        <v>670.72400000000005</v>
      </c>
      <c r="K436" s="489">
        <v>675.51199999999994</v>
      </c>
      <c r="L436" s="489">
        <v>678.72799999999995</v>
      </c>
      <c r="M436" s="489">
        <v>681.01599999999996</v>
      </c>
      <c r="N436" s="489">
        <v>682.5</v>
      </c>
      <c r="O436" s="489">
        <v>682.43200000000002</v>
      </c>
      <c r="P436" s="489">
        <v>679.71600000000001</v>
      </c>
      <c r="Q436" s="489">
        <v>673.9</v>
      </c>
    </row>
    <row r="437" spans="1:17" s="75" customFormat="1">
      <c r="A437" s="488" t="s">
        <v>131</v>
      </c>
      <c r="B437" s="489">
        <v>521.51</v>
      </c>
      <c r="C437" s="489">
        <v>547.92100000000005</v>
      </c>
      <c r="D437" s="489">
        <v>573.13</v>
      </c>
      <c r="E437" s="489">
        <v>596.38400000000001</v>
      </c>
      <c r="F437" s="489">
        <v>616.81600000000003</v>
      </c>
      <c r="G437" s="489">
        <v>633.83299999999997</v>
      </c>
      <c r="H437" s="489">
        <v>647.04</v>
      </c>
      <c r="I437" s="489">
        <v>656.596</v>
      </c>
      <c r="J437" s="489">
        <v>663.18399999999997</v>
      </c>
      <c r="K437" s="489">
        <v>667.83699999999999</v>
      </c>
      <c r="L437" s="489">
        <v>671.33500000000004</v>
      </c>
      <c r="M437" s="489">
        <v>674.29</v>
      </c>
      <c r="N437" s="489">
        <v>676.65</v>
      </c>
      <c r="O437" s="489">
        <v>677.779</v>
      </c>
      <c r="P437" s="489">
        <v>676.69899999999996</v>
      </c>
      <c r="Q437" s="489">
        <v>672.96100000000001</v>
      </c>
    </row>
    <row r="438" spans="1:17" s="75" customFormat="1">
      <c r="A438" s="488" t="s">
        <v>132</v>
      </c>
      <c r="B438" s="489">
        <v>494.74799999999999</v>
      </c>
      <c r="C438" s="489">
        <v>523.33399999999995</v>
      </c>
      <c r="D438" s="489">
        <v>551.84100000000001</v>
      </c>
      <c r="E438" s="489">
        <v>578.92399999999998</v>
      </c>
      <c r="F438" s="489">
        <v>602.87800000000004</v>
      </c>
      <c r="G438" s="489">
        <v>622.52</v>
      </c>
      <c r="H438" s="489">
        <v>637.21199999999999</v>
      </c>
      <c r="I438" s="489">
        <v>647.327</v>
      </c>
      <c r="J438" s="489">
        <v>653.95600000000002</v>
      </c>
      <c r="K438" s="489">
        <v>658.75</v>
      </c>
      <c r="L438" s="489">
        <v>662.928</v>
      </c>
      <c r="M438" s="489">
        <v>667.10500000000002</v>
      </c>
      <c r="N438" s="489">
        <v>671.02099999999996</v>
      </c>
      <c r="O438" s="489">
        <v>674.01700000000005</v>
      </c>
      <c r="P438" s="489">
        <v>675.04499999999996</v>
      </c>
      <c r="Q438" s="489">
        <v>673.53</v>
      </c>
    </row>
    <row r="439" spans="1:17" s="75" customFormat="1">
      <c r="A439" s="488" t="s">
        <v>133</v>
      </c>
      <c r="B439" s="489">
        <v>466.84100000000001</v>
      </c>
      <c r="C439" s="489">
        <v>497.53500000000003</v>
      </c>
      <c r="D439" s="489">
        <v>529.45100000000002</v>
      </c>
      <c r="E439" s="489">
        <v>560.55799999999999</v>
      </c>
      <c r="F439" s="489">
        <v>588.18299999999999</v>
      </c>
      <c r="G439" s="489">
        <v>610.45799999999997</v>
      </c>
      <c r="H439" s="489">
        <v>626.46400000000006</v>
      </c>
      <c r="I439" s="489">
        <v>636.827</v>
      </c>
      <c r="J439" s="489">
        <v>643.15899999999999</v>
      </c>
      <c r="K439" s="489">
        <v>647.88400000000001</v>
      </c>
      <c r="L439" s="489">
        <v>652.76599999999996</v>
      </c>
      <c r="M439" s="489">
        <v>658.452</v>
      </c>
      <c r="N439" s="489">
        <v>664.42</v>
      </c>
      <c r="O439" s="489">
        <v>669.90099999999995</v>
      </c>
      <c r="P439" s="489">
        <v>673.65099999999995</v>
      </c>
      <c r="Q439" s="489">
        <v>674.87300000000005</v>
      </c>
    </row>
    <row r="440" spans="1:17" s="75" customFormat="1">
      <c r="A440" s="488" t="s">
        <v>134</v>
      </c>
      <c r="B440" s="489">
        <v>439.56</v>
      </c>
      <c r="C440" s="489">
        <v>471.46899999999999</v>
      </c>
      <c r="D440" s="489">
        <v>505.245</v>
      </c>
      <c r="E440" s="489">
        <v>538.60199999999998</v>
      </c>
      <c r="F440" s="489">
        <v>568.50199999999995</v>
      </c>
      <c r="G440" s="489">
        <v>592.81600000000003</v>
      </c>
      <c r="H440" s="489">
        <v>610.51800000000003</v>
      </c>
      <c r="I440" s="489">
        <v>622.30499999999995</v>
      </c>
      <c r="J440" s="489">
        <v>629.90700000000004</v>
      </c>
      <c r="K440" s="489">
        <v>635.95299999999997</v>
      </c>
      <c r="L440" s="489">
        <v>642.34500000000003</v>
      </c>
      <c r="M440" s="489">
        <v>649.65599999999995</v>
      </c>
      <c r="N440" s="489">
        <v>657.27099999999996</v>
      </c>
      <c r="O440" s="489">
        <v>664.49099999999999</v>
      </c>
      <c r="P440" s="489">
        <v>670.17600000000004</v>
      </c>
      <c r="Q440" s="489">
        <v>673.53800000000001</v>
      </c>
    </row>
    <row r="441" spans="1:17" s="75" customFormat="1">
      <c r="A441" s="488" t="s">
        <v>135</v>
      </c>
      <c r="B441" s="489">
        <v>414.28</v>
      </c>
      <c r="C441" s="489">
        <v>446.07400000000001</v>
      </c>
      <c r="D441" s="489">
        <v>479.26</v>
      </c>
      <c r="E441" s="489">
        <v>512</v>
      </c>
      <c r="F441" s="489">
        <v>541.90499999999997</v>
      </c>
      <c r="G441" s="489">
        <v>567.28300000000002</v>
      </c>
      <c r="H441" s="489">
        <v>587.28599999999994</v>
      </c>
      <c r="I441" s="489">
        <v>602.36300000000006</v>
      </c>
      <c r="J441" s="489">
        <v>613.73699999999997</v>
      </c>
      <c r="K441" s="489">
        <v>623.31100000000004</v>
      </c>
      <c r="L441" s="489">
        <v>632.46900000000005</v>
      </c>
      <c r="M441" s="489">
        <v>641.56100000000004</v>
      </c>
      <c r="N441" s="489">
        <v>650.13300000000004</v>
      </c>
      <c r="O441" s="489">
        <v>657.822</v>
      </c>
      <c r="P441" s="489">
        <v>664.00300000000004</v>
      </c>
      <c r="Q441" s="489">
        <v>668.23800000000006</v>
      </c>
    </row>
    <row r="442" spans="1:17" s="75" customFormat="1">
      <c r="A442" s="488" t="s">
        <v>136</v>
      </c>
      <c r="B442" s="489">
        <v>390.23899999999998</v>
      </c>
      <c r="C442" s="489">
        <v>420.97300000000001</v>
      </c>
      <c r="D442" s="489">
        <v>451.96899999999999</v>
      </c>
      <c r="E442" s="489">
        <v>482.25200000000001</v>
      </c>
      <c r="F442" s="489">
        <v>510.69</v>
      </c>
      <c r="G442" s="489">
        <v>536.447</v>
      </c>
      <c r="H442" s="489">
        <v>559.024</v>
      </c>
      <c r="I442" s="489">
        <v>578.43499999999995</v>
      </c>
      <c r="J442" s="489">
        <v>595.01900000000001</v>
      </c>
      <c r="K442" s="489">
        <v>609.40499999999997</v>
      </c>
      <c r="L442" s="489">
        <v>622.072</v>
      </c>
      <c r="M442" s="489">
        <v>633.05600000000004</v>
      </c>
      <c r="N442" s="489">
        <v>642.221</v>
      </c>
      <c r="O442" s="489">
        <v>649.68100000000004</v>
      </c>
      <c r="P442" s="489">
        <v>655.55600000000004</v>
      </c>
      <c r="Q442" s="489">
        <v>659.952</v>
      </c>
    </row>
    <row r="443" spans="1:17" s="75" customFormat="1">
      <c r="A443" s="488" t="s">
        <v>137</v>
      </c>
      <c r="B443" s="489">
        <v>365.91</v>
      </c>
      <c r="C443" s="489">
        <v>395.47199999999998</v>
      </c>
      <c r="D443" s="489">
        <v>424.31099999999998</v>
      </c>
      <c r="E443" s="489">
        <v>452.24299999999999</v>
      </c>
      <c r="F443" s="489">
        <v>479.274</v>
      </c>
      <c r="G443" s="489">
        <v>505.33499999999998</v>
      </c>
      <c r="H443" s="489">
        <v>530.25900000000001</v>
      </c>
      <c r="I443" s="489">
        <v>553.66499999999996</v>
      </c>
      <c r="J443" s="489">
        <v>575.077</v>
      </c>
      <c r="K443" s="489">
        <v>593.94500000000005</v>
      </c>
      <c r="L443" s="489">
        <v>609.91</v>
      </c>
      <c r="M443" s="489">
        <v>622.70699999999999</v>
      </c>
      <c r="N443" s="489">
        <v>632.49099999999999</v>
      </c>
      <c r="O443" s="489">
        <v>639.86400000000003</v>
      </c>
      <c r="P443" s="489">
        <v>645.70000000000005</v>
      </c>
      <c r="Q443" s="489">
        <v>650.649</v>
      </c>
    </row>
    <row r="444" spans="1:17" s="75" customFormat="1">
      <c r="A444" s="488" t="s">
        <v>138</v>
      </c>
      <c r="B444" s="489">
        <v>342.33300000000003</v>
      </c>
      <c r="C444" s="489">
        <v>370.45600000000002</v>
      </c>
      <c r="D444" s="489">
        <v>396.71300000000002</v>
      </c>
      <c r="E444" s="489">
        <v>421.798</v>
      </c>
      <c r="F444" s="489">
        <v>446.99099999999999</v>
      </c>
      <c r="G444" s="489">
        <v>473.09199999999998</v>
      </c>
      <c r="H444" s="489">
        <v>500.29899999999998</v>
      </c>
      <c r="I444" s="489">
        <v>527.803</v>
      </c>
      <c r="J444" s="489">
        <v>554.22699999999998</v>
      </c>
      <c r="K444" s="489">
        <v>577.71400000000006</v>
      </c>
      <c r="L444" s="489">
        <v>596.98299999999995</v>
      </c>
      <c r="M444" s="489">
        <v>611.41700000000003</v>
      </c>
      <c r="N444" s="489">
        <v>621.51099999999997</v>
      </c>
      <c r="O444" s="489">
        <v>628.46400000000006</v>
      </c>
      <c r="P444" s="489">
        <v>634.05700000000002</v>
      </c>
      <c r="Q444" s="489">
        <v>639.577</v>
      </c>
    </row>
    <row r="445" spans="1:17" s="75" customFormat="1">
      <c r="A445" s="488" t="s">
        <v>139</v>
      </c>
      <c r="B445" s="489">
        <v>317.43599999999998</v>
      </c>
      <c r="C445" s="489">
        <v>343.97699999999998</v>
      </c>
      <c r="D445" s="489">
        <v>368.32100000000003</v>
      </c>
      <c r="E445" s="489">
        <v>391.60399999999998</v>
      </c>
      <c r="F445" s="489">
        <v>415.72199999999998</v>
      </c>
      <c r="G445" s="489">
        <v>441.89299999999997</v>
      </c>
      <c r="H445" s="489">
        <v>470.49700000000001</v>
      </c>
      <c r="I445" s="489">
        <v>500.51299999999998</v>
      </c>
      <c r="J445" s="489">
        <v>530.09699999999998</v>
      </c>
      <c r="K445" s="489">
        <v>556.72500000000002</v>
      </c>
      <c r="L445" s="489">
        <v>578.63199999999995</v>
      </c>
      <c r="M445" s="489">
        <v>595.03300000000002</v>
      </c>
      <c r="N445" s="489">
        <v>606.56299999999999</v>
      </c>
      <c r="O445" s="489">
        <v>614.62400000000002</v>
      </c>
      <c r="P445" s="489">
        <v>621.33100000000002</v>
      </c>
      <c r="Q445" s="489">
        <v>628.21100000000001</v>
      </c>
    </row>
    <row r="446" spans="1:17" s="75" customFormat="1">
      <c r="A446" s="488" t="s">
        <v>140</v>
      </c>
      <c r="B446" s="489">
        <v>290.27800000000002</v>
      </c>
      <c r="C446" s="489">
        <v>315.23700000000002</v>
      </c>
      <c r="D446" s="489">
        <v>339.00700000000001</v>
      </c>
      <c r="E446" s="489">
        <v>362.42399999999998</v>
      </c>
      <c r="F446" s="489">
        <v>386.92099999999999</v>
      </c>
      <c r="G446" s="489">
        <v>413.38200000000001</v>
      </c>
      <c r="H446" s="489">
        <v>442.05700000000002</v>
      </c>
      <c r="I446" s="489">
        <v>472.065</v>
      </c>
      <c r="J446" s="489">
        <v>501.82299999999998</v>
      </c>
      <c r="K446" s="489">
        <v>529.19299999999998</v>
      </c>
      <c r="L446" s="489">
        <v>552.65499999999997</v>
      </c>
      <c r="M446" s="489">
        <v>571.54</v>
      </c>
      <c r="N446" s="489">
        <v>586.298</v>
      </c>
      <c r="O446" s="489">
        <v>597.90800000000002</v>
      </c>
      <c r="P446" s="489">
        <v>607.89700000000005</v>
      </c>
      <c r="Q446" s="489">
        <v>617.37099999999998</v>
      </c>
    </row>
    <row r="447" spans="1:17" s="75" customFormat="1">
      <c r="A447" s="488" t="s">
        <v>141</v>
      </c>
      <c r="B447" s="489">
        <v>262.50299999999999</v>
      </c>
      <c r="C447" s="489">
        <v>285.80399999999997</v>
      </c>
      <c r="D447" s="489">
        <v>309.70400000000001</v>
      </c>
      <c r="E447" s="489">
        <v>334.30599999999998</v>
      </c>
      <c r="F447" s="489">
        <v>359.92399999999998</v>
      </c>
      <c r="G447" s="489">
        <v>386.67099999999999</v>
      </c>
      <c r="H447" s="489">
        <v>414.47300000000001</v>
      </c>
      <c r="I447" s="489">
        <v>442.80399999999997</v>
      </c>
      <c r="J447" s="489">
        <v>470.791</v>
      </c>
      <c r="K447" s="489">
        <v>497.32</v>
      </c>
      <c r="L447" s="489">
        <v>521.55999999999995</v>
      </c>
      <c r="M447" s="489">
        <v>543.13599999999997</v>
      </c>
      <c r="N447" s="489">
        <v>562.11800000000005</v>
      </c>
      <c r="O447" s="489">
        <v>578.68499999999995</v>
      </c>
      <c r="P447" s="489">
        <v>593.21799999999996</v>
      </c>
      <c r="Q447" s="489">
        <v>606.01</v>
      </c>
    </row>
    <row r="448" spans="1:17" s="75" customFormat="1">
      <c r="A448" s="488" t="s">
        <v>142</v>
      </c>
      <c r="B448" s="489">
        <v>236.125</v>
      </c>
      <c r="C448" s="489">
        <v>257.59100000000001</v>
      </c>
      <c r="D448" s="489">
        <v>281.27300000000002</v>
      </c>
      <c r="E448" s="489">
        <v>306.62599999999998</v>
      </c>
      <c r="F448" s="489">
        <v>332.97</v>
      </c>
      <c r="G448" s="489">
        <v>359.73200000000003</v>
      </c>
      <c r="H448" s="489">
        <v>386.553</v>
      </c>
      <c r="I448" s="489">
        <v>413.23099999999999</v>
      </c>
      <c r="J448" s="489">
        <v>439.52699999999999</v>
      </c>
      <c r="K448" s="489">
        <v>465.24799999999999</v>
      </c>
      <c r="L448" s="489">
        <v>490.17899999999997</v>
      </c>
      <c r="M448" s="489">
        <v>514.21400000000006</v>
      </c>
      <c r="N448" s="489">
        <v>537.08299999999997</v>
      </c>
      <c r="O448" s="489">
        <v>558.22699999999998</v>
      </c>
      <c r="P448" s="489">
        <v>576.976</v>
      </c>
      <c r="Q448" s="489">
        <v>592.88199999999995</v>
      </c>
    </row>
    <row r="449" spans="1:17" s="75" customFormat="1">
      <c r="A449" s="488" t="s">
        <v>143</v>
      </c>
      <c r="B449" s="489">
        <v>210.04</v>
      </c>
      <c r="C449" s="489">
        <v>229.67400000000001</v>
      </c>
      <c r="D449" s="489">
        <v>253.298</v>
      </c>
      <c r="E449" s="489">
        <v>279.62099999999998</v>
      </c>
      <c r="F449" s="489">
        <v>306.83199999999999</v>
      </c>
      <c r="G449" s="489">
        <v>333.57</v>
      </c>
      <c r="H449" s="489">
        <v>359.15800000000002</v>
      </c>
      <c r="I449" s="489">
        <v>383.75900000000001</v>
      </c>
      <c r="J449" s="489">
        <v>407.86399999999998</v>
      </c>
      <c r="K449" s="489">
        <v>432.339</v>
      </c>
      <c r="L449" s="489">
        <v>457.68299999999999</v>
      </c>
      <c r="M449" s="489">
        <v>484.10700000000003</v>
      </c>
      <c r="N449" s="489">
        <v>510.95600000000002</v>
      </c>
      <c r="O449" s="489">
        <v>536.85199999999998</v>
      </c>
      <c r="P449" s="489">
        <v>559.94799999999998</v>
      </c>
      <c r="Q449" s="489">
        <v>578.96199999999999</v>
      </c>
    </row>
    <row r="450" spans="1:17" s="75" customFormat="1">
      <c r="A450" s="488" t="s">
        <v>144</v>
      </c>
      <c r="B450" s="489">
        <v>190.315</v>
      </c>
      <c r="C450" s="489">
        <v>207.56100000000001</v>
      </c>
      <c r="D450" s="489">
        <v>229.636</v>
      </c>
      <c r="E450" s="489">
        <v>254.96700000000001</v>
      </c>
      <c r="F450" s="489">
        <v>281.28699999999998</v>
      </c>
      <c r="G450" s="489">
        <v>306.93099999999998</v>
      </c>
      <c r="H450" s="489">
        <v>331.096</v>
      </c>
      <c r="I450" s="489">
        <v>354.12799999999999</v>
      </c>
      <c r="J450" s="489">
        <v>376.86</v>
      </c>
      <c r="K450" s="489">
        <v>400.642</v>
      </c>
      <c r="L450" s="489">
        <v>426.29399999999998</v>
      </c>
      <c r="M450" s="489">
        <v>454.17</v>
      </c>
      <c r="N450" s="489">
        <v>483.43400000000003</v>
      </c>
      <c r="O450" s="489">
        <v>512.29399999999998</v>
      </c>
      <c r="P450" s="489">
        <v>538.31700000000001</v>
      </c>
      <c r="Q450" s="489">
        <v>559.80100000000004</v>
      </c>
    </row>
    <row r="451" spans="1:17" s="75" customFormat="1">
      <c r="A451" s="488" t="s">
        <v>145</v>
      </c>
      <c r="B451" s="489">
        <v>179.94499999999999</v>
      </c>
      <c r="C451" s="489">
        <v>194.01499999999999</v>
      </c>
      <c r="D451" s="489">
        <v>212.21799999999999</v>
      </c>
      <c r="E451" s="489">
        <v>233.471</v>
      </c>
      <c r="F451" s="489">
        <v>256.18700000000001</v>
      </c>
      <c r="G451" s="489">
        <v>279.17899999999997</v>
      </c>
      <c r="H451" s="489">
        <v>301.86099999999999</v>
      </c>
      <c r="I451" s="489">
        <v>324.43200000000002</v>
      </c>
      <c r="J451" s="489">
        <v>347.40899999999999</v>
      </c>
      <c r="K451" s="489">
        <v>371.65600000000001</v>
      </c>
      <c r="L451" s="489">
        <v>397.64600000000002</v>
      </c>
      <c r="M451" s="489">
        <v>425.59199999999998</v>
      </c>
      <c r="N451" s="489">
        <v>454.79500000000002</v>
      </c>
      <c r="O451" s="489">
        <v>483.73700000000002</v>
      </c>
      <c r="P451" s="489">
        <v>510.38400000000001</v>
      </c>
      <c r="Q451" s="489">
        <v>533.29</v>
      </c>
    </row>
    <row r="452" spans="1:17" s="75" customFormat="1">
      <c r="A452" s="488" t="s">
        <v>146</v>
      </c>
      <c r="B452" s="489">
        <v>175.96299999999999</v>
      </c>
      <c r="C452" s="489">
        <v>186.44499999999999</v>
      </c>
      <c r="D452" s="489">
        <v>199.41900000000001</v>
      </c>
      <c r="E452" s="489">
        <v>214.755</v>
      </c>
      <c r="F452" s="489">
        <v>232.215</v>
      </c>
      <c r="G452" s="489">
        <v>251.572</v>
      </c>
      <c r="H452" s="489">
        <v>272.65300000000002</v>
      </c>
      <c r="I452" s="489">
        <v>295.31900000000002</v>
      </c>
      <c r="J452" s="489">
        <v>319.38499999999999</v>
      </c>
      <c r="K452" s="489">
        <v>344.64800000000002</v>
      </c>
      <c r="L452" s="489">
        <v>370.84500000000003</v>
      </c>
      <c r="M452" s="489">
        <v>397.87400000000002</v>
      </c>
      <c r="N452" s="489">
        <v>425.37700000000001</v>
      </c>
      <c r="O452" s="489">
        <v>452.51900000000001</v>
      </c>
      <c r="P452" s="489">
        <v>478.267</v>
      </c>
      <c r="Q452" s="489">
        <v>501.84399999999999</v>
      </c>
    </row>
    <row r="453" spans="1:17" s="75" customFormat="1">
      <c r="A453" s="488" t="s">
        <v>147</v>
      </c>
      <c r="B453" s="489">
        <v>172.363</v>
      </c>
      <c r="C453" s="489">
        <v>179.38499999999999</v>
      </c>
      <c r="D453" s="489">
        <v>187.41800000000001</v>
      </c>
      <c r="E453" s="489">
        <v>197.179</v>
      </c>
      <c r="F453" s="489">
        <v>209.64</v>
      </c>
      <c r="G453" s="489">
        <v>225.42500000000001</v>
      </c>
      <c r="H453" s="489">
        <v>244.733</v>
      </c>
      <c r="I453" s="489">
        <v>267.137</v>
      </c>
      <c r="J453" s="489">
        <v>291.83600000000001</v>
      </c>
      <c r="K453" s="489">
        <v>317.69799999999998</v>
      </c>
      <c r="L453" s="489">
        <v>343.81900000000002</v>
      </c>
      <c r="M453" s="489">
        <v>369.82100000000003</v>
      </c>
      <c r="N453" s="489">
        <v>395.64699999999999</v>
      </c>
      <c r="O453" s="489">
        <v>421.07900000000001</v>
      </c>
      <c r="P453" s="489">
        <v>445.96899999999999</v>
      </c>
      <c r="Q453" s="489">
        <v>470.13600000000002</v>
      </c>
    </row>
    <row r="454" spans="1:17" s="75" customFormat="1">
      <c r="A454" s="488" t="s">
        <v>148</v>
      </c>
      <c r="B454" s="489">
        <v>170.30500000000001</v>
      </c>
      <c r="C454" s="489">
        <v>173.80199999999999</v>
      </c>
      <c r="D454" s="489">
        <v>176.666</v>
      </c>
      <c r="E454" s="489">
        <v>180.54599999999999</v>
      </c>
      <c r="F454" s="489">
        <v>187.73099999999999</v>
      </c>
      <c r="G454" s="489">
        <v>199.78299999999999</v>
      </c>
      <c r="H454" s="489">
        <v>217.31</v>
      </c>
      <c r="I454" s="489">
        <v>239.55500000000001</v>
      </c>
      <c r="J454" s="489">
        <v>265.03300000000002</v>
      </c>
      <c r="K454" s="489">
        <v>291.56799999999998</v>
      </c>
      <c r="L454" s="489">
        <v>317.53699999999998</v>
      </c>
      <c r="M454" s="489">
        <v>342.25700000000001</v>
      </c>
      <c r="N454" s="489">
        <v>366.00799999999998</v>
      </c>
      <c r="O454" s="489">
        <v>389.26799999999997</v>
      </c>
      <c r="P454" s="489">
        <v>412.90100000000001</v>
      </c>
      <c r="Q454" s="489">
        <v>437.40800000000002</v>
      </c>
    </row>
    <row r="455" spans="1:17" s="75" customFormat="1">
      <c r="A455" s="488" t="s">
        <v>149</v>
      </c>
      <c r="B455" s="489">
        <v>167.66200000000001</v>
      </c>
      <c r="C455" s="489">
        <v>168.60300000000001</v>
      </c>
      <c r="D455" s="489">
        <v>167.96600000000001</v>
      </c>
      <c r="E455" s="489">
        <v>167.864</v>
      </c>
      <c r="F455" s="489">
        <v>171.249</v>
      </c>
      <c r="G455" s="489">
        <v>180.15600000000001</v>
      </c>
      <c r="H455" s="489">
        <v>195.40100000000001</v>
      </c>
      <c r="I455" s="489">
        <v>216.107</v>
      </c>
      <c r="J455" s="489">
        <v>240.52799999999999</v>
      </c>
      <c r="K455" s="489">
        <v>266.089</v>
      </c>
      <c r="L455" s="489">
        <v>290.89299999999997</v>
      </c>
      <c r="M455" s="489">
        <v>314.13900000000001</v>
      </c>
      <c r="N455" s="489">
        <v>336.27199999999999</v>
      </c>
      <c r="O455" s="489">
        <v>358.1</v>
      </c>
      <c r="P455" s="489">
        <v>380.95699999999999</v>
      </c>
      <c r="Q455" s="489">
        <v>405.65300000000002</v>
      </c>
    </row>
    <row r="456" spans="1:17" s="75" customFormat="1">
      <c r="A456" s="488" t="s">
        <v>150</v>
      </c>
      <c r="B456" s="489">
        <v>162.75700000000001</v>
      </c>
      <c r="C456" s="489">
        <v>162.65600000000001</v>
      </c>
      <c r="D456" s="489">
        <v>161.23400000000001</v>
      </c>
      <c r="E456" s="489">
        <v>160.30199999999999</v>
      </c>
      <c r="F456" s="489">
        <v>162.37200000000001</v>
      </c>
      <c r="G456" s="489">
        <v>169.19900000000001</v>
      </c>
      <c r="H456" s="489">
        <v>181.46700000000001</v>
      </c>
      <c r="I456" s="489">
        <v>198.50399999999999</v>
      </c>
      <c r="J456" s="489">
        <v>219.03100000000001</v>
      </c>
      <c r="K456" s="489">
        <v>241.11199999999999</v>
      </c>
      <c r="L456" s="489">
        <v>263.31</v>
      </c>
      <c r="M456" s="489">
        <v>285.02300000000002</v>
      </c>
      <c r="N456" s="489">
        <v>306.55500000000001</v>
      </c>
      <c r="O456" s="489">
        <v>328.43400000000003</v>
      </c>
      <c r="P456" s="489">
        <v>351.54899999999998</v>
      </c>
      <c r="Q456" s="489">
        <v>376.39800000000002</v>
      </c>
    </row>
    <row r="457" spans="1:17" s="75" customFormat="1">
      <c r="A457" s="488" t="s">
        <v>151</v>
      </c>
      <c r="B457" s="489">
        <v>156.65100000000001</v>
      </c>
      <c r="C457" s="489">
        <v>156.53700000000001</v>
      </c>
      <c r="D457" s="489">
        <v>156.089</v>
      </c>
      <c r="E457" s="489">
        <v>156.34800000000001</v>
      </c>
      <c r="F457" s="489">
        <v>158.71100000000001</v>
      </c>
      <c r="G457" s="489">
        <v>164.18100000000001</v>
      </c>
      <c r="H457" s="489">
        <v>173.11500000000001</v>
      </c>
      <c r="I457" s="489">
        <v>185.245</v>
      </c>
      <c r="J457" s="489">
        <v>200.18100000000001</v>
      </c>
      <c r="K457" s="489">
        <v>217.26</v>
      </c>
      <c r="L457" s="489">
        <v>235.94499999999999</v>
      </c>
      <c r="M457" s="489">
        <v>256.01900000000001</v>
      </c>
      <c r="N457" s="489">
        <v>277.46899999999999</v>
      </c>
      <c r="O457" s="489">
        <v>300.17099999999999</v>
      </c>
      <c r="P457" s="489">
        <v>324.03100000000001</v>
      </c>
      <c r="Q457" s="489">
        <v>348.87200000000001</v>
      </c>
    </row>
    <row r="458" spans="1:17" s="75" customFormat="1">
      <c r="A458" s="488" t="s">
        <v>152</v>
      </c>
      <c r="B458" s="489">
        <v>151.72200000000001</v>
      </c>
      <c r="C458" s="489">
        <v>151.596</v>
      </c>
      <c r="D458" s="489">
        <v>151.958</v>
      </c>
      <c r="E458" s="489">
        <v>153.16200000000001</v>
      </c>
      <c r="F458" s="489">
        <v>155.619</v>
      </c>
      <c r="G458" s="489">
        <v>159.67400000000001</v>
      </c>
      <c r="H458" s="489">
        <v>165.386</v>
      </c>
      <c r="I458" s="489">
        <v>172.852</v>
      </c>
      <c r="J458" s="489">
        <v>182.48500000000001</v>
      </c>
      <c r="K458" s="489">
        <v>194.76900000000001</v>
      </c>
      <c r="L458" s="489">
        <v>209.976</v>
      </c>
      <c r="M458" s="489">
        <v>228.23599999999999</v>
      </c>
      <c r="N458" s="489">
        <v>249.26400000000001</v>
      </c>
      <c r="O458" s="489">
        <v>272.36799999999999</v>
      </c>
      <c r="P458" s="489">
        <v>296.59300000000002</v>
      </c>
      <c r="Q458" s="489">
        <v>321.16699999999997</v>
      </c>
    </row>
    <row r="459" spans="1:17" s="75" customFormat="1">
      <c r="A459" s="488" t="s">
        <v>153</v>
      </c>
      <c r="B459" s="489">
        <v>147.06399999999999</v>
      </c>
      <c r="C459" s="489">
        <v>147.12899999999999</v>
      </c>
      <c r="D459" s="489">
        <v>148.61600000000001</v>
      </c>
      <c r="E459" s="489">
        <v>151.119</v>
      </c>
      <c r="F459" s="489">
        <v>153.94800000000001</v>
      </c>
      <c r="G459" s="489">
        <v>156.709</v>
      </c>
      <c r="H459" s="489">
        <v>159.12799999999999</v>
      </c>
      <c r="I459" s="489">
        <v>161.70400000000001</v>
      </c>
      <c r="J459" s="489">
        <v>165.72900000000001</v>
      </c>
      <c r="K459" s="489">
        <v>172.93899999999999</v>
      </c>
      <c r="L459" s="489">
        <v>184.499</v>
      </c>
      <c r="M459" s="489">
        <v>200.922</v>
      </c>
      <c r="N459" s="489">
        <v>221.61</v>
      </c>
      <c r="O459" s="489">
        <v>245.24</v>
      </c>
      <c r="P459" s="489">
        <v>269.89100000000002</v>
      </c>
      <c r="Q459" s="489">
        <v>294.12599999999998</v>
      </c>
    </row>
    <row r="460" spans="1:17" s="75" customFormat="1">
      <c r="A460" s="488" t="s">
        <v>154</v>
      </c>
      <c r="B460" s="489">
        <v>143.71600000000001</v>
      </c>
      <c r="C460" s="489">
        <v>143.96299999999999</v>
      </c>
      <c r="D460" s="489">
        <v>145.96299999999999</v>
      </c>
      <c r="E460" s="489">
        <v>148.91399999999999</v>
      </c>
      <c r="F460" s="489">
        <v>151.56100000000001</v>
      </c>
      <c r="G460" s="489">
        <v>153.137</v>
      </c>
      <c r="H460" s="489">
        <v>153.202</v>
      </c>
      <c r="I460" s="489">
        <v>152.46899999999999</v>
      </c>
      <c r="J460" s="489">
        <v>152.679</v>
      </c>
      <c r="K460" s="489">
        <v>156.22200000000001</v>
      </c>
      <c r="L460" s="489">
        <v>164.73</v>
      </c>
      <c r="M460" s="489">
        <v>178.91399999999999</v>
      </c>
      <c r="N460" s="489">
        <v>198.05</v>
      </c>
      <c r="O460" s="489">
        <v>220.572</v>
      </c>
      <c r="P460" s="489">
        <v>244.17500000000001</v>
      </c>
      <c r="Q460" s="489">
        <v>267.16500000000002</v>
      </c>
    </row>
    <row r="461" spans="1:17" s="75" customFormat="1">
      <c r="A461" s="488" t="s">
        <v>155</v>
      </c>
      <c r="B461" s="489">
        <v>142.292</v>
      </c>
      <c r="C461" s="489">
        <v>142.5</v>
      </c>
      <c r="D461" s="489">
        <v>143.77699999999999</v>
      </c>
      <c r="E461" s="489">
        <v>145.54400000000001</v>
      </c>
      <c r="F461" s="489">
        <v>146.90100000000001</v>
      </c>
      <c r="G461" s="489">
        <v>147.32300000000001</v>
      </c>
      <c r="H461" s="489">
        <v>146.495</v>
      </c>
      <c r="I461" s="489">
        <v>145.02500000000001</v>
      </c>
      <c r="J461" s="489">
        <v>144.40299999999999</v>
      </c>
      <c r="K461" s="489">
        <v>146.65199999999999</v>
      </c>
      <c r="L461" s="489">
        <v>153.172</v>
      </c>
      <c r="M461" s="489">
        <v>164.56399999999999</v>
      </c>
      <c r="N461" s="489">
        <v>180.28399999999999</v>
      </c>
      <c r="O461" s="489">
        <v>199.17</v>
      </c>
      <c r="P461" s="489">
        <v>219.488</v>
      </c>
      <c r="Q461" s="489">
        <v>239.94900000000001</v>
      </c>
    </row>
    <row r="462" spans="1:17" s="75" customFormat="1">
      <c r="A462" s="488" t="s">
        <v>156</v>
      </c>
      <c r="B462" s="489">
        <v>141.78399999999999</v>
      </c>
      <c r="C462" s="489">
        <v>141.87</v>
      </c>
      <c r="D462" s="489">
        <v>141.73500000000001</v>
      </c>
      <c r="E462" s="489">
        <v>141.411</v>
      </c>
      <c r="F462" s="489">
        <v>140.89400000000001</v>
      </c>
      <c r="G462" s="489">
        <v>140.28</v>
      </c>
      <c r="H462" s="489">
        <v>139.55099999999999</v>
      </c>
      <c r="I462" s="489">
        <v>139.01400000000001</v>
      </c>
      <c r="J462" s="489">
        <v>139.47499999999999</v>
      </c>
      <c r="K462" s="489">
        <v>141.96600000000001</v>
      </c>
      <c r="L462" s="489">
        <v>147.23099999999999</v>
      </c>
      <c r="M462" s="489">
        <v>155.566</v>
      </c>
      <c r="N462" s="489">
        <v>166.78700000000001</v>
      </c>
      <c r="O462" s="489">
        <v>180.535</v>
      </c>
      <c r="P462" s="489">
        <v>196.214</v>
      </c>
      <c r="Q462" s="489">
        <v>213.34399999999999</v>
      </c>
    </row>
    <row r="463" spans="1:17" s="75" customFormat="1">
      <c r="A463" s="488" t="s">
        <v>157</v>
      </c>
      <c r="B463" s="489">
        <v>140.97399999999999</v>
      </c>
      <c r="C463" s="489">
        <v>141.12299999999999</v>
      </c>
      <c r="D463" s="489">
        <v>139.91999999999999</v>
      </c>
      <c r="E463" s="489">
        <v>137.91</v>
      </c>
      <c r="F463" s="489">
        <v>135.864</v>
      </c>
      <c r="G463" s="489">
        <v>134.40100000000001</v>
      </c>
      <c r="H463" s="489">
        <v>133.76</v>
      </c>
      <c r="I463" s="489">
        <v>133.988</v>
      </c>
      <c r="J463" s="489">
        <v>135.28700000000001</v>
      </c>
      <c r="K463" s="489">
        <v>137.82400000000001</v>
      </c>
      <c r="L463" s="489">
        <v>141.761</v>
      </c>
      <c r="M463" s="489">
        <v>147.137</v>
      </c>
      <c r="N463" s="489">
        <v>154.08600000000001</v>
      </c>
      <c r="O463" s="489">
        <v>162.964</v>
      </c>
      <c r="P463" s="489">
        <v>174.19900000000001</v>
      </c>
      <c r="Q463" s="489">
        <v>188.03399999999999</v>
      </c>
    </row>
    <row r="464" spans="1:17" s="75" customFormat="1">
      <c r="A464" s="488" t="s">
        <v>158</v>
      </c>
      <c r="B464" s="489">
        <v>140.58799999999999</v>
      </c>
      <c r="C464" s="489">
        <v>140.84299999999999</v>
      </c>
      <c r="D464" s="489">
        <v>138.529</v>
      </c>
      <c r="E464" s="489">
        <v>134.76</v>
      </c>
      <c r="F464" s="489">
        <v>131.15100000000001</v>
      </c>
      <c r="G464" s="489">
        <v>128.899</v>
      </c>
      <c r="H464" s="489">
        <v>128.52600000000001</v>
      </c>
      <c r="I464" s="489">
        <v>129.78800000000001</v>
      </c>
      <c r="J464" s="489">
        <v>132.21899999999999</v>
      </c>
      <c r="K464" s="489">
        <v>135.029</v>
      </c>
      <c r="L464" s="489">
        <v>137.74100000000001</v>
      </c>
      <c r="M464" s="489">
        <v>140.09299999999999</v>
      </c>
      <c r="N464" s="489">
        <v>142.57499999999999</v>
      </c>
      <c r="O464" s="489">
        <v>146.322</v>
      </c>
      <c r="P464" s="489">
        <v>152.874</v>
      </c>
      <c r="Q464" s="489">
        <v>163.26400000000001</v>
      </c>
    </row>
    <row r="465" spans="1:17" s="75" customFormat="1">
      <c r="A465" s="488" t="s">
        <v>159</v>
      </c>
      <c r="B465" s="489">
        <v>136.78700000000001</v>
      </c>
      <c r="C465" s="489">
        <v>137.46700000000001</v>
      </c>
      <c r="D465" s="489">
        <v>134.99700000000001</v>
      </c>
      <c r="E465" s="489">
        <v>130.73400000000001</v>
      </c>
      <c r="F465" s="489">
        <v>126.67400000000001</v>
      </c>
      <c r="G465" s="489">
        <v>124.26</v>
      </c>
      <c r="H465" s="489">
        <v>124.14</v>
      </c>
      <c r="I465" s="489">
        <v>125.923</v>
      </c>
      <c r="J465" s="489">
        <v>128.786</v>
      </c>
      <c r="K465" s="489">
        <v>131.44300000000001</v>
      </c>
      <c r="L465" s="489">
        <v>133.07599999999999</v>
      </c>
      <c r="M465" s="489">
        <v>133.286</v>
      </c>
      <c r="N465" s="489">
        <v>132.74</v>
      </c>
      <c r="O465" s="489">
        <v>132.98500000000001</v>
      </c>
      <c r="P465" s="489">
        <v>136.14500000000001</v>
      </c>
      <c r="Q465" s="489">
        <v>143.679</v>
      </c>
    </row>
    <row r="466" spans="1:17" s="75" customFormat="1">
      <c r="A466" s="488" t="s">
        <v>160</v>
      </c>
      <c r="B466" s="489">
        <v>127.685</v>
      </c>
      <c r="C466" s="489">
        <v>129.245</v>
      </c>
      <c r="D466" s="489">
        <v>128.11799999999999</v>
      </c>
      <c r="E466" s="489">
        <v>125.36499999999999</v>
      </c>
      <c r="F466" s="489">
        <v>122.563</v>
      </c>
      <c r="G466" s="489">
        <v>120.864</v>
      </c>
      <c r="H466" s="489">
        <v>120.78400000000001</v>
      </c>
      <c r="I466" s="489">
        <v>122.023</v>
      </c>
      <c r="J466" s="489">
        <v>123.94</v>
      </c>
      <c r="K466" s="489">
        <v>125.53400000000001</v>
      </c>
      <c r="L466" s="489">
        <v>126.194</v>
      </c>
      <c r="M466" s="489">
        <v>125.61199999999999</v>
      </c>
      <c r="N466" s="489">
        <v>124.373</v>
      </c>
      <c r="O466" s="489">
        <v>123.812</v>
      </c>
      <c r="P466" s="489">
        <v>125.752</v>
      </c>
      <c r="Q466" s="489">
        <v>131.46199999999999</v>
      </c>
    </row>
    <row r="467" spans="1:17" s="75" customFormat="1">
      <c r="A467" s="488" t="s">
        <v>161</v>
      </c>
      <c r="B467" s="489">
        <v>115.211</v>
      </c>
      <c r="C467" s="489">
        <v>117.893</v>
      </c>
      <c r="D467" s="489">
        <v>118.995</v>
      </c>
      <c r="E467" s="489">
        <v>118.955</v>
      </c>
      <c r="F467" s="489">
        <v>118.46</v>
      </c>
      <c r="G467" s="489">
        <v>118.027</v>
      </c>
      <c r="H467" s="489">
        <v>117.893</v>
      </c>
      <c r="I467" s="489">
        <v>117.986</v>
      </c>
      <c r="J467" s="489">
        <v>118.18</v>
      </c>
      <c r="K467" s="489">
        <v>118.238</v>
      </c>
      <c r="L467" s="489">
        <v>118.069</v>
      </c>
      <c r="M467" s="489">
        <v>117.613</v>
      </c>
      <c r="N467" s="489">
        <v>117.199</v>
      </c>
      <c r="O467" s="489">
        <v>117.57</v>
      </c>
      <c r="P467" s="489">
        <v>119.705</v>
      </c>
      <c r="Q467" s="489">
        <v>124.30200000000001</v>
      </c>
    </row>
    <row r="468" spans="1:17" s="75" customFormat="1">
      <c r="A468" s="488" t="s">
        <v>162</v>
      </c>
      <c r="B468" s="489">
        <v>103.146</v>
      </c>
      <c r="C468" s="489">
        <v>106.913</v>
      </c>
      <c r="D468" s="489">
        <v>110.084</v>
      </c>
      <c r="E468" s="489">
        <v>112.55200000000001</v>
      </c>
      <c r="F468" s="489">
        <v>114.218</v>
      </c>
      <c r="G468" s="489">
        <v>115.051</v>
      </c>
      <c r="H468" s="489">
        <v>115.035</v>
      </c>
      <c r="I468" s="489">
        <v>114.295</v>
      </c>
      <c r="J468" s="489">
        <v>113.136</v>
      </c>
      <c r="K468" s="489">
        <v>111.967</v>
      </c>
      <c r="L468" s="489">
        <v>111.134</v>
      </c>
      <c r="M468" s="489">
        <v>110.794</v>
      </c>
      <c r="N468" s="489">
        <v>111.04900000000001</v>
      </c>
      <c r="O468" s="489">
        <v>112.129</v>
      </c>
      <c r="P468" s="489">
        <v>114.276</v>
      </c>
      <c r="Q468" s="489">
        <v>117.696</v>
      </c>
    </row>
    <row r="469" spans="1:17" s="75" customFormat="1">
      <c r="A469" s="488" t="s">
        <v>163</v>
      </c>
      <c r="B469" s="489">
        <v>90.701999999999998</v>
      </c>
      <c r="C469" s="489">
        <v>95.658000000000001</v>
      </c>
      <c r="D469" s="489">
        <v>101.074</v>
      </c>
      <c r="E469" s="489">
        <v>106.25700000000001</v>
      </c>
      <c r="F469" s="489">
        <v>110.27500000000001</v>
      </c>
      <c r="G469" s="489">
        <v>112.51</v>
      </c>
      <c r="H469" s="489">
        <v>112.67400000000001</v>
      </c>
      <c r="I469" s="489">
        <v>111.105</v>
      </c>
      <c r="J469" s="489">
        <v>108.57</v>
      </c>
      <c r="K469" s="489">
        <v>106.18</v>
      </c>
      <c r="L469" s="489">
        <v>104.759</v>
      </c>
      <c r="M469" s="489">
        <v>104.694</v>
      </c>
      <c r="N469" s="489">
        <v>105.842</v>
      </c>
      <c r="O469" s="489">
        <v>107.86799999999999</v>
      </c>
      <c r="P469" s="489">
        <v>110.209</v>
      </c>
      <c r="Q469" s="489">
        <v>112.529</v>
      </c>
    </row>
    <row r="470" spans="1:17" s="75" customFormat="1">
      <c r="A470" s="488" t="s">
        <v>164</v>
      </c>
      <c r="B470" s="489">
        <v>79.659000000000006</v>
      </c>
      <c r="C470" s="489">
        <v>85.188999999999993</v>
      </c>
      <c r="D470" s="489">
        <v>91.835999999999999</v>
      </c>
      <c r="E470" s="489">
        <v>98.587999999999994</v>
      </c>
      <c r="F470" s="489">
        <v>104.044</v>
      </c>
      <c r="G470" s="489">
        <v>107.252</v>
      </c>
      <c r="H470" s="489">
        <v>107.78</v>
      </c>
      <c r="I470" s="489">
        <v>106.062</v>
      </c>
      <c r="J470" s="489">
        <v>103.09099999999999</v>
      </c>
      <c r="K470" s="489">
        <v>100.309</v>
      </c>
      <c r="L470" s="489">
        <v>98.762</v>
      </c>
      <c r="M470" s="489">
        <v>98.947000000000003</v>
      </c>
      <c r="N470" s="489">
        <v>100.587</v>
      </c>
      <c r="O470" s="489">
        <v>103.03100000000001</v>
      </c>
      <c r="P470" s="489">
        <v>105.27200000000001</v>
      </c>
      <c r="Q470" s="489">
        <v>106.681</v>
      </c>
    </row>
    <row r="471" spans="1:17" s="75" customFormat="1">
      <c r="A471" s="488" t="s">
        <v>165</v>
      </c>
      <c r="B471" s="489">
        <v>71.278000000000006</v>
      </c>
      <c r="C471" s="489">
        <v>76.399000000000001</v>
      </c>
      <c r="D471" s="489">
        <v>82.61</v>
      </c>
      <c r="E471" s="489">
        <v>89.01</v>
      </c>
      <c r="F471" s="489">
        <v>94.352000000000004</v>
      </c>
      <c r="G471" s="489">
        <v>97.778000000000006</v>
      </c>
      <c r="H471" s="489">
        <v>98.914000000000001</v>
      </c>
      <c r="I471" s="489">
        <v>98.126999999999995</v>
      </c>
      <c r="J471" s="489">
        <v>96.2</v>
      </c>
      <c r="K471" s="489">
        <v>94.293999999999997</v>
      </c>
      <c r="L471" s="489">
        <v>93.247</v>
      </c>
      <c r="M471" s="489">
        <v>93.468000000000004</v>
      </c>
      <c r="N471" s="489">
        <v>94.731999999999999</v>
      </c>
      <c r="O471" s="489">
        <v>96.51</v>
      </c>
      <c r="P471" s="489">
        <v>97.977999999999994</v>
      </c>
      <c r="Q471" s="489">
        <v>98.634</v>
      </c>
    </row>
    <row r="472" spans="1:17" s="75" customFormat="1">
      <c r="A472" s="488" t="s">
        <v>166</v>
      </c>
      <c r="B472" s="489">
        <v>64.673000000000002</v>
      </c>
      <c r="C472" s="489">
        <v>68.77</v>
      </c>
      <c r="D472" s="489">
        <v>73.486999999999995</v>
      </c>
      <c r="E472" s="489">
        <v>78.313999999999993</v>
      </c>
      <c r="F472" s="489">
        <v>82.546999999999997</v>
      </c>
      <c r="G472" s="489">
        <v>85.691000000000003</v>
      </c>
      <c r="H472" s="489">
        <v>87.561999999999998</v>
      </c>
      <c r="I472" s="489">
        <v>88.34</v>
      </c>
      <c r="J472" s="489">
        <v>88.352999999999994</v>
      </c>
      <c r="K472" s="489">
        <v>88.094999999999999</v>
      </c>
      <c r="L472" s="489">
        <v>87.944000000000003</v>
      </c>
      <c r="M472" s="489">
        <v>88.091999999999999</v>
      </c>
      <c r="N472" s="489">
        <v>88.486000000000004</v>
      </c>
      <c r="O472" s="489">
        <v>88.977999999999994</v>
      </c>
      <c r="P472" s="489">
        <v>89.314999999999998</v>
      </c>
      <c r="Q472" s="489">
        <v>89.382000000000005</v>
      </c>
    </row>
    <row r="473" spans="1:17" s="75" customFormat="1">
      <c r="A473" s="488" t="s">
        <v>167</v>
      </c>
      <c r="B473" s="489">
        <v>57.741999999999997</v>
      </c>
      <c r="C473" s="489">
        <v>60.889000000000003</v>
      </c>
      <c r="D473" s="489">
        <v>64.299000000000007</v>
      </c>
      <c r="E473" s="489">
        <v>67.790000000000006</v>
      </c>
      <c r="F473" s="489">
        <v>71.113</v>
      </c>
      <c r="G473" s="489">
        <v>74.078999999999994</v>
      </c>
      <c r="H473" s="489">
        <v>76.664000000000001</v>
      </c>
      <c r="I473" s="489">
        <v>78.894000000000005</v>
      </c>
      <c r="J473" s="489">
        <v>80.694000000000003</v>
      </c>
      <c r="K473" s="489">
        <v>81.988</v>
      </c>
      <c r="L473" s="489">
        <v>82.751999999999995</v>
      </c>
      <c r="M473" s="489">
        <v>82.988</v>
      </c>
      <c r="N473" s="489">
        <v>82.787999999999997</v>
      </c>
      <c r="O473" s="489">
        <v>82.314999999999998</v>
      </c>
      <c r="P473" s="489">
        <v>81.790999999999997</v>
      </c>
      <c r="Q473" s="489">
        <v>81.417000000000002</v>
      </c>
    </row>
    <row r="474" spans="1:17" s="75" customFormat="1">
      <c r="A474" s="488" t="s">
        <v>168</v>
      </c>
      <c r="B474" s="489">
        <v>50.944000000000003</v>
      </c>
      <c r="C474" s="489">
        <v>53.058</v>
      </c>
      <c r="D474" s="489">
        <v>55.064999999999998</v>
      </c>
      <c r="E474" s="489">
        <v>57.136000000000003</v>
      </c>
      <c r="F474" s="489">
        <v>59.503999999999998</v>
      </c>
      <c r="G474" s="489">
        <v>62.3</v>
      </c>
      <c r="H474" s="489">
        <v>65.668999999999997</v>
      </c>
      <c r="I474" s="489">
        <v>69.471999999999994</v>
      </c>
      <c r="J474" s="489">
        <v>73.213999999999999</v>
      </c>
      <c r="K474" s="489">
        <v>76.213999999999999</v>
      </c>
      <c r="L474" s="489">
        <v>78.013000000000005</v>
      </c>
      <c r="M474" s="489">
        <v>78.421000000000006</v>
      </c>
      <c r="N474" s="489">
        <v>77.673000000000002</v>
      </c>
      <c r="O474" s="489">
        <v>76.272000000000006</v>
      </c>
      <c r="P474" s="489">
        <v>74.938999999999993</v>
      </c>
      <c r="Q474" s="489">
        <v>74.218000000000004</v>
      </c>
    </row>
    <row r="475" spans="1:17" s="75" customFormat="1">
      <c r="A475" s="488" t="s">
        <v>169</v>
      </c>
      <c r="B475" s="489">
        <v>44.395000000000003</v>
      </c>
      <c r="C475" s="489">
        <v>45.761000000000003</v>
      </c>
      <c r="D475" s="489">
        <v>46.773000000000003</v>
      </c>
      <c r="E475" s="489">
        <v>47.826000000000001</v>
      </c>
      <c r="F475" s="489">
        <v>49.460999999999999</v>
      </c>
      <c r="G475" s="489">
        <v>52.015000000000001</v>
      </c>
      <c r="H475" s="489">
        <v>55.74</v>
      </c>
      <c r="I475" s="489">
        <v>60.395000000000003</v>
      </c>
      <c r="J475" s="489">
        <v>65.242999999999995</v>
      </c>
      <c r="K475" s="489">
        <v>69.259</v>
      </c>
      <c r="L475" s="489">
        <v>71.736999999999995</v>
      </c>
      <c r="M475" s="489">
        <v>72.373999999999995</v>
      </c>
      <c r="N475" s="489">
        <v>71.483000000000004</v>
      </c>
      <c r="O475" s="489">
        <v>69.731999999999999</v>
      </c>
      <c r="P475" s="489">
        <v>68.103999999999999</v>
      </c>
      <c r="Q475" s="489">
        <v>67.308000000000007</v>
      </c>
    </row>
    <row r="476" spans="1:17" s="75" customFormat="1">
      <c r="A476" s="488" t="s">
        <v>170</v>
      </c>
      <c r="B476" s="489">
        <v>37.957999999999998</v>
      </c>
      <c r="C476" s="489">
        <v>39.107999999999997</v>
      </c>
      <c r="D476" s="489">
        <v>39.895000000000003</v>
      </c>
      <c r="E476" s="489">
        <v>40.707999999999998</v>
      </c>
      <c r="F476" s="489">
        <v>42.082999999999998</v>
      </c>
      <c r="G476" s="489">
        <v>44.362000000000002</v>
      </c>
      <c r="H476" s="489">
        <v>47.768999999999998</v>
      </c>
      <c r="I476" s="489">
        <v>52.08</v>
      </c>
      <c r="J476" s="489">
        <v>56.631</v>
      </c>
      <c r="K476" s="489">
        <v>60.494</v>
      </c>
      <c r="L476" s="489">
        <v>63.026000000000003</v>
      </c>
      <c r="M476" s="489">
        <v>63.957999999999998</v>
      </c>
      <c r="N476" s="489">
        <v>63.555999999999997</v>
      </c>
      <c r="O476" s="489">
        <v>62.372</v>
      </c>
      <c r="P476" s="489">
        <v>61.22</v>
      </c>
      <c r="Q476" s="489">
        <v>60.691000000000003</v>
      </c>
    </row>
    <row r="477" spans="1:17" s="75" customFormat="1">
      <c r="A477" s="488" t="s">
        <v>171</v>
      </c>
      <c r="B477" s="489">
        <v>31.779</v>
      </c>
      <c r="C477" s="489">
        <v>33.048999999999999</v>
      </c>
      <c r="D477" s="489">
        <v>34.094999999999999</v>
      </c>
      <c r="E477" s="489">
        <v>35.158999999999999</v>
      </c>
      <c r="F477" s="489">
        <v>36.572000000000003</v>
      </c>
      <c r="G477" s="489">
        <v>38.545999999999999</v>
      </c>
      <c r="H477" s="489">
        <v>41.21</v>
      </c>
      <c r="I477" s="489">
        <v>44.42</v>
      </c>
      <c r="J477" s="489">
        <v>47.783999999999999</v>
      </c>
      <c r="K477" s="489">
        <v>50.75</v>
      </c>
      <c r="L477" s="489">
        <v>52.929000000000002</v>
      </c>
      <c r="M477" s="489">
        <v>54.179000000000002</v>
      </c>
      <c r="N477" s="489">
        <v>54.643000000000001</v>
      </c>
      <c r="O477" s="489">
        <v>54.579000000000001</v>
      </c>
      <c r="P477" s="489">
        <v>54.38</v>
      </c>
      <c r="Q477" s="489">
        <v>54.334000000000003</v>
      </c>
    </row>
    <row r="478" spans="1:17" s="75" customFormat="1">
      <c r="A478" s="488" t="s">
        <v>172</v>
      </c>
      <c r="B478" s="489">
        <v>26.111999999999998</v>
      </c>
      <c r="C478" s="489">
        <v>27.4</v>
      </c>
      <c r="D478" s="489">
        <v>28.547000000000001</v>
      </c>
      <c r="E478" s="489">
        <v>29.684999999999999</v>
      </c>
      <c r="F478" s="489">
        <v>31.001999999999999</v>
      </c>
      <c r="G478" s="489">
        <v>32.619</v>
      </c>
      <c r="H478" s="489">
        <v>34.588999999999999</v>
      </c>
      <c r="I478" s="489">
        <v>36.835999999999999</v>
      </c>
      <c r="J478" s="489">
        <v>39.189</v>
      </c>
      <c r="K478" s="489">
        <v>41.411999999999999</v>
      </c>
      <c r="L478" s="489">
        <v>43.326999999999998</v>
      </c>
      <c r="M478" s="489">
        <v>44.896999999999998</v>
      </c>
      <c r="N478" s="489">
        <v>46.161999999999999</v>
      </c>
      <c r="O478" s="489">
        <v>47.13</v>
      </c>
      <c r="P478" s="489">
        <v>47.837000000000003</v>
      </c>
      <c r="Q478" s="489">
        <v>48.317</v>
      </c>
    </row>
    <row r="479" spans="1:17" s="75" customFormat="1">
      <c r="A479" s="488" t="s">
        <v>173</v>
      </c>
      <c r="B479" s="489">
        <v>20.873000000000001</v>
      </c>
      <c r="C479" s="489">
        <v>22.167999999999999</v>
      </c>
      <c r="D479" s="489">
        <v>23.387</v>
      </c>
      <c r="E479" s="489">
        <v>24.56</v>
      </c>
      <c r="F479" s="489">
        <v>25.733000000000001</v>
      </c>
      <c r="G479" s="489">
        <v>26.94</v>
      </c>
      <c r="H479" s="489">
        <v>28.158000000000001</v>
      </c>
      <c r="I479" s="489">
        <v>29.376999999999999</v>
      </c>
      <c r="J479" s="489">
        <v>30.666</v>
      </c>
      <c r="K479" s="489">
        <v>32.115000000000002</v>
      </c>
      <c r="L479" s="489">
        <v>33.768999999999998</v>
      </c>
      <c r="M479" s="489">
        <v>35.697000000000003</v>
      </c>
      <c r="N479" s="489">
        <v>37.837000000000003</v>
      </c>
      <c r="O479" s="489">
        <v>39.936999999999998</v>
      </c>
      <c r="P479" s="489">
        <v>41.654000000000003</v>
      </c>
      <c r="Q479" s="489">
        <v>42.76</v>
      </c>
    </row>
    <row r="480" spans="1:17" s="75" customFormat="1">
      <c r="A480" s="488" t="s">
        <v>174</v>
      </c>
      <c r="B480" s="489">
        <v>16.338000000000001</v>
      </c>
      <c r="C480" s="489">
        <v>17.588999999999999</v>
      </c>
      <c r="D480" s="489">
        <v>18.815999999999999</v>
      </c>
      <c r="E480" s="489">
        <v>19.975000000000001</v>
      </c>
      <c r="F480" s="489">
        <v>21.009</v>
      </c>
      <c r="G480" s="489">
        <v>21.896999999999998</v>
      </c>
      <c r="H480" s="489">
        <v>22.56</v>
      </c>
      <c r="I480" s="489">
        <v>23.038</v>
      </c>
      <c r="J480" s="489">
        <v>23.553999999999998</v>
      </c>
      <c r="K480" s="489">
        <v>24.41</v>
      </c>
      <c r="L480" s="489">
        <v>25.8</v>
      </c>
      <c r="M480" s="489">
        <v>27.86</v>
      </c>
      <c r="N480" s="489">
        <v>30.46</v>
      </c>
      <c r="O480" s="489">
        <v>33.197000000000003</v>
      </c>
      <c r="P480" s="489">
        <v>35.503999999999998</v>
      </c>
      <c r="Q480" s="489">
        <v>36.994</v>
      </c>
    </row>
    <row r="481" spans="1:18" s="75" customFormat="1">
      <c r="A481" s="488" t="s">
        <v>175</v>
      </c>
      <c r="B481" s="489">
        <v>12.659000000000001</v>
      </c>
      <c r="C481" s="489">
        <v>13.750999999999999</v>
      </c>
      <c r="D481" s="489">
        <v>14.837</v>
      </c>
      <c r="E481" s="489">
        <v>15.861000000000001</v>
      </c>
      <c r="F481" s="489">
        <v>16.754999999999999</v>
      </c>
      <c r="G481" s="489">
        <v>17.478999999999999</v>
      </c>
      <c r="H481" s="489">
        <v>17.959</v>
      </c>
      <c r="I481" s="489">
        <v>18.238</v>
      </c>
      <c r="J481" s="489">
        <v>18.542000000000002</v>
      </c>
      <c r="K481" s="489">
        <v>19.181999999999999</v>
      </c>
      <c r="L481" s="489">
        <v>20.353999999999999</v>
      </c>
      <c r="M481" s="489">
        <v>22.192</v>
      </c>
      <c r="N481" s="489">
        <v>24.567</v>
      </c>
      <c r="O481" s="489">
        <v>27.106000000000002</v>
      </c>
      <c r="P481" s="489">
        <v>29.285</v>
      </c>
      <c r="Q481" s="489">
        <v>30.742000000000001</v>
      </c>
    </row>
    <row r="482" spans="1:18" s="75" customFormat="1">
      <c r="A482" s="488" t="s">
        <v>176</v>
      </c>
      <c r="B482" s="489">
        <v>9.6869999999999994</v>
      </c>
      <c r="C482" s="489">
        <v>10.554</v>
      </c>
      <c r="D482" s="489">
        <v>11.412000000000001</v>
      </c>
      <c r="E482" s="489">
        <v>12.234</v>
      </c>
      <c r="F482" s="489">
        <v>12.984999999999999</v>
      </c>
      <c r="G482" s="489">
        <v>13.65</v>
      </c>
      <c r="H482" s="489">
        <v>14.183</v>
      </c>
      <c r="I482" s="489">
        <v>14.606999999999999</v>
      </c>
      <c r="J482" s="489">
        <v>15.057</v>
      </c>
      <c r="K482" s="489">
        <v>15.715999999999999</v>
      </c>
      <c r="L482" s="489">
        <v>16.704999999999998</v>
      </c>
      <c r="M482" s="489">
        <v>18.097000000000001</v>
      </c>
      <c r="N482" s="489">
        <v>19.814</v>
      </c>
      <c r="O482" s="489">
        <v>21.629000000000001</v>
      </c>
      <c r="P482" s="489">
        <v>23.224</v>
      </c>
      <c r="Q482" s="489">
        <v>24.376999999999999</v>
      </c>
    </row>
    <row r="483" spans="1:18" s="75" customFormat="1">
      <c r="A483" s="488" t="s">
        <v>177</v>
      </c>
      <c r="B483" s="489">
        <v>7.0629999999999997</v>
      </c>
      <c r="C483" s="489">
        <v>7.7480000000000002</v>
      </c>
      <c r="D483" s="489">
        <v>8.4329999999999998</v>
      </c>
      <c r="E483" s="489">
        <v>9.1020000000000003</v>
      </c>
      <c r="F483" s="489">
        <v>9.7370000000000001</v>
      </c>
      <c r="G483" s="489">
        <v>10.326000000000001</v>
      </c>
      <c r="H483" s="489">
        <v>10.845000000000001</v>
      </c>
      <c r="I483" s="489">
        <v>11.304</v>
      </c>
      <c r="J483" s="489">
        <v>11.776</v>
      </c>
      <c r="K483" s="489">
        <v>12.36</v>
      </c>
      <c r="L483" s="489">
        <v>13.121</v>
      </c>
      <c r="M483" s="489">
        <v>14.093999999999999</v>
      </c>
      <c r="N483" s="489">
        <v>15.234999999999999</v>
      </c>
      <c r="O483" s="489">
        <v>16.437000000000001</v>
      </c>
      <c r="P483" s="489">
        <v>17.55</v>
      </c>
      <c r="Q483" s="489">
        <v>18.465</v>
      </c>
    </row>
    <row r="484" spans="1:18" s="75" customFormat="1">
      <c r="A484" s="488" t="s">
        <v>178</v>
      </c>
      <c r="B484" s="489">
        <v>4.7859999999999996</v>
      </c>
      <c r="C484" s="489">
        <v>5.31</v>
      </c>
      <c r="D484" s="489">
        <v>5.851</v>
      </c>
      <c r="E484" s="489">
        <v>6.3970000000000002</v>
      </c>
      <c r="F484" s="489">
        <v>6.9329999999999998</v>
      </c>
      <c r="G484" s="489">
        <v>7.4539999999999997</v>
      </c>
      <c r="H484" s="489">
        <v>7.95</v>
      </c>
      <c r="I484" s="489">
        <v>8.4260000000000002</v>
      </c>
      <c r="J484" s="489">
        <v>8.8940000000000001</v>
      </c>
      <c r="K484" s="489">
        <v>9.3719999999999999</v>
      </c>
      <c r="L484" s="489">
        <v>9.8740000000000006</v>
      </c>
      <c r="M484" s="489">
        <v>10.393000000000001</v>
      </c>
      <c r="N484" s="489">
        <v>10.925000000000001</v>
      </c>
      <c r="O484" s="489">
        <v>11.489000000000001</v>
      </c>
      <c r="P484" s="489">
        <v>12.103999999999999</v>
      </c>
      <c r="Q484" s="489">
        <v>12.782</v>
      </c>
    </row>
    <row r="485" spans="1:18" s="75" customFormat="1">
      <c r="A485" s="488" t="s">
        <v>179</v>
      </c>
      <c r="B485" s="489">
        <v>3.044</v>
      </c>
      <c r="C485" s="489">
        <v>3.431</v>
      </c>
      <c r="D485" s="489">
        <v>3.8450000000000002</v>
      </c>
      <c r="E485" s="489">
        <v>4.2759999999999998</v>
      </c>
      <c r="F485" s="489">
        <v>4.7210000000000001</v>
      </c>
      <c r="G485" s="489">
        <v>5.1689999999999996</v>
      </c>
      <c r="H485" s="489">
        <v>5.63</v>
      </c>
      <c r="I485" s="489">
        <v>6.0970000000000004</v>
      </c>
      <c r="J485" s="489">
        <v>6.5430000000000001</v>
      </c>
      <c r="K485" s="489">
        <v>6.9290000000000003</v>
      </c>
      <c r="L485" s="489">
        <v>7.2329999999999997</v>
      </c>
      <c r="M485" s="489">
        <v>7.4219999999999997</v>
      </c>
      <c r="N485" s="489">
        <v>7.5179999999999998</v>
      </c>
      <c r="O485" s="489">
        <v>7.6189999999999998</v>
      </c>
      <c r="P485" s="489">
        <v>7.8639999999999999</v>
      </c>
      <c r="Q485" s="489">
        <v>8.3390000000000004</v>
      </c>
    </row>
    <row r="486" spans="1:18" s="75" customFormat="1">
      <c r="A486" s="488" t="s">
        <v>180</v>
      </c>
      <c r="B486" s="489">
        <v>1.875</v>
      </c>
      <c r="C486" s="489">
        <v>2.1579999999999999</v>
      </c>
      <c r="D486" s="489">
        <v>2.4689999999999999</v>
      </c>
      <c r="E486" s="489">
        <v>2.8029999999999999</v>
      </c>
      <c r="F486" s="489">
        <v>3.1520000000000001</v>
      </c>
      <c r="G486" s="489">
        <v>3.51</v>
      </c>
      <c r="H486" s="489">
        <v>3.8839999999999999</v>
      </c>
      <c r="I486" s="489">
        <v>4.2699999999999996</v>
      </c>
      <c r="J486" s="489">
        <v>4.6340000000000003</v>
      </c>
      <c r="K486" s="489">
        <v>4.9320000000000004</v>
      </c>
      <c r="L486" s="489">
        <v>5.1390000000000002</v>
      </c>
      <c r="M486" s="489">
        <v>5.22</v>
      </c>
      <c r="N486" s="489">
        <v>5.1970000000000001</v>
      </c>
      <c r="O486" s="489">
        <v>5.1769999999999996</v>
      </c>
      <c r="P486" s="489">
        <v>5.3</v>
      </c>
      <c r="Q486" s="489">
        <v>5.6630000000000003</v>
      </c>
    </row>
    <row r="487" spans="1:18" s="75" customFormat="1">
      <c r="A487" s="488" t="s">
        <v>181</v>
      </c>
      <c r="B487" s="489">
        <v>1.1519999999999999</v>
      </c>
      <c r="C487" s="489">
        <v>1.3560000000000001</v>
      </c>
      <c r="D487" s="489">
        <v>1.5880000000000001</v>
      </c>
      <c r="E487" s="489">
        <v>1.8380000000000001</v>
      </c>
      <c r="F487" s="489">
        <v>2.0960000000000001</v>
      </c>
      <c r="G487" s="489">
        <v>2.3540000000000001</v>
      </c>
      <c r="H487" s="489">
        <v>2.6150000000000002</v>
      </c>
      <c r="I487" s="489">
        <v>2.879</v>
      </c>
      <c r="J487" s="489">
        <v>3.13</v>
      </c>
      <c r="K487" s="489">
        <v>3.3490000000000002</v>
      </c>
      <c r="L487" s="489">
        <v>3.5259999999999998</v>
      </c>
      <c r="M487" s="489">
        <v>3.64</v>
      </c>
      <c r="N487" s="489">
        <v>3.7050000000000001</v>
      </c>
      <c r="O487" s="489">
        <v>3.778</v>
      </c>
      <c r="P487" s="489">
        <v>3.9430000000000001</v>
      </c>
      <c r="Q487" s="489">
        <v>4.25</v>
      </c>
    </row>
    <row r="488" spans="1:18" s="75" customFormat="1">
      <c r="A488" s="488" t="s">
        <v>182</v>
      </c>
      <c r="B488" s="489">
        <v>0.70099999999999996</v>
      </c>
      <c r="C488" s="489">
        <v>0.68600000000000005</v>
      </c>
      <c r="D488" s="489">
        <v>0.77300000000000002</v>
      </c>
      <c r="E488" s="489">
        <v>0.88400000000000001</v>
      </c>
      <c r="F488" s="489">
        <v>1.008</v>
      </c>
      <c r="G488" s="489">
        <v>1.5129999999999999</v>
      </c>
      <c r="H488" s="489">
        <v>1.694</v>
      </c>
      <c r="I488" s="489">
        <v>1.8740000000000001</v>
      </c>
      <c r="J488" s="489">
        <v>2.0499999999999998</v>
      </c>
      <c r="K488" s="489">
        <v>2.2120000000000002</v>
      </c>
      <c r="L488" s="489">
        <v>2.3530000000000002</v>
      </c>
      <c r="M488" s="489">
        <v>2.4670000000000001</v>
      </c>
      <c r="N488" s="489">
        <v>2.5569999999999999</v>
      </c>
      <c r="O488" s="489">
        <v>2.6539999999999999</v>
      </c>
      <c r="P488" s="489">
        <v>2.802</v>
      </c>
      <c r="Q488" s="489">
        <v>3.0249999999999999</v>
      </c>
    </row>
    <row r="489" spans="1:18" s="75" customFormat="1">
      <c r="A489" s="488" t="s">
        <v>183</v>
      </c>
      <c r="B489" s="489">
        <v>0.53200000000000003</v>
      </c>
      <c r="C489" s="489">
        <v>0.54800000000000004</v>
      </c>
      <c r="D489" s="489">
        <v>0.61899999999999999</v>
      </c>
      <c r="E489" s="489">
        <v>0.70699999999999996</v>
      </c>
      <c r="F489" s="489">
        <v>0.80700000000000005</v>
      </c>
      <c r="G489" s="489">
        <v>0.99</v>
      </c>
      <c r="H489" s="489">
        <v>1.1060000000000001</v>
      </c>
      <c r="I489" s="489">
        <v>1.226</v>
      </c>
      <c r="J489" s="489">
        <v>1.349</v>
      </c>
      <c r="K489" s="489">
        <v>1.4690000000000001</v>
      </c>
      <c r="L489" s="489">
        <v>1.587</v>
      </c>
      <c r="M489" s="489">
        <v>1.698</v>
      </c>
      <c r="N489" s="489">
        <v>1.8049999999999999</v>
      </c>
      <c r="O489" s="489">
        <v>1.913</v>
      </c>
      <c r="P489" s="489">
        <v>2.0249999999999999</v>
      </c>
      <c r="Q489" s="489">
        <v>2.149</v>
      </c>
    </row>
    <row r="490" spans="1:18" s="75" customFormat="1">
      <c r="A490" s="488" t="s">
        <v>184</v>
      </c>
      <c r="B490" s="489">
        <v>0.41699999999999998</v>
      </c>
      <c r="C490" s="489">
        <v>0.41099999999999998</v>
      </c>
      <c r="D490" s="489">
        <v>0.46400000000000002</v>
      </c>
      <c r="E490" s="489">
        <v>0.53100000000000003</v>
      </c>
      <c r="F490" s="489">
        <v>0.60499999999999998</v>
      </c>
      <c r="G490" s="489">
        <v>0.61899999999999999</v>
      </c>
      <c r="H490" s="489">
        <v>0.68500000000000005</v>
      </c>
      <c r="I490" s="489">
        <v>0.75900000000000001</v>
      </c>
      <c r="J490" s="489">
        <v>0.84</v>
      </c>
      <c r="K490" s="489">
        <v>0.92800000000000005</v>
      </c>
      <c r="L490" s="489">
        <v>1.0229999999999999</v>
      </c>
      <c r="M490" s="489">
        <v>1.1299999999999999</v>
      </c>
      <c r="N490" s="489">
        <v>1.2450000000000001</v>
      </c>
      <c r="O490" s="489">
        <v>1.355</v>
      </c>
      <c r="P490" s="489">
        <v>1.4430000000000001</v>
      </c>
      <c r="Q490" s="489">
        <v>1.4950000000000001</v>
      </c>
    </row>
    <row r="491" spans="1:18" s="75" customFormat="1">
      <c r="A491" s="488" t="s">
        <v>185</v>
      </c>
      <c r="B491" s="489">
        <v>0.221</v>
      </c>
      <c r="C491" s="489">
        <v>0.27400000000000002</v>
      </c>
      <c r="D491" s="489">
        <v>0.31</v>
      </c>
      <c r="E491" s="489">
        <v>0.35299999999999998</v>
      </c>
      <c r="F491" s="489">
        <v>0.40400000000000003</v>
      </c>
      <c r="G491" s="489">
        <v>0.28499999999999998</v>
      </c>
      <c r="H491" s="489">
        <v>0.32300000000000001</v>
      </c>
      <c r="I491" s="489">
        <v>0.36699999999999999</v>
      </c>
      <c r="J491" s="489">
        <v>0.41799999999999998</v>
      </c>
      <c r="K491" s="489">
        <v>0.47799999999999998</v>
      </c>
      <c r="L491" s="489">
        <v>0.54400000000000004</v>
      </c>
      <c r="M491" s="489">
        <v>0.623</v>
      </c>
      <c r="N491" s="489">
        <v>0.71099999999999997</v>
      </c>
      <c r="O491" s="489">
        <v>0.79400000000000004</v>
      </c>
      <c r="P491" s="489">
        <v>0.85099999999999998</v>
      </c>
      <c r="Q491" s="489">
        <v>0.86899999999999999</v>
      </c>
    </row>
    <row r="492" spans="1:18" s="75" customFormat="1">
      <c r="A492" s="488" t="s">
        <v>186</v>
      </c>
      <c r="B492" s="489">
        <v>0</v>
      </c>
      <c r="C492" s="489">
        <v>0.13700000000000001</v>
      </c>
      <c r="D492" s="489">
        <v>0.155</v>
      </c>
      <c r="E492" s="489">
        <v>0.17699999999999999</v>
      </c>
      <c r="F492" s="489">
        <v>0.20200000000000001</v>
      </c>
      <c r="G492" s="489">
        <v>1.7000000000000001E-2</v>
      </c>
      <c r="H492" s="489">
        <v>3.7999999999999999E-2</v>
      </c>
      <c r="I492" s="489">
        <v>6.6000000000000003E-2</v>
      </c>
      <c r="J492" s="489">
        <v>9.7000000000000003E-2</v>
      </c>
      <c r="K492" s="489">
        <v>0.13100000000000001</v>
      </c>
      <c r="L492" s="489">
        <v>0.16800000000000001</v>
      </c>
      <c r="M492" s="489">
        <v>0.20699999999999999</v>
      </c>
      <c r="N492" s="489">
        <v>0.25</v>
      </c>
      <c r="O492" s="489">
        <v>0.28999999999999998</v>
      </c>
      <c r="P492" s="489">
        <v>0.316</v>
      </c>
      <c r="Q492" s="489">
        <v>0.32800000000000001</v>
      </c>
    </row>
    <row r="493" spans="1:18" s="75" customFormat="1">
      <c r="A493" s="490" t="s">
        <v>187</v>
      </c>
      <c r="B493" s="491">
        <v>0.157</v>
      </c>
      <c r="C493" s="491">
        <v>0.16</v>
      </c>
      <c r="D493" s="491">
        <v>0.16</v>
      </c>
      <c r="E493" s="491">
        <v>0.16</v>
      </c>
      <c r="F493" s="491">
        <v>0.16300000000000001</v>
      </c>
      <c r="G493" s="491">
        <v>0.17299999999999999</v>
      </c>
      <c r="H493" s="491">
        <v>0.19</v>
      </c>
      <c r="I493" s="491">
        <v>0.214</v>
      </c>
      <c r="J493" s="491">
        <v>0.24399999999999999</v>
      </c>
      <c r="K493" s="491">
        <v>0.27900000000000003</v>
      </c>
      <c r="L493" s="491">
        <v>0.316</v>
      </c>
      <c r="M493" s="491">
        <v>0.35699999999999998</v>
      </c>
      <c r="N493" s="491">
        <v>0.4</v>
      </c>
      <c r="O493" s="491">
        <v>0.44600000000000001</v>
      </c>
      <c r="P493" s="491">
        <v>0.49299999999999999</v>
      </c>
      <c r="Q493" s="491">
        <v>0.54</v>
      </c>
    </row>
    <row r="494" spans="1:18" s="75" customFormat="1"/>
    <row r="495" spans="1:18" s="75" customFormat="1" ht="18.75">
      <c r="A495" s="92" t="s">
        <v>189</v>
      </c>
    </row>
    <row r="496" spans="1:18" s="75" customFormat="1" ht="17.25">
      <c r="A496" s="467"/>
      <c r="B496" s="1488" t="s">
        <v>730</v>
      </c>
      <c r="C496" s="1489"/>
      <c r="D496" s="1489"/>
      <c r="E496" s="1489"/>
      <c r="F496" s="1489"/>
      <c r="G496" s="1489"/>
      <c r="H496" s="1488" t="s">
        <v>734</v>
      </c>
      <c r="I496" s="1489"/>
      <c r="J496" s="1489"/>
      <c r="K496" s="1489"/>
      <c r="L496" s="1489"/>
      <c r="M496" s="1489"/>
      <c r="N496" s="1489"/>
      <c r="O496" s="1489"/>
      <c r="P496" s="1489"/>
      <c r="Q496" s="1490"/>
      <c r="R496" s="1491" t="s">
        <v>744</v>
      </c>
    </row>
    <row r="497" spans="1:18" s="75" customFormat="1">
      <c r="A497" s="468" t="s">
        <v>746</v>
      </c>
      <c r="B497" s="468">
        <v>2005</v>
      </c>
      <c r="C497" s="469">
        <v>2006</v>
      </c>
      <c r="D497" s="469">
        <v>2007</v>
      </c>
      <c r="E497" s="469">
        <v>2008</v>
      </c>
      <c r="F497" s="469">
        <v>2009</v>
      </c>
      <c r="G497" s="470">
        <v>2010</v>
      </c>
      <c r="H497" s="469">
        <v>2011</v>
      </c>
      <c r="I497" s="469">
        <v>2012</v>
      </c>
      <c r="J497" s="469">
        <v>2013</v>
      </c>
      <c r="K497" s="469">
        <v>2014</v>
      </c>
      <c r="L497" s="469">
        <v>2015</v>
      </c>
      <c r="M497" s="469">
        <v>2016</v>
      </c>
      <c r="N497" s="469">
        <v>2017</v>
      </c>
      <c r="O497" s="469">
        <v>2018</v>
      </c>
      <c r="P497" s="469">
        <v>2019</v>
      </c>
      <c r="Q497" s="470">
        <v>2020</v>
      </c>
      <c r="R497" s="1492"/>
    </row>
    <row r="498" spans="1:18" s="75" customFormat="1">
      <c r="A498" s="486" t="s">
        <v>87</v>
      </c>
      <c r="B498" s="487">
        <v>811.77700000000004</v>
      </c>
      <c r="C498" s="487">
        <v>804.995</v>
      </c>
      <c r="D498" s="487">
        <v>777.73800000000006</v>
      </c>
      <c r="E498" s="487">
        <v>739.34</v>
      </c>
      <c r="F498" s="487">
        <v>703.87</v>
      </c>
      <c r="G498" s="487">
        <v>681.35799999999995</v>
      </c>
      <c r="H498" s="487">
        <v>674.77200000000005</v>
      </c>
      <c r="I498" s="487">
        <v>680.31200000000001</v>
      </c>
      <c r="J498" s="487">
        <v>693.13099999999997</v>
      </c>
      <c r="K498" s="487">
        <v>705.68399999999997</v>
      </c>
      <c r="L498" s="487">
        <v>712.553</v>
      </c>
      <c r="M498" s="487">
        <v>712.279</v>
      </c>
      <c r="N498" s="487">
        <v>706.89400000000001</v>
      </c>
      <c r="O498" s="487">
        <v>698.59900000000005</v>
      </c>
      <c r="P498" s="487">
        <v>690.87199999999996</v>
      </c>
      <c r="Q498" s="487">
        <v>686.13900000000001</v>
      </c>
    </row>
    <row r="499" spans="1:18" s="75" customFormat="1">
      <c r="A499" s="488" t="s">
        <v>88</v>
      </c>
      <c r="B499" s="489">
        <v>757.34</v>
      </c>
      <c r="C499" s="489">
        <v>751.69100000000003</v>
      </c>
      <c r="D499" s="489">
        <v>737.68100000000004</v>
      </c>
      <c r="E499" s="489">
        <v>719.30799999999999</v>
      </c>
      <c r="F499" s="489">
        <v>702.69799999999998</v>
      </c>
      <c r="G499" s="489">
        <v>692.19299999999998</v>
      </c>
      <c r="H499" s="489">
        <v>688.98699999999997</v>
      </c>
      <c r="I499" s="489">
        <v>691.28800000000001</v>
      </c>
      <c r="J499" s="489">
        <v>696.90300000000002</v>
      </c>
      <c r="K499" s="489">
        <v>702.47</v>
      </c>
      <c r="L499" s="489">
        <v>705.56100000000004</v>
      </c>
      <c r="M499" s="489">
        <v>705.46799999999996</v>
      </c>
      <c r="N499" s="489">
        <v>703.02800000000002</v>
      </c>
      <c r="O499" s="489">
        <v>699.18600000000004</v>
      </c>
      <c r="P499" s="489">
        <v>695.46900000000005</v>
      </c>
      <c r="Q499" s="489">
        <v>692.92700000000002</v>
      </c>
    </row>
    <row r="500" spans="1:18" s="75" customFormat="1">
      <c r="A500" s="488" t="s">
        <v>89</v>
      </c>
      <c r="B500" s="489">
        <v>721.98099999999999</v>
      </c>
      <c r="C500" s="489">
        <v>716.14499999999998</v>
      </c>
      <c r="D500" s="489">
        <v>710.79</v>
      </c>
      <c r="E500" s="489">
        <v>706.09299999999996</v>
      </c>
      <c r="F500" s="489">
        <v>702.45500000000004</v>
      </c>
      <c r="G500" s="489">
        <v>700.11900000000003</v>
      </c>
      <c r="H500" s="489">
        <v>699.02599999999995</v>
      </c>
      <c r="I500" s="489">
        <v>698.84699999999998</v>
      </c>
      <c r="J500" s="489">
        <v>699.25300000000004</v>
      </c>
      <c r="K500" s="489">
        <v>699.82100000000003</v>
      </c>
      <c r="L500" s="489">
        <v>700.22500000000002</v>
      </c>
      <c r="M500" s="489">
        <v>700.28300000000002</v>
      </c>
      <c r="N500" s="489">
        <v>699.98</v>
      </c>
      <c r="O500" s="489">
        <v>699.36699999999996</v>
      </c>
      <c r="P500" s="489">
        <v>698.57100000000003</v>
      </c>
      <c r="Q500" s="489">
        <v>697.66800000000001</v>
      </c>
    </row>
    <row r="501" spans="1:18" s="75" customFormat="1">
      <c r="A501" s="488" t="s">
        <v>90</v>
      </c>
      <c r="B501" s="489">
        <v>703.36900000000003</v>
      </c>
      <c r="C501" s="489">
        <v>696.27499999999998</v>
      </c>
      <c r="D501" s="489">
        <v>695.60799999999995</v>
      </c>
      <c r="E501" s="489">
        <v>699.05100000000004</v>
      </c>
      <c r="F501" s="489">
        <v>703.23599999999999</v>
      </c>
      <c r="G501" s="489">
        <v>705.70399999999995</v>
      </c>
      <c r="H501" s="489">
        <v>705.60599999999999</v>
      </c>
      <c r="I501" s="489">
        <v>703.59400000000005</v>
      </c>
      <c r="J501" s="489">
        <v>700.50900000000001</v>
      </c>
      <c r="K501" s="489">
        <v>697.79</v>
      </c>
      <c r="L501" s="489">
        <v>696.43799999999999</v>
      </c>
      <c r="M501" s="489">
        <v>696.59699999999998</v>
      </c>
      <c r="N501" s="489">
        <v>697.70600000000002</v>
      </c>
      <c r="O501" s="489">
        <v>699.23099999999999</v>
      </c>
      <c r="P501" s="489">
        <v>700.39599999999996</v>
      </c>
      <c r="Q501" s="489">
        <v>700.63599999999997</v>
      </c>
    </row>
    <row r="502" spans="1:18" s="75" customFormat="1">
      <c r="A502" s="488" t="s">
        <v>91</v>
      </c>
      <c r="B502" s="489">
        <v>699.17</v>
      </c>
      <c r="C502" s="489">
        <v>689.99800000000005</v>
      </c>
      <c r="D502" s="489">
        <v>690.673</v>
      </c>
      <c r="E502" s="489">
        <v>697.53399999999999</v>
      </c>
      <c r="F502" s="489">
        <v>705.13199999999995</v>
      </c>
      <c r="G502" s="489">
        <v>709.51599999999996</v>
      </c>
      <c r="H502" s="489">
        <v>709.44299999999998</v>
      </c>
      <c r="I502" s="489">
        <v>706.12599999999998</v>
      </c>
      <c r="J502" s="489">
        <v>700.99800000000005</v>
      </c>
      <c r="K502" s="489">
        <v>696.43</v>
      </c>
      <c r="L502" s="489">
        <v>694.08600000000001</v>
      </c>
      <c r="M502" s="489">
        <v>694.28</v>
      </c>
      <c r="N502" s="489">
        <v>696.16099999999994</v>
      </c>
      <c r="O502" s="489">
        <v>698.875</v>
      </c>
      <c r="P502" s="489">
        <v>701.15800000000002</v>
      </c>
      <c r="Q502" s="489">
        <v>702.10500000000002</v>
      </c>
    </row>
    <row r="503" spans="1:18" s="75" customFormat="1">
      <c r="A503" s="488" t="s">
        <v>92</v>
      </c>
      <c r="B503" s="489">
        <v>707.05700000000002</v>
      </c>
      <c r="C503" s="489">
        <v>695.23299999999995</v>
      </c>
      <c r="D503" s="489">
        <v>694.52300000000002</v>
      </c>
      <c r="E503" s="489">
        <v>700.89300000000003</v>
      </c>
      <c r="F503" s="489">
        <v>708.23400000000004</v>
      </c>
      <c r="G503" s="489">
        <v>712.12199999999996</v>
      </c>
      <c r="H503" s="489">
        <v>711.25400000000002</v>
      </c>
      <c r="I503" s="489">
        <v>707.05</v>
      </c>
      <c r="J503" s="489">
        <v>701.048</v>
      </c>
      <c r="K503" s="489">
        <v>695.79100000000005</v>
      </c>
      <c r="L503" s="489">
        <v>693.06299999999999</v>
      </c>
      <c r="M503" s="489">
        <v>693.20600000000002</v>
      </c>
      <c r="N503" s="489">
        <v>695.3</v>
      </c>
      <c r="O503" s="489">
        <v>698.39099999999996</v>
      </c>
      <c r="P503" s="489">
        <v>701.07399999999996</v>
      </c>
      <c r="Q503" s="489">
        <v>702.34500000000003</v>
      </c>
    </row>
    <row r="504" spans="1:18" s="75" customFormat="1">
      <c r="A504" s="488" t="s">
        <v>93</v>
      </c>
      <c r="B504" s="489">
        <v>724.69799999999998</v>
      </c>
      <c r="C504" s="489">
        <v>709.89599999999996</v>
      </c>
      <c r="D504" s="489">
        <v>705.702</v>
      </c>
      <c r="E504" s="489">
        <v>708.48199999999997</v>
      </c>
      <c r="F504" s="489">
        <v>712.63599999999997</v>
      </c>
      <c r="G504" s="489">
        <v>714.09400000000005</v>
      </c>
      <c r="H504" s="489">
        <v>711.75599999999997</v>
      </c>
      <c r="I504" s="489">
        <v>706.96600000000001</v>
      </c>
      <c r="J504" s="489">
        <v>700.98400000000004</v>
      </c>
      <c r="K504" s="489">
        <v>695.92600000000004</v>
      </c>
      <c r="L504" s="489">
        <v>693.25900000000001</v>
      </c>
      <c r="M504" s="489">
        <v>693.24900000000002</v>
      </c>
      <c r="N504" s="489">
        <v>695.07899999999995</v>
      </c>
      <c r="O504" s="489">
        <v>697.87199999999996</v>
      </c>
      <c r="P504" s="489">
        <v>700.36099999999999</v>
      </c>
      <c r="Q504" s="489">
        <v>701.63300000000004</v>
      </c>
    </row>
    <row r="505" spans="1:18" s="75" customFormat="1">
      <c r="A505" s="488" t="s">
        <v>94</v>
      </c>
      <c r="B505" s="489">
        <v>749.76099999999997</v>
      </c>
      <c r="C505" s="489">
        <v>731.90599999999995</v>
      </c>
      <c r="D505" s="489">
        <v>722.745</v>
      </c>
      <c r="E505" s="489">
        <v>719.65300000000002</v>
      </c>
      <c r="F505" s="489">
        <v>718.42700000000002</v>
      </c>
      <c r="G505" s="489">
        <v>715.99699999999996</v>
      </c>
      <c r="H505" s="489">
        <v>711.66399999999999</v>
      </c>
      <c r="I505" s="489">
        <v>706.47400000000005</v>
      </c>
      <c r="J505" s="489">
        <v>701.13599999999997</v>
      </c>
      <c r="K505" s="489">
        <v>696.88800000000003</v>
      </c>
      <c r="L505" s="489">
        <v>694.56399999999996</v>
      </c>
      <c r="M505" s="489">
        <v>694.27800000000002</v>
      </c>
      <c r="N505" s="489">
        <v>695.45100000000002</v>
      </c>
      <c r="O505" s="489">
        <v>697.41399999999999</v>
      </c>
      <c r="P505" s="489">
        <v>699.23400000000004</v>
      </c>
      <c r="Q505" s="489">
        <v>700.23699999999997</v>
      </c>
    </row>
    <row r="506" spans="1:18" s="75" customFormat="1">
      <c r="A506" s="488" t="s">
        <v>95</v>
      </c>
      <c r="B506" s="489">
        <v>779.91499999999996</v>
      </c>
      <c r="C506" s="489">
        <v>759.17899999999997</v>
      </c>
      <c r="D506" s="489">
        <v>744.19600000000003</v>
      </c>
      <c r="E506" s="489">
        <v>733.76199999999994</v>
      </c>
      <c r="F506" s="489">
        <v>725.70100000000002</v>
      </c>
      <c r="G506" s="489">
        <v>718.4</v>
      </c>
      <c r="H506" s="489">
        <v>711.69500000000005</v>
      </c>
      <c r="I506" s="489">
        <v>706.17899999999997</v>
      </c>
      <c r="J506" s="489">
        <v>701.83100000000002</v>
      </c>
      <c r="K506" s="489">
        <v>698.726</v>
      </c>
      <c r="L506" s="489">
        <v>696.86599999999999</v>
      </c>
      <c r="M506" s="489">
        <v>696.16800000000001</v>
      </c>
      <c r="N506" s="489">
        <v>696.37400000000002</v>
      </c>
      <c r="O506" s="489">
        <v>697.10799999999995</v>
      </c>
      <c r="P506" s="489">
        <v>697.91</v>
      </c>
      <c r="Q506" s="489">
        <v>698.43499999999995</v>
      </c>
    </row>
    <row r="507" spans="1:18" s="75" customFormat="1">
      <c r="A507" s="488" t="s">
        <v>96</v>
      </c>
      <c r="B507" s="489">
        <v>812.83100000000002</v>
      </c>
      <c r="C507" s="489">
        <v>789.63499999999999</v>
      </c>
      <c r="D507" s="489">
        <v>768.59100000000001</v>
      </c>
      <c r="E507" s="489">
        <v>750.15599999999995</v>
      </c>
      <c r="F507" s="489">
        <v>734.54899999999998</v>
      </c>
      <c r="G507" s="489">
        <v>721.87300000000005</v>
      </c>
      <c r="H507" s="489">
        <v>712.56500000000005</v>
      </c>
      <c r="I507" s="489">
        <v>706.68100000000004</v>
      </c>
      <c r="J507" s="489">
        <v>703.39400000000001</v>
      </c>
      <c r="K507" s="489">
        <v>701.495</v>
      </c>
      <c r="L507" s="489">
        <v>700.05899999999997</v>
      </c>
      <c r="M507" s="489">
        <v>698.79100000000005</v>
      </c>
      <c r="N507" s="489">
        <v>697.80100000000004</v>
      </c>
      <c r="O507" s="489">
        <v>697.04899999999998</v>
      </c>
      <c r="P507" s="489">
        <v>696.60599999999999</v>
      </c>
      <c r="Q507" s="489">
        <v>696.49699999999996</v>
      </c>
    </row>
    <row r="508" spans="1:18" s="75" customFormat="1">
      <c r="A508" s="488" t="s">
        <v>97</v>
      </c>
      <c r="B508" s="489">
        <v>849.19299999999998</v>
      </c>
      <c r="C508" s="489">
        <v>823.44</v>
      </c>
      <c r="D508" s="489">
        <v>795.38199999999995</v>
      </c>
      <c r="E508" s="489">
        <v>767.53899999999999</v>
      </c>
      <c r="F508" s="489">
        <v>743.11199999999997</v>
      </c>
      <c r="G508" s="489">
        <v>724.34199999999998</v>
      </c>
      <c r="H508" s="489">
        <v>712.41700000000003</v>
      </c>
      <c r="I508" s="489">
        <v>706.69100000000003</v>
      </c>
      <c r="J508" s="489">
        <v>705.28899999999999</v>
      </c>
      <c r="K508" s="489">
        <v>705.33699999999999</v>
      </c>
      <c r="L508" s="489">
        <v>704.71900000000005</v>
      </c>
      <c r="M508" s="489">
        <v>702.851</v>
      </c>
      <c r="N508" s="489">
        <v>700.32</v>
      </c>
      <c r="O508" s="489">
        <v>697.55700000000002</v>
      </c>
      <c r="P508" s="489">
        <v>695.37599999999998</v>
      </c>
      <c r="Q508" s="489">
        <v>694.32399999999996</v>
      </c>
    </row>
    <row r="509" spans="1:18" s="75" customFormat="1">
      <c r="A509" s="488" t="s">
        <v>98</v>
      </c>
      <c r="B509" s="489">
        <v>889.68799999999999</v>
      </c>
      <c r="C509" s="489">
        <v>860.76499999999999</v>
      </c>
      <c r="D509" s="489">
        <v>824.02200000000005</v>
      </c>
      <c r="E509" s="489">
        <v>784.60500000000002</v>
      </c>
      <c r="F509" s="489">
        <v>749.52499999999998</v>
      </c>
      <c r="G509" s="489">
        <v>723.73900000000003</v>
      </c>
      <c r="H509" s="489">
        <v>709.39400000000001</v>
      </c>
      <c r="I509" s="489">
        <v>704.92100000000005</v>
      </c>
      <c r="J509" s="489">
        <v>706.97400000000005</v>
      </c>
      <c r="K509" s="489">
        <v>710.39200000000005</v>
      </c>
      <c r="L509" s="489">
        <v>711.423</v>
      </c>
      <c r="M509" s="489">
        <v>709.05499999999995</v>
      </c>
      <c r="N509" s="489">
        <v>704.51700000000005</v>
      </c>
      <c r="O509" s="489">
        <v>698.952</v>
      </c>
      <c r="P509" s="489">
        <v>694.27499999999998</v>
      </c>
      <c r="Q509" s="489">
        <v>691.81600000000003</v>
      </c>
    </row>
    <row r="510" spans="1:18" s="75" customFormat="1">
      <c r="A510" s="488" t="s">
        <v>99</v>
      </c>
      <c r="B510" s="489">
        <v>916.9</v>
      </c>
      <c r="C510" s="489">
        <v>888.27</v>
      </c>
      <c r="D510" s="489">
        <v>848.49099999999999</v>
      </c>
      <c r="E510" s="489">
        <v>803.98299999999995</v>
      </c>
      <c r="F510" s="489">
        <v>763.64800000000002</v>
      </c>
      <c r="G510" s="489">
        <v>733.82799999999997</v>
      </c>
      <c r="H510" s="489">
        <v>717.08</v>
      </c>
      <c r="I510" s="489">
        <v>711.42600000000004</v>
      </c>
      <c r="J510" s="489">
        <v>713.11099999999999</v>
      </c>
      <c r="K510" s="489">
        <v>716.26300000000003</v>
      </c>
      <c r="L510" s="489">
        <v>716.625</v>
      </c>
      <c r="M510" s="489">
        <v>713.10900000000004</v>
      </c>
      <c r="N510" s="489">
        <v>707.19100000000003</v>
      </c>
      <c r="O510" s="489">
        <v>700.19600000000003</v>
      </c>
      <c r="P510" s="489">
        <v>694.327</v>
      </c>
      <c r="Q510" s="489">
        <v>691.11</v>
      </c>
    </row>
    <row r="511" spans="1:18" s="75" customFormat="1">
      <c r="A511" s="488" t="s">
        <v>100</v>
      </c>
      <c r="B511" s="489">
        <v>922.46100000000001</v>
      </c>
      <c r="C511" s="489">
        <v>899.37099999999998</v>
      </c>
      <c r="D511" s="489">
        <v>865.51099999999997</v>
      </c>
      <c r="E511" s="489">
        <v>826.33199999999999</v>
      </c>
      <c r="F511" s="489">
        <v>789.47799999999995</v>
      </c>
      <c r="G511" s="489">
        <v>760.46</v>
      </c>
      <c r="H511" s="489">
        <v>741.34</v>
      </c>
      <c r="I511" s="489">
        <v>730.59400000000005</v>
      </c>
      <c r="J511" s="489">
        <v>725.76</v>
      </c>
      <c r="K511" s="489">
        <v>722.81899999999996</v>
      </c>
      <c r="L511" s="489">
        <v>718.84199999999998</v>
      </c>
      <c r="M511" s="489">
        <v>713.22500000000002</v>
      </c>
      <c r="N511" s="489">
        <v>707.03200000000004</v>
      </c>
      <c r="O511" s="489">
        <v>700.93100000000004</v>
      </c>
      <c r="P511" s="489">
        <v>696.07100000000003</v>
      </c>
      <c r="Q511" s="489">
        <v>693.221</v>
      </c>
    </row>
    <row r="512" spans="1:18" s="75" customFormat="1">
      <c r="A512" s="488" t="s">
        <v>101</v>
      </c>
      <c r="B512" s="489">
        <v>913.09500000000003</v>
      </c>
      <c r="C512" s="489">
        <v>898.73900000000003</v>
      </c>
      <c r="D512" s="489">
        <v>876.35</v>
      </c>
      <c r="E512" s="489">
        <v>849.04399999999998</v>
      </c>
      <c r="F512" s="489">
        <v>821.24699999999996</v>
      </c>
      <c r="G512" s="489">
        <v>796.28300000000002</v>
      </c>
      <c r="H512" s="489">
        <v>775.16899999999998</v>
      </c>
      <c r="I512" s="489">
        <v>757.34900000000005</v>
      </c>
      <c r="J512" s="489">
        <v>742.649</v>
      </c>
      <c r="K512" s="489">
        <v>730.38499999999999</v>
      </c>
      <c r="L512" s="489">
        <v>720.02499999999998</v>
      </c>
      <c r="M512" s="489">
        <v>711.77</v>
      </c>
      <c r="N512" s="489">
        <v>705.89200000000005</v>
      </c>
      <c r="O512" s="489">
        <v>701.92899999999997</v>
      </c>
      <c r="P512" s="489">
        <v>699.23699999999997</v>
      </c>
      <c r="Q512" s="489">
        <v>697.30499999999995</v>
      </c>
    </row>
    <row r="513" spans="1:17" s="75" customFormat="1">
      <c r="A513" s="488" t="s">
        <v>102</v>
      </c>
      <c r="B513" s="489">
        <v>904.75800000000004</v>
      </c>
      <c r="C513" s="489">
        <v>898.69600000000003</v>
      </c>
      <c r="D513" s="489">
        <v>886.83399999999995</v>
      </c>
      <c r="E513" s="489">
        <v>870.23800000000006</v>
      </c>
      <c r="F513" s="489">
        <v>850.54300000000001</v>
      </c>
      <c r="G513" s="489">
        <v>829.17399999999998</v>
      </c>
      <c r="H513" s="489">
        <v>806.21199999999999</v>
      </c>
      <c r="I513" s="489">
        <v>781.95399999999995</v>
      </c>
      <c r="J513" s="489">
        <v>758.30600000000004</v>
      </c>
      <c r="K513" s="489">
        <v>737.62300000000005</v>
      </c>
      <c r="L513" s="489">
        <v>721.54499999999996</v>
      </c>
      <c r="M513" s="489">
        <v>711.02099999999996</v>
      </c>
      <c r="N513" s="489">
        <v>705.6</v>
      </c>
      <c r="O513" s="489">
        <v>703.75300000000004</v>
      </c>
      <c r="P513" s="489">
        <v>703.15099999999995</v>
      </c>
      <c r="Q513" s="489">
        <v>702.07799999999997</v>
      </c>
    </row>
    <row r="514" spans="1:17" s="75" customFormat="1">
      <c r="A514" s="488" t="s">
        <v>103</v>
      </c>
      <c r="B514" s="489">
        <v>895.30700000000002</v>
      </c>
      <c r="C514" s="489">
        <v>898.05799999999999</v>
      </c>
      <c r="D514" s="489">
        <v>897.31500000000005</v>
      </c>
      <c r="E514" s="489">
        <v>891.96299999999997</v>
      </c>
      <c r="F514" s="489">
        <v>880.67100000000005</v>
      </c>
      <c r="G514" s="489">
        <v>862.85</v>
      </c>
      <c r="H514" s="489">
        <v>837.55799999999999</v>
      </c>
      <c r="I514" s="489">
        <v>806.01199999999994</v>
      </c>
      <c r="J514" s="489">
        <v>772.46100000000001</v>
      </c>
      <c r="K514" s="489">
        <v>742.65200000000004</v>
      </c>
      <c r="L514" s="489">
        <v>720.64800000000002</v>
      </c>
      <c r="M514" s="489">
        <v>708.25900000000001</v>
      </c>
      <c r="N514" s="489">
        <v>704.19799999999998</v>
      </c>
      <c r="O514" s="489">
        <v>705.60900000000004</v>
      </c>
      <c r="P514" s="489">
        <v>708.09900000000005</v>
      </c>
      <c r="Q514" s="489">
        <v>708.48599999999999</v>
      </c>
    </row>
    <row r="515" spans="1:17" s="75" customFormat="1">
      <c r="A515" s="488" t="s">
        <v>104</v>
      </c>
      <c r="B515" s="489">
        <v>881.48</v>
      </c>
      <c r="C515" s="489">
        <v>890.25599999999997</v>
      </c>
      <c r="D515" s="489">
        <v>897.25800000000004</v>
      </c>
      <c r="E515" s="489">
        <v>900.09100000000001</v>
      </c>
      <c r="F515" s="489">
        <v>895.65700000000004</v>
      </c>
      <c r="G515" s="489">
        <v>882.13599999999997</v>
      </c>
      <c r="H515" s="489">
        <v>858.06399999999996</v>
      </c>
      <c r="I515" s="489">
        <v>825.10799999999995</v>
      </c>
      <c r="J515" s="489">
        <v>788.43299999999999</v>
      </c>
      <c r="K515" s="489">
        <v>755.18399999999997</v>
      </c>
      <c r="L515" s="489">
        <v>730.44600000000003</v>
      </c>
      <c r="M515" s="489">
        <v>716.31399999999996</v>
      </c>
      <c r="N515" s="489">
        <v>711.20899999999995</v>
      </c>
      <c r="O515" s="489">
        <v>712.02599999999995</v>
      </c>
      <c r="P515" s="489">
        <v>713.93100000000004</v>
      </c>
      <c r="Q515" s="489">
        <v>713.428</v>
      </c>
    </row>
    <row r="516" spans="1:17" s="75" customFormat="1">
      <c r="A516" s="488" t="s">
        <v>105</v>
      </c>
      <c r="B516" s="489">
        <v>863.596</v>
      </c>
      <c r="C516" s="489">
        <v>873.66200000000003</v>
      </c>
      <c r="D516" s="489">
        <v>882.48599999999999</v>
      </c>
      <c r="E516" s="489">
        <v>887.92600000000004</v>
      </c>
      <c r="F516" s="489">
        <v>887.21699999999998</v>
      </c>
      <c r="G516" s="489">
        <v>878.66099999999994</v>
      </c>
      <c r="H516" s="489">
        <v>861.13</v>
      </c>
      <c r="I516" s="489">
        <v>835.94100000000003</v>
      </c>
      <c r="J516" s="489">
        <v>806.87900000000002</v>
      </c>
      <c r="K516" s="489">
        <v>779.22500000000002</v>
      </c>
      <c r="L516" s="489">
        <v>756.80399999999997</v>
      </c>
      <c r="M516" s="489">
        <v>741.07500000000005</v>
      </c>
      <c r="N516" s="489">
        <v>731.04499999999996</v>
      </c>
      <c r="O516" s="489">
        <v>725.09799999999996</v>
      </c>
      <c r="P516" s="489">
        <v>720.55100000000004</v>
      </c>
      <c r="Q516" s="489">
        <v>715.46199999999999</v>
      </c>
    </row>
    <row r="517" spans="1:17" s="75" customFormat="1">
      <c r="A517" s="488" t="s">
        <v>106</v>
      </c>
      <c r="B517" s="489">
        <v>842.89400000000001</v>
      </c>
      <c r="C517" s="489">
        <v>851.14</v>
      </c>
      <c r="D517" s="489">
        <v>857.89099999999996</v>
      </c>
      <c r="E517" s="489">
        <v>862.25599999999997</v>
      </c>
      <c r="F517" s="489">
        <v>863.12699999999995</v>
      </c>
      <c r="G517" s="489">
        <v>859.80200000000002</v>
      </c>
      <c r="H517" s="489">
        <v>852.01400000000001</v>
      </c>
      <c r="I517" s="489">
        <v>840.23699999999997</v>
      </c>
      <c r="J517" s="489">
        <v>825.46600000000001</v>
      </c>
      <c r="K517" s="489">
        <v>809.12099999999998</v>
      </c>
      <c r="L517" s="489">
        <v>792.36900000000003</v>
      </c>
      <c r="M517" s="489">
        <v>775.471</v>
      </c>
      <c r="N517" s="489">
        <v>758.55399999999997</v>
      </c>
      <c r="O517" s="489">
        <v>742.48199999999997</v>
      </c>
      <c r="P517" s="489">
        <v>728.23599999999999</v>
      </c>
      <c r="Q517" s="489">
        <v>716.50599999999997</v>
      </c>
    </row>
    <row r="518" spans="1:17" s="75" customFormat="1">
      <c r="A518" s="488" t="s">
        <v>107</v>
      </c>
      <c r="B518" s="489">
        <v>820.21</v>
      </c>
      <c r="C518" s="489">
        <v>827.23599999999999</v>
      </c>
      <c r="D518" s="489">
        <v>832.86300000000006</v>
      </c>
      <c r="E518" s="489">
        <v>837.17600000000004</v>
      </c>
      <c r="F518" s="489">
        <v>840.35599999999999</v>
      </c>
      <c r="G518" s="489">
        <v>842.44299999999998</v>
      </c>
      <c r="H518" s="489">
        <v>843.904</v>
      </c>
      <c r="I518" s="489">
        <v>844.49199999999996</v>
      </c>
      <c r="J518" s="489">
        <v>842.72799999999995</v>
      </c>
      <c r="K518" s="489">
        <v>836.62</v>
      </c>
      <c r="L518" s="489">
        <v>824.995</v>
      </c>
      <c r="M518" s="489">
        <v>807.03399999999999</v>
      </c>
      <c r="N518" s="489">
        <v>783.85400000000004</v>
      </c>
      <c r="O518" s="489">
        <v>758.59100000000001</v>
      </c>
      <c r="P518" s="489">
        <v>735.56799999999998</v>
      </c>
      <c r="Q518" s="489">
        <v>717.87599999999998</v>
      </c>
    </row>
    <row r="519" spans="1:17" s="75" customFormat="1">
      <c r="A519" s="488" t="s">
        <v>108</v>
      </c>
      <c r="B519" s="489">
        <v>795.26099999999997</v>
      </c>
      <c r="C519" s="489">
        <v>801.11599999999999</v>
      </c>
      <c r="D519" s="489">
        <v>805.89800000000002</v>
      </c>
      <c r="E519" s="489">
        <v>810.60299999999995</v>
      </c>
      <c r="F519" s="489">
        <v>816.59500000000003</v>
      </c>
      <c r="G519" s="489">
        <v>824.57600000000002</v>
      </c>
      <c r="H519" s="489">
        <v>835.75900000000001</v>
      </c>
      <c r="I519" s="489">
        <v>849.18100000000004</v>
      </c>
      <c r="J519" s="489">
        <v>860.78899999999999</v>
      </c>
      <c r="K519" s="489">
        <v>865.06200000000001</v>
      </c>
      <c r="L519" s="489">
        <v>858.40800000000002</v>
      </c>
      <c r="M519" s="489">
        <v>838.846</v>
      </c>
      <c r="N519" s="489">
        <v>808.54499999999996</v>
      </c>
      <c r="O519" s="489">
        <v>773.15700000000004</v>
      </c>
      <c r="P519" s="489">
        <v>740.68100000000004</v>
      </c>
      <c r="Q519" s="489">
        <v>716.83699999999999</v>
      </c>
    </row>
    <row r="520" spans="1:17" s="75" customFormat="1">
      <c r="A520" s="488" t="s">
        <v>109</v>
      </c>
      <c r="B520" s="489">
        <v>773.57100000000003</v>
      </c>
      <c r="C520" s="489">
        <v>777.97</v>
      </c>
      <c r="D520" s="489">
        <v>781.21699999999998</v>
      </c>
      <c r="E520" s="489">
        <v>785.14200000000005</v>
      </c>
      <c r="F520" s="489">
        <v>792.21500000000003</v>
      </c>
      <c r="G520" s="489">
        <v>803.81</v>
      </c>
      <c r="H520" s="489">
        <v>821.63900000000001</v>
      </c>
      <c r="I520" s="489">
        <v>844.19600000000003</v>
      </c>
      <c r="J520" s="489">
        <v>865.78599999999994</v>
      </c>
      <c r="K520" s="489">
        <v>878.60699999999997</v>
      </c>
      <c r="L520" s="489">
        <v>877.46199999999999</v>
      </c>
      <c r="M520" s="489">
        <v>859.73</v>
      </c>
      <c r="N520" s="489">
        <v>828.14700000000005</v>
      </c>
      <c r="O520" s="489">
        <v>789.43200000000002</v>
      </c>
      <c r="P520" s="489">
        <v>753.22900000000004</v>
      </c>
      <c r="Q520" s="489">
        <v>726.45699999999999</v>
      </c>
    </row>
    <row r="521" spans="1:17" s="75" customFormat="1">
      <c r="A521" s="488" t="s">
        <v>110</v>
      </c>
      <c r="B521" s="489">
        <v>757.947</v>
      </c>
      <c r="C521" s="489">
        <v>760.87599999999998</v>
      </c>
      <c r="D521" s="489">
        <v>761.99900000000002</v>
      </c>
      <c r="E521" s="489">
        <v>763.75400000000002</v>
      </c>
      <c r="F521" s="489">
        <v>769.45899999999995</v>
      </c>
      <c r="G521" s="489">
        <v>781.09699999999998</v>
      </c>
      <c r="H521" s="489">
        <v>800.43</v>
      </c>
      <c r="I521" s="489">
        <v>825.72699999999998</v>
      </c>
      <c r="J521" s="489">
        <v>851.25300000000004</v>
      </c>
      <c r="K521" s="489">
        <v>869.07799999999997</v>
      </c>
      <c r="L521" s="489">
        <v>873.80399999999997</v>
      </c>
      <c r="M521" s="489">
        <v>863.05</v>
      </c>
      <c r="N521" s="489">
        <v>839.30700000000002</v>
      </c>
      <c r="O521" s="489">
        <v>808.02700000000004</v>
      </c>
      <c r="P521" s="489">
        <v>777.18200000000002</v>
      </c>
      <c r="Q521" s="489">
        <v>752.57799999999997</v>
      </c>
    </row>
    <row r="522" spans="1:17" s="75" customFormat="1">
      <c r="A522" s="488" t="s">
        <v>111</v>
      </c>
      <c r="B522" s="489">
        <v>746.35799999999995</v>
      </c>
      <c r="C522" s="489">
        <v>747.88499999999999</v>
      </c>
      <c r="D522" s="489">
        <v>746.64300000000003</v>
      </c>
      <c r="E522" s="489">
        <v>745.48500000000001</v>
      </c>
      <c r="F522" s="489">
        <v>748.34100000000001</v>
      </c>
      <c r="G522" s="489">
        <v>757.70100000000002</v>
      </c>
      <c r="H522" s="489">
        <v>775.09100000000001</v>
      </c>
      <c r="I522" s="489">
        <v>798.78</v>
      </c>
      <c r="J522" s="489">
        <v>824.04300000000001</v>
      </c>
      <c r="K522" s="489">
        <v>844.26900000000001</v>
      </c>
      <c r="L522" s="489">
        <v>854.8</v>
      </c>
      <c r="M522" s="489">
        <v>854.048</v>
      </c>
      <c r="N522" s="489">
        <v>843.73599999999999</v>
      </c>
      <c r="O522" s="489">
        <v>826.61</v>
      </c>
      <c r="P522" s="489">
        <v>806.90800000000002</v>
      </c>
      <c r="Q522" s="489">
        <v>787.87300000000005</v>
      </c>
    </row>
    <row r="523" spans="1:17" s="75" customFormat="1">
      <c r="A523" s="488" t="s">
        <v>112</v>
      </c>
      <c r="B523" s="489">
        <v>734.00400000000002</v>
      </c>
      <c r="C523" s="489">
        <v>733.87400000000002</v>
      </c>
      <c r="D523" s="489">
        <v>730.03499999999997</v>
      </c>
      <c r="E523" s="489">
        <v>725.81799999999998</v>
      </c>
      <c r="F523" s="489">
        <v>725.84699999999998</v>
      </c>
      <c r="G523" s="489">
        <v>733.17499999999995</v>
      </c>
      <c r="H523" s="489">
        <v>749.15300000000002</v>
      </c>
      <c r="I523" s="489">
        <v>772.00599999999997</v>
      </c>
      <c r="J523" s="489">
        <v>797.803</v>
      </c>
      <c r="K523" s="489">
        <v>820.94</v>
      </c>
      <c r="L523" s="489">
        <v>837.303</v>
      </c>
      <c r="M523" s="489">
        <v>845.98199999999997</v>
      </c>
      <c r="N523" s="489">
        <v>848.04499999999996</v>
      </c>
      <c r="O523" s="489">
        <v>843.81799999999998</v>
      </c>
      <c r="P523" s="489">
        <v>834.23</v>
      </c>
      <c r="Q523" s="489">
        <v>820.25</v>
      </c>
    </row>
    <row r="524" spans="1:17" s="75" customFormat="1">
      <c r="A524" s="488" t="s">
        <v>113</v>
      </c>
      <c r="B524" s="489">
        <v>721.88499999999999</v>
      </c>
      <c r="C524" s="489">
        <v>719.75400000000002</v>
      </c>
      <c r="D524" s="489">
        <v>712.78700000000003</v>
      </c>
      <c r="E524" s="489">
        <v>704.92100000000005</v>
      </c>
      <c r="F524" s="489">
        <v>701.64300000000003</v>
      </c>
      <c r="G524" s="489">
        <v>706.68100000000004</v>
      </c>
      <c r="H524" s="489">
        <v>721.25099999999998</v>
      </c>
      <c r="I524" s="489">
        <v>743.48199999999997</v>
      </c>
      <c r="J524" s="489">
        <v>770.18399999999997</v>
      </c>
      <c r="K524" s="489">
        <v>796.673</v>
      </c>
      <c r="L524" s="489">
        <v>819.30200000000002</v>
      </c>
      <c r="M524" s="489">
        <v>837.85900000000004</v>
      </c>
      <c r="N524" s="489">
        <v>852.76</v>
      </c>
      <c r="O524" s="489">
        <v>861.80899999999997</v>
      </c>
      <c r="P524" s="489">
        <v>862.48699999999997</v>
      </c>
      <c r="Q524" s="489">
        <v>853.41600000000005</v>
      </c>
    </row>
    <row r="525" spans="1:17" s="75" customFormat="1">
      <c r="A525" s="488" t="s">
        <v>114</v>
      </c>
      <c r="B525" s="489">
        <v>710.22400000000005</v>
      </c>
      <c r="C525" s="489">
        <v>707.38400000000001</v>
      </c>
      <c r="D525" s="489">
        <v>699.43499999999995</v>
      </c>
      <c r="E525" s="489">
        <v>690.31200000000001</v>
      </c>
      <c r="F525" s="489">
        <v>685.51700000000005</v>
      </c>
      <c r="G525" s="489">
        <v>688.86</v>
      </c>
      <c r="H525" s="489">
        <v>701.3</v>
      </c>
      <c r="I525" s="489">
        <v>721.12099999999998</v>
      </c>
      <c r="J525" s="489">
        <v>746.09299999999996</v>
      </c>
      <c r="K525" s="489">
        <v>772.82</v>
      </c>
      <c r="L525" s="489">
        <v>798.452</v>
      </c>
      <c r="M525" s="489">
        <v>823.32799999999997</v>
      </c>
      <c r="N525" s="489">
        <v>847.279</v>
      </c>
      <c r="O525" s="489">
        <v>866.39099999999996</v>
      </c>
      <c r="P525" s="489">
        <v>875.75199999999995</v>
      </c>
      <c r="Q525" s="489">
        <v>872.28700000000003</v>
      </c>
    </row>
    <row r="526" spans="1:17" s="75" customFormat="1">
      <c r="A526" s="488" t="s">
        <v>115</v>
      </c>
      <c r="B526" s="489">
        <v>698.66200000000003</v>
      </c>
      <c r="C526" s="489">
        <v>697.14599999999996</v>
      </c>
      <c r="D526" s="489">
        <v>691.59400000000005</v>
      </c>
      <c r="E526" s="489">
        <v>685.04899999999998</v>
      </c>
      <c r="F526" s="489">
        <v>681.74900000000002</v>
      </c>
      <c r="G526" s="489">
        <v>684.67899999999997</v>
      </c>
      <c r="H526" s="489">
        <v>694.39400000000001</v>
      </c>
      <c r="I526" s="489">
        <v>709.67899999999997</v>
      </c>
      <c r="J526" s="489">
        <v>729.47699999999998</v>
      </c>
      <c r="K526" s="489">
        <v>752.04499999999996</v>
      </c>
      <c r="L526" s="489">
        <v>775.72299999999996</v>
      </c>
      <c r="M526" s="489">
        <v>801.09299999999996</v>
      </c>
      <c r="N526" s="489">
        <v>827.57600000000002</v>
      </c>
      <c r="O526" s="489">
        <v>850.96299999999997</v>
      </c>
      <c r="P526" s="489">
        <v>865.81</v>
      </c>
      <c r="Q526" s="489">
        <v>868.54300000000001</v>
      </c>
    </row>
    <row r="527" spans="1:17" s="75" customFormat="1">
      <c r="A527" s="488" t="s">
        <v>116</v>
      </c>
      <c r="B527" s="489">
        <v>687.49800000000005</v>
      </c>
      <c r="C527" s="489">
        <v>688.62099999999998</v>
      </c>
      <c r="D527" s="489">
        <v>687.61699999999996</v>
      </c>
      <c r="E527" s="489">
        <v>686.07399999999996</v>
      </c>
      <c r="F527" s="489">
        <v>686.18600000000004</v>
      </c>
      <c r="G527" s="489">
        <v>689.53899999999999</v>
      </c>
      <c r="H527" s="489">
        <v>696.21900000000005</v>
      </c>
      <c r="I527" s="489">
        <v>705.71699999999998</v>
      </c>
      <c r="J527" s="489">
        <v>718.23500000000001</v>
      </c>
      <c r="K527" s="489">
        <v>733.87</v>
      </c>
      <c r="L527" s="489">
        <v>752.35699999999997</v>
      </c>
      <c r="M527" s="489">
        <v>774.32100000000003</v>
      </c>
      <c r="N527" s="489">
        <v>798.90499999999997</v>
      </c>
      <c r="O527" s="489">
        <v>822.54200000000003</v>
      </c>
      <c r="P527" s="489">
        <v>840.50599999999997</v>
      </c>
      <c r="Q527" s="489">
        <v>849.52099999999996</v>
      </c>
    </row>
    <row r="528" spans="1:17" s="75" customFormat="1">
      <c r="A528" s="488" t="s">
        <v>117</v>
      </c>
      <c r="B528" s="489">
        <v>676.93299999999999</v>
      </c>
      <c r="C528" s="489">
        <v>680.58500000000004</v>
      </c>
      <c r="D528" s="489">
        <v>683.85900000000004</v>
      </c>
      <c r="E528" s="489">
        <v>686.95299999999997</v>
      </c>
      <c r="F528" s="489">
        <v>690.1</v>
      </c>
      <c r="G528" s="489">
        <v>693.56700000000001</v>
      </c>
      <c r="H528" s="489">
        <v>696.94899999999996</v>
      </c>
      <c r="I528" s="489">
        <v>700.43600000000004</v>
      </c>
      <c r="J528" s="489">
        <v>705.54899999999998</v>
      </c>
      <c r="K528" s="489">
        <v>714.29899999999998</v>
      </c>
      <c r="L528" s="489">
        <v>727.85500000000002</v>
      </c>
      <c r="M528" s="489">
        <v>746.95500000000004</v>
      </c>
      <c r="N528" s="489">
        <v>770.41200000000003</v>
      </c>
      <c r="O528" s="489">
        <v>795.09100000000001</v>
      </c>
      <c r="P528" s="489">
        <v>816.67600000000004</v>
      </c>
      <c r="Q528" s="489">
        <v>831.99800000000005</v>
      </c>
    </row>
    <row r="529" spans="1:17" s="75" customFormat="1">
      <c r="A529" s="488" t="s">
        <v>118</v>
      </c>
      <c r="B529" s="489">
        <v>666.39200000000005</v>
      </c>
      <c r="C529" s="489">
        <v>672.76199999999994</v>
      </c>
      <c r="D529" s="489">
        <v>680.59500000000003</v>
      </c>
      <c r="E529" s="489">
        <v>688.59799999999996</v>
      </c>
      <c r="F529" s="489">
        <v>694.90099999999995</v>
      </c>
      <c r="G529" s="489">
        <v>698.36300000000006</v>
      </c>
      <c r="H529" s="489">
        <v>698.03899999999999</v>
      </c>
      <c r="I529" s="489">
        <v>694.875</v>
      </c>
      <c r="J529" s="489">
        <v>691.85699999999997</v>
      </c>
      <c r="K529" s="489">
        <v>693.11300000000006</v>
      </c>
      <c r="L529" s="489">
        <v>701.39</v>
      </c>
      <c r="M529" s="489">
        <v>717.58</v>
      </c>
      <c r="N529" s="489">
        <v>740.11599999999999</v>
      </c>
      <c r="O529" s="489">
        <v>766.221</v>
      </c>
      <c r="P529" s="489">
        <v>791.88900000000001</v>
      </c>
      <c r="Q529" s="489">
        <v>813.96699999999998</v>
      </c>
    </row>
    <row r="530" spans="1:17" s="75" customFormat="1">
      <c r="A530" s="488" t="s">
        <v>119</v>
      </c>
      <c r="B530" s="489">
        <v>658.18799999999999</v>
      </c>
      <c r="C530" s="489">
        <v>666.88699999999994</v>
      </c>
      <c r="D530" s="489">
        <v>678.31299999999999</v>
      </c>
      <c r="E530" s="489">
        <v>690.12900000000002</v>
      </c>
      <c r="F530" s="489">
        <v>698.99599999999998</v>
      </c>
      <c r="G530" s="489">
        <v>702.77</v>
      </c>
      <c r="H530" s="489">
        <v>700.19</v>
      </c>
      <c r="I530" s="489">
        <v>692.70100000000002</v>
      </c>
      <c r="J530" s="489">
        <v>684.13699999999994</v>
      </c>
      <c r="K530" s="489">
        <v>679.85799999999995</v>
      </c>
      <c r="L530" s="489">
        <v>683.57600000000002</v>
      </c>
      <c r="M530" s="489">
        <v>696.20399999999995</v>
      </c>
      <c r="N530" s="489">
        <v>716.05200000000002</v>
      </c>
      <c r="O530" s="489">
        <v>740.94200000000001</v>
      </c>
      <c r="P530" s="489">
        <v>767.55799999999999</v>
      </c>
      <c r="Q530" s="489">
        <v>793.11800000000005</v>
      </c>
    </row>
    <row r="531" spans="1:17" s="75" customFormat="1">
      <c r="A531" s="488" t="s">
        <v>120</v>
      </c>
      <c r="B531" s="489">
        <v>653.32500000000005</v>
      </c>
      <c r="C531" s="489">
        <v>663.52800000000002</v>
      </c>
      <c r="D531" s="489">
        <v>676.73699999999997</v>
      </c>
      <c r="E531" s="489">
        <v>690.34</v>
      </c>
      <c r="F531" s="489">
        <v>700.60500000000002</v>
      </c>
      <c r="G531" s="489">
        <v>705.101</v>
      </c>
      <c r="H531" s="489">
        <v>702.59500000000003</v>
      </c>
      <c r="I531" s="489">
        <v>694.62599999999998</v>
      </c>
      <c r="J531" s="489">
        <v>684.88400000000001</v>
      </c>
      <c r="K531" s="489">
        <v>678.57100000000003</v>
      </c>
      <c r="L531" s="489">
        <v>679.36199999999997</v>
      </c>
      <c r="M531" s="489">
        <v>688.02200000000005</v>
      </c>
      <c r="N531" s="489">
        <v>703.10500000000002</v>
      </c>
      <c r="O531" s="489">
        <v>723.28599999999994</v>
      </c>
      <c r="P531" s="489">
        <v>746.38499999999999</v>
      </c>
      <c r="Q531" s="489">
        <v>770.423</v>
      </c>
    </row>
    <row r="532" spans="1:17" s="75" customFormat="1">
      <c r="A532" s="488" t="s">
        <v>121</v>
      </c>
      <c r="B532" s="489">
        <v>650.38800000000003</v>
      </c>
      <c r="C532" s="489">
        <v>661.58399999999995</v>
      </c>
      <c r="D532" s="489">
        <v>675.42399999999998</v>
      </c>
      <c r="E532" s="489">
        <v>689.51499999999999</v>
      </c>
      <c r="F532" s="489">
        <v>700.44500000000005</v>
      </c>
      <c r="G532" s="489">
        <v>705.96</v>
      </c>
      <c r="H532" s="489">
        <v>705.08600000000001</v>
      </c>
      <c r="I532" s="489">
        <v>699.17600000000004</v>
      </c>
      <c r="J532" s="489">
        <v>691.14800000000002</v>
      </c>
      <c r="K532" s="489">
        <v>685.14400000000001</v>
      </c>
      <c r="L532" s="489">
        <v>684.15800000000002</v>
      </c>
      <c r="M532" s="489">
        <v>688.7</v>
      </c>
      <c r="N532" s="489">
        <v>697.80600000000004</v>
      </c>
      <c r="O532" s="489">
        <v>711.12900000000002</v>
      </c>
      <c r="P532" s="489">
        <v>727.87</v>
      </c>
      <c r="Q532" s="489">
        <v>747.10400000000004</v>
      </c>
    </row>
    <row r="533" spans="1:17" s="75" customFormat="1">
      <c r="A533" s="488" t="s">
        <v>122</v>
      </c>
      <c r="B533" s="489">
        <v>646.923</v>
      </c>
      <c r="C533" s="489">
        <v>659.33799999999997</v>
      </c>
      <c r="D533" s="489">
        <v>674.149</v>
      </c>
      <c r="E533" s="489">
        <v>689.1</v>
      </c>
      <c r="F533" s="489">
        <v>700.96799999999996</v>
      </c>
      <c r="G533" s="489">
        <v>707.59100000000001</v>
      </c>
      <c r="H533" s="489">
        <v>708.221</v>
      </c>
      <c r="I533" s="489">
        <v>704.06600000000003</v>
      </c>
      <c r="J533" s="489">
        <v>697.34</v>
      </c>
      <c r="K533" s="489">
        <v>691.226</v>
      </c>
      <c r="L533" s="489">
        <v>688.11699999999996</v>
      </c>
      <c r="M533" s="489">
        <v>688.26300000000003</v>
      </c>
      <c r="N533" s="489">
        <v>691.16499999999996</v>
      </c>
      <c r="O533" s="489">
        <v>697.51099999999997</v>
      </c>
      <c r="P533" s="489">
        <v>707.94899999999996</v>
      </c>
      <c r="Q533" s="489">
        <v>722.64700000000005</v>
      </c>
    </row>
    <row r="534" spans="1:17" s="75" customFormat="1">
      <c r="A534" s="488" t="s">
        <v>123</v>
      </c>
      <c r="B534" s="489">
        <v>643.36699999999996</v>
      </c>
      <c r="C534" s="489">
        <v>657.06799999999998</v>
      </c>
      <c r="D534" s="489">
        <v>672.90099999999995</v>
      </c>
      <c r="E534" s="489">
        <v>688.75900000000001</v>
      </c>
      <c r="F534" s="489">
        <v>701.63900000000001</v>
      </c>
      <c r="G534" s="489">
        <v>709.48599999999999</v>
      </c>
      <c r="H534" s="489">
        <v>711.8</v>
      </c>
      <c r="I534" s="489">
        <v>709.63499999999999</v>
      </c>
      <c r="J534" s="489">
        <v>704.41099999999994</v>
      </c>
      <c r="K534" s="489">
        <v>698.24</v>
      </c>
      <c r="L534" s="489">
        <v>692.84199999999998</v>
      </c>
      <c r="M534" s="489">
        <v>688.16099999999994</v>
      </c>
      <c r="N534" s="489">
        <v>684.21699999999998</v>
      </c>
      <c r="O534" s="489">
        <v>682.87099999999998</v>
      </c>
      <c r="P534" s="489">
        <v>686.40899999999999</v>
      </c>
      <c r="Q534" s="489">
        <v>696.22799999999995</v>
      </c>
    </row>
    <row r="535" spans="1:17" s="75" customFormat="1">
      <c r="A535" s="488" t="s">
        <v>124</v>
      </c>
      <c r="B535" s="489">
        <v>637.73800000000006</v>
      </c>
      <c r="C535" s="489">
        <v>652.78</v>
      </c>
      <c r="D535" s="489">
        <v>669.69399999999996</v>
      </c>
      <c r="E535" s="489">
        <v>686.51800000000003</v>
      </c>
      <c r="F535" s="489">
        <v>700.45699999999999</v>
      </c>
      <c r="G535" s="489">
        <v>709.56500000000005</v>
      </c>
      <c r="H535" s="489">
        <v>713.51700000000005</v>
      </c>
      <c r="I535" s="489">
        <v>713.21500000000003</v>
      </c>
      <c r="J535" s="489">
        <v>709.51599999999996</v>
      </c>
      <c r="K535" s="489">
        <v>703.74599999999998</v>
      </c>
      <c r="L535" s="489">
        <v>697.12800000000004</v>
      </c>
      <c r="M535" s="489">
        <v>689.43799999999999</v>
      </c>
      <c r="N535" s="489">
        <v>681.04</v>
      </c>
      <c r="O535" s="489">
        <v>674.44299999999998</v>
      </c>
      <c r="P535" s="489">
        <v>672.85199999999998</v>
      </c>
      <c r="Q535" s="489">
        <v>678.39</v>
      </c>
    </row>
    <row r="536" spans="1:17" s="75" customFormat="1">
      <c r="A536" s="488" t="s">
        <v>125</v>
      </c>
      <c r="B536" s="489">
        <v>628.77800000000002</v>
      </c>
      <c r="C536" s="489">
        <v>645.279</v>
      </c>
      <c r="D536" s="489">
        <v>663.49400000000003</v>
      </c>
      <c r="E536" s="489">
        <v>681.52</v>
      </c>
      <c r="F536" s="489">
        <v>696.65200000000004</v>
      </c>
      <c r="G536" s="489">
        <v>706.99800000000005</v>
      </c>
      <c r="H536" s="489">
        <v>712.23900000000003</v>
      </c>
      <c r="I536" s="489">
        <v>713.20899999999995</v>
      </c>
      <c r="J536" s="489">
        <v>710.61800000000005</v>
      </c>
      <c r="K536" s="489">
        <v>705.61</v>
      </c>
      <c r="L536" s="489">
        <v>699.26499999999999</v>
      </c>
      <c r="M536" s="489">
        <v>691.43299999999999</v>
      </c>
      <c r="N536" s="489">
        <v>682.51900000000001</v>
      </c>
      <c r="O536" s="489">
        <v>674.83699999999999</v>
      </c>
      <c r="P536" s="489">
        <v>671.33699999999999</v>
      </c>
      <c r="Q536" s="489">
        <v>674.03899999999999</v>
      </c>
    </row>
    <row r="537" spans="1:17" s="75" customFormat="1">
      <c r="A537" s="488" t="s">
        <v>126</v>
      </c>
      <c r="B537" s="489">
        <v>617.25300000000004</v>
      </c>
      <c r="C537" s="489">
        <v>635.27499999999998</v>
      </c>
      <c r="D537" s="489">
        <v>654.91099999999994</v>
      </c>
      <c r="E537" s="489">
        <v>674.26900000000001</v>
      </c>
      <c r="F537" s="489">
        <v>690.673</v>
      </c>
      <c r="G537" s="489">
        <v>702.25300000000004</v>
      </c>
      <c r="H537" s="489">
        <v>708.601</v>
      </c>
      <c r="I537" s="489">
        <v>710.51700000000005</v>
      </c>
      <c r="J537" s="489">
        <v>708.84299999999996</v>
      </c>
      <c r="K537" s="489">
        <v>704.91</v>
      </c>
      <c r="L537" s="489">
        <v>699.88199999999995</v>
      </c>
      <c r="M537" s="489">
        <v>693.83</v>
      </c>
      <c r="N537" s="489">
        <v>687.005</v>
      </c>
      <c r="O537" s="489">
        <v>680.98699999999997</v>
      </c>
      <c r="P537" s="489">
        <v>677.72900000000004</v>
      </c>
      <c r="Q537" s="489">
        <v>678.62300000000005</v>
      </c>
    </row>
    <row r="538" spans="1:17" s="75" customFormat="1">
      <c r="A538" s="488" t="s">
        <v>127</v>
      </c>
      <c r="B538" s="489">
        <v>605.298</v>
      </c>
      <c r="C538" s="489">
        <v>624.75900000000001</v>
      </c>
      <c r="D538" s="489">
        <v>645.654</v>
      </c>
      <c r="E538" s="489">
        <v>666.173</v>
      </c>
      <c r="F538" s="489">
        <v>683.76800000000003</v>
      </c>
      <c r="G538" s="489">
        <v>696.65300000000002</v>
      </c>
      <c r="H538" s="489">
        <v>704.36900000000003</v>
      </c>
      <c r="I538" s="489">
        <v>707.64</v>
      </c>
      <c r="J538" s="489">
        <v>707.33699999999999</v>
      </c>
      <c r="K538" s="489">
        <v>704.827</v>
      </c>
      <c r="L538" s="489">
        <v>701.255</v>
      </c>
      <c r="M538" s="489">
        <v>696.88300000000004</v>
      </c>
      <c r="N538" s="489">
        <v>691.84799999999996</v>
      </c>
      <c r="O538" s="489">
        <v>687.072</v>
      </c>
      <c r="P538" s="489">
        <v>683.62800000000004</v>
      </c>
      <c r="Q538" s="489">
        <v>682.35699999999997</v>
      </c>
    </row>
    <row r="539" spans="1:17" s="75" customFormat="1">
      <c r="A539" s="488" t="s">
        <v>128</v>
      </c>
      <c r="B539" s="489">
        <v>592.62400000000002</v>
      </c>
      <c r="C539" s="489">
        <v>613.43899999999996</v>
      </c>
      <c r="D539" s="489">
        <v>635.46299999999997</v>
      </c>
      <c r="E539" s="489">
        <v>657.00900000000001</v>
      </c>
      <c r="F539" s="489">
        <v>675.72500000000002</v>
      </c>
      <c r="G539" s="489">
        <v>689.95399999999995</v>
      </c>
      <c r="H539" s="489">
        <v>699.197</v>
      </c>
      <c r="I539" s="489">
        <v>704.07399999999996</v>
      </c>
      <c r="J539" s="489">
        <v>705.452</v>
      </c>
      <c r="K539" s="489">
        <v>704.68499999999995</v>
      </c>
      <c r="L539" s="489">
        <v>702.86199999999997</v>
      </c>
      <c r="M539" s="489">
        <v>700.43700000000001</v>
      </c>
      <c r="N539" s="489">
        <v>697.44200000000001</v>
      </c>
      <c r="O539" s="489">
        <v>694.077</v>
      </c>
      <c r="P539" s="489">
        <v>690.452</v>
      </c>
      <c r="Q539" s="489">
        <v>686.82100000000003</v>
      </c>
    </row>
    <row r="540" spans="1:17" s="75" customFormat="1">
      <c r="A540" s="488" t="s">
        <v>129</v>
      </c>
      <c r="B540" s="489">
        <v>577.99</v>
      </c>
      <c r="C540" s="489">
        <v>600.17700000000002</v>
      </c>
      <c r="D540" s="489">
        <v>623.37800000000004</v>
      </c>
      <c r="E540" s="489">
        <v>646.01400000000001</v>
      </c>
      <c r="F540" s="489">
        <v>665.90200000000004</v>
      </c>
      <c r="G540" s="489">
        <v>681.49699999999996</v>
      </c>
      <c r="H540" s="489">
        <v>692.26599999999996</v>
      </c>
      <c r="I540" s="489">
        <v>698.74699999999996</v>
      </c>
      <c r="J540" s="489">
        <v>701.79600000000005</v>
      </c>
      <c r="K540" s="489">
        <v>702.76199999999994</v>
      </c>
      <c r="L540" s="489">
        <v>702.67899999999997</v>
      </c>
      <c r="M540" s="489">
        <v>702.12800000000004</v>
      </c>
      <c r="N540" s="489">
        <v>701.04399999999998</v>
      </c>
      <c r="O540" s="489">
        <v>699.11800000000005</v>
      </c>
      <c r="P540" s="489">
        <v>695.78099999999995</v>
      </c>
      <c r="Q540" s="489">
        <v>690.86</v>
      </c>
    </row>
    <row r="541" spans="1:17" s="75" customFormat="1">
      <c r="A541" s="488" t="s">
        <v>130</v>
      </c>
      <c r="B541" s="489">
        <v>561.03700000000003</v>
      </c>
      <c r="C541" s="489">
        <v>584.63599999999997</v>
      </c>
      <c r="D541" s="489">
        <v>609.11599999999999</v>
      </c>
      <c r="E541" s="489">
        <v>632.96600000000001</v>
      </c>
      <c r="F541" s="489">
        <v>654.11300000000006</v>
      </c>
      <c r="G541" s="489">
        <v>671.08900000000006</v>
      </c>
      <c r="H541" s="489">
        <v>683.34699999999998</v>
      </c>
      <c r="I541" s="489">
        <v>691.37</v>
      </c>
      <c r="J541" s="489">
        <v>695.98699999999997</v>
      </c>
      <c r="K541" s="489">
        <v>698.49900000000002</v>
      </c>
      <c r="L541" s="489">
        <v>699.90300000000002</v>
      </c>
      <c r="M541" s="489">
        <v>700.76099999999997</v>
      </c>
      <c r="N541" s="489">
        <v>700.96900000000005</v>
      </c>
      <c r="O541" s="489">
        <v>700.10799999999995</v>
      </c>
      <c r="P541" s="489">
        <v>697.476</v>
      </c>
      <c r="Q541" s="489">
        <v>692.79499999999996</v>
      </c>
    </row>
    <row r="542" spans="1:17" s="75" customFormat="1">
      <c r="A542" s="488" t="s">
        <v>131</v>
      </c>
      <c r="B542" s="489">
        <v>542.19799999999998</v>
      </c>
      <c r="C542" s="489">
        <v>567.18899999999996</v>
      </c>
      <c r="D542" s="489">
        <v>592.97900000000004</v>
      </c>
      <c r="E542" s="489">
        <v>618.09299999999996</v>
      </c>
      <c r="F542" s="489">
        <v>640.53499999999997</v>
      </c>
      <c r="G542" s="489">
        <v>658.88599999999997</v>
      </c>
      <c r="H542" s="489">
        <v>672.60400000000004</v>
      </c>
      <c r="I542" s="489">
        <v>682.13</v>
      </c>
      <c r="J542" s="489">
        <v>688.25099999999998</v>
      </c>
      <c r="K542" s="489">
        <v>692.21500000000003</v>
      </c>
      <c r="L542" s="489">
        <v>694.97199999999998</v>
      </c>
      <c r="M542" s="489">
        <v>696.99</v>
      </c>
      <c r="N542" s="489">
        <v>698.15300000000002</v>
      </c>
      <c r="O542" s="489">
        <v>698.18899999999996</v>
      </c>
      <c r="P542" s="489">
        <v>696.60299999999995</v>
      </c>
      <c r="Q542" s="489">
        <v>693.221</v>
      </c>
    </row>
    <row r="543" spans="1:17" s="75" customFormat="1">
      <c r="A543" s="488" t="s">
        <v>132</v>
      </c>
      <c r="B543" s="489">
        <v>522.53</v>
      </c>
      <c r="C543" s="489">
        <v>548.73</v>
      </c>
      <c r="D543" s="489">
        <v>575.66899999999998</v>
      </c>
      <c r="E543" s="489">
        <v>601.92100000000005</v>
      </c>
      <c r="F543" s="489">
        <v>625.572</v>
      </c>
      <c r="G543" s="489">
        <v>645.25900000000001</v>
      </c>
      <c r="H543" s="489">
        <v>660.43600000000004</v>
      </c>
      <c r="I543" s="489">
        <v>671.50300000000004</v>
      </c>
      <c r="J543" s="489">
        <v>679.22299999999996</v>
      </c>
      <c r="K543" s="489">
        <v>684.80200000000002</v>
      </c>
      <c r="L543" s="489">
        <v>689.16200000000003</v>
      </c>
      <c r="M543" s="489">
        <v>692.68399999999997</v>
      </c>
      <c r="N543" s="489">
        <v>695.22500000000002</v>
      </c>
      <c r="O543" s="489">
        <v>696.57600000000002</v>
      </c>
      <c r="P543" s="489">
        <v>696.33799999999997</v>
      </c>
      <c r="Q543" s="489">
        <v>694.36400000000003</v>
      </c>
    </row>
    <row r="544" spans="1:17" s="75" customFormat="1">
      <c r="A544" s="488" t="s">
        <v>133</v>
      </c>
      <c r="B544" s="489">
        <v>502.142</v>
      </c>
      <c r="C544" s="489">
        <v>529.29999999999995</v>
      </c>
      <c r="D544" s="489">
        <v>557.18899999999996</v>
      </c>
      <c r="E544" s="489">
        <v>584.43200000000002</v>
      </c>
      <c r="F544" s="489">
        <v>609.19100000000003</v>
      </c>
      <c r="G544" s="489">
        <v>630.15200000000004</v>
      </c>
      <c r="H544" s="489">
        <v>646.76700000000005</v>
      </c>
      <c r="I544" s="489">
        <v>659.40099999999995</v>
      </c>
      <c r="J544" s="489">
        <v>668.79</v>
      </c>
      <c r="K544" s="489">
        <v>676.11099999999999</v>
      </c>
      <c r="L544" s="489">
        <v>682.24699999999996</v>
      </c>
      <c r="M544" s="489">
        <v>687.5</v>
      </c>
      <c r="N544" s="489">
        <v>691.68</v>
      </c>
      <c r="O544" s="489">
        <v>694.62599999999998</v>
      </c>
      <c r="P544" s="489">
        <v>696.01900000000001</v>
      </c>
      <c r="Q544" s="489">
        <v>695.71799999999996</v>
      </c>
    </row>
    <row r="545" spans="1:17" s="75" customFormat="1">
      <c r="A545" s="488" t="s">
        <v>134</v>
      </c>
      <c r="B545" s="489">
        <v>480.233</v>
      </c>
      <c r="C545" s="489">
        <v>508.38499999999999</v>
      </c>
      <c r="D545" s="489">
        <v>537.23900000000003</v>
      </c>
      <c r="E545" s="489">
        <v>565.46699999999998</v>
      </c>
      <c r="F545" s="489">
        <v>591.31200000000001</v>
      </c>
      <c r="G545" s="489">
        <v>613.52300000000002</v>
      </c>
      <c r="H545" s="489">
        <v>631.54</v>
      </c>
      <c r="I545" s="489">
        <v>645.68100000000004</v>
      </c>
      <c r="J545" s="489">
        <v>656.66700000000003</v>
      </c>
      <c r="K545" s="489">
        <v>665.654</v>
      </c>
      <c r="L545" s="489">
        <v>673.49800000000005</v>
      </c>
      <c r="M545" s="489">
        <v>680.43499999999995</v>
      </c>
      <c r="N545" s="489">
        <v>686.24</v>
      </c>
      <c r="O545" s="489">
        <v>690.78700000000003</v>
      </c>
      <c r="P545" s="489">
        <v>693.82</v>
      </c>
      <c r="Q545" s="489">
        <v>695.197</v>
      </c>
    </row>
    <row r="546" spans="1:17" s="75" customFormat="1">
      <c r="A546" s="488" t="s">
        <v>135</v>
      </c>
      <c r="B546" s="489">
        <v>456.61</v>
      </c>
      <c r="C546" s="489">
        <v>485.892</v>
      </c>
      <c r="D546" s="489">
        <v>515.79200000000003</v>
      </c>
      <c r="E546" s="489">
        <v>545.02599999999995</v>
      </c>
      <c r="F546" s="489">
        <v>571.952</v>
      </c>
      <c r="G546" s="489">
        <v>595.39200000000005</v>
      </c>
      <c r="H546" s="489">
        <v>614.76400000000001</v>
      </c>
      <c r="I546" s="489">
        <v>630.32299999999998</v>
      </c>
      <c r="J546" s="489">
        <v>642.78099999999995</v>
      </c>
      <c r="K546" s="489">
        <v>653.28499999999997</v>
      </c>
      <c r="L546" s="489">
        <v>662.68399999999997</v>
      </c>
      <c r="M546" s="489">
        <v>671.18499999999995</v>
      </c>
      <c r="N546" s="489">
        <v>678.53599999999994</v>
      </c>
      <c r="O546" s="489">
        <v>684.60799999999995</v>
      </c>
      <c r="P546" s="489">
        <v>689.13599999999997</v>
      </c>
      <c r="Q546" s="489">
        <v>691.96299999999997</v>
      </c>
    </row>
    <row r="547" spans="1:17" s="75" customFormat="1">
      <c r="A547" s="488" t="s">
        <v>136</v>
      </c>
      <c r="B547" s="489">
        <v>431.84899999999999</v>
      </c>
      <c r="C547" s="489">
        <v>462.18900000000002</v>
      </c>
      <c r="D547" s="489">
        <v>493.06299999999999</v>
      </c>
      <c r="E547" s="489">
        <v>523.23099999999999</v>
      </c>
      <c r="F547" s="489">
        <v>551.16800000000001</v>
      </c>
      <c r="G547" s="489">
        <v>575.774</v>
      </c>
      <c r="H547" s="489">
        <v>596.43899999999996</v>
      </c>
      <c r="I547" s="489">
        <v>613.34699999999998</v>
      </c>
      <c r="J547" s="489">
        <v>627.202</v>
      </c>
      <c r="K547" s="489">
        <v>639.14200000000005</v>
      </c>
      <c r="L547" s="489">
        <v>650.005</v>
      </c>
      <c r="M547" s="489">
        <v>659.99300000000005</v>
      </c>
      <c r="N547" s="489">
        <v>668.84199999999998</v>
      </c>
      <c r="O547" s="489">
        <v>676.38599999999997</v>
      </c>
      <c r="P547" s="489">
        <v>682.33100000000002</v>
      </c>
      <c r="Q547" s="489">
        <v>686.48800000000006</v>
      </c>
    </row>
    <row r="548" spans="1:17" s="75" customFormat="1">
      <c r="A548" s="488" t="s">
        <v>137</v>
      </c>
      <c r="B548" s="489">
        <v>407.322</v>
      </c>
      <c r="C548" s="489">
        <v>438.45100000000002</v>
      </c>
      <c r="D548" s="489">
        <v>470.005</v>
      </c>
      <c r="E548" s="489">
        <v>500.81400000000002</v>
      </c>
      <c r="F548" s="489">
        <v>529.49400000000003</v>
      </c>
      <c r="G548" s="489">
        <v>555.048</v>
      </c>
      <c r="H548" s="489">
        <v>576.84699999999998</v>
      </c>
      <c r="I548" s="489">
        <v>595.00599999999997</v>
      </c>
      <c r="J548" s="489">
        <v>610.20799999999997</v>
      </c>
      <c r="K548" s="489">
        <v>623.56899999999996</v>
      </c>
      <c r="L548" s="489">
        <v>635.90800000000002</v>
      </c>
      <c r="M548" s="489">
        <v>647.40800000000002</v>
      </c>
      <c r="N548" s="489">
        <v>657.79100000000005</v>
      </c>
      <c r="O548" s="489">
        <v>666.88900000000001</v>
      </c>
      <c r="P548" s="489">
        <v>674.39700000000005</v>
      </c>
      <c r="Q548" s="489">
        <v>680.11800000000005</v>
      </c>
    </row>
    <row r="549" spans="1:17" s="75" customFormat="1">
      <c r="A549" s="488" t="s">
        <v>138</v>
      </c>
      <c r="B549" s="489">
        <v>383.49799999999999</v>
      </c>
      <c r="C549" s="489">
        <v>415.30099999999999</v>
      </c>
      <c r="D549" s="489">
        <v>447.274</v>
      </c>
      <c r="E549" s="489">
        <v>478.36399999999998</v>
      </c>
      <c r="F549" s="489">
        <v>507.41800000000001</v>
      </c>
      <c r="G549" s="489">
        <v>533.60199999999998</v>
      </c>
      <c r="H549" s="489">
        <v>556.28800000000001</v>
      </c>
      <c r="I549" s="489">
        <v>575.49800000000005</v>
      </c>
      <c r="J549" s="489">
        <v>591.9</v>
      </c>
      <c r="K549" s="489">
        <v>606.58199999999999</v>
      </c>
      <c r="L549" s="489">
        <v>620.33299999999997</v>
      </c>
      <c r="M549" s="489">
        <v>633.31799999999998</v>
      </c>
      <c r="N549" s="489">
        <v>645.25800000000004</v>
      </c>
      <c r="O549" s="489">
        <v>655.97500000000002</v>
      </c>
      <c r="P549" s="489">
        <v>665.16399999999999</v>
      </c>
      <c r="Q549" s="489">
        <v>672.61900000000003</v>
      </c>
    </row>
    <row r="550" spans="1:17" s="75" customFormat="1">
      <c r="A550" s="488" t="s">
        <v>139</v>
      </c>
      <c r="B550" s="489">
        <v>358.738</v>
      </c>
      <c r="C550" s="489">
        <v>390.16500000000002</v>
      </c>
      <c r="D550" s="489">
        <v>422.005</v>
      </c>
      <c r="E550" s="489">
        <v>453.22500000000002</v>
      </c>
      <c r="F550" s="489">
        <v>482.7</v>
      </c>
      <c r="G550" s="489">
        <v>509.60500000000002</v>
      </c>
      <c r="H550" s="489">
        <v>533.31100000000004</v>
      </c>
      <c r="I550" s="489">
        <v>553.80399999999997</v>
      </c>
      <c r="J550" s="489">
        <v>571.67499999999995</v>
      </c>
      <c r="K550" s="489">
        <v>587.91200000000003</v>
      </c>
      <c r="L550" s="489">
        <v>603.23400000000004</v>
      </c>
      <c r="M550" s="489">
        <v>617.76300000000003</v>
      </c>
      <c r="N550" s="489">
        <v>631.21400000000006</v>
      </c>
      <c r="O550" s="489">
        <v>643.44000000000005</v>
      </c>
      <c r="P550" s="489">
        <v>654.18399999999997</v>
      </c>
      <c r="Q550" s="489">
        <v>663.26800000000003</v>
      </c>
    </row>
    <row r="551" spans="1:17" s="75" customFormat="1">
      <c r="A551" s="488" t="s">
        <v>140</v>
      </c>
      <c r="B551" s="489">
        <v>332.61200000000002</v>
      </c>
      <c r="C551" s="489">
        <v>362.154</v>
      </c>
      <c r="D551" s="489">
        <v>393.14499999999998</v>
      </c>
      <c r="E551" s="489">
        <v>424.39</v>
      </c>
      <c r="F551" s="489">
        <v>454.47199999999998</v>
      </c>
      <c r="G551" s="489">
        <v>482.334</v>
      </c>
      <c r="H551" s="489">
        <v>507.34399999999999</v>
      </c>
      <c r="I551" s="489">
        <v>529.52200000000005</v>
      </c>
      <c r="J551" s="489">
        <v>549.30600000000004</v>
      </c>
      <c r="K551" s="489">
        <v>567.48900000000003</v>
      </c>
      <c r="L551" s="489">
        <v>584.64700000000005</v>
      </c>
      <c r="M551" s="489">
        <v>600.81200000000001</v>
      </c>
      <c r="N551" s="489">
        <v>615.71100000000001</v>
      </c>
      <c r="O551" s="489">
        <v>629.26499999999999</v>
      </c>
      <c r="P551" s="489">
        <v>641.34400000000005</v>
      </c>
      <c r="Q551" s="489">
        <v>651.851</v>
      </c>
    </row>
    <row r="552" spans="1:17" s="75" customFormat="1">
      <c r="A552" s="488" t="s">
        <v>141</v>
      </c>
      <c r="B552" s="489">
        <v>306.43599999999998</v>
      </c>
      <c r="C552" s="489">
        <v>333.05399999999997</v>
      </c>
      <c r="D552" s="489">
        <v>362.56900000000002</v>
      </c>
      <c r="E552" s="489">
        <v>393.55200000000002</v>
      </c>
      <c r="F552" s="489">
        <v>424.137</v>
      </c>
      <c r="G552" s="489">
        <v>452.91399999999999</v>
      </c>
      <c r="H552" s="489">
        <v>479.25900000000001</v>
      </c>
      <c r="I552" s="489">
        <v>503.26799999999997</v>
      </c>
      <c r="J552" s="489">
        <v>525.16300000000001</v>
      </c>
      <c r="K552" s="489">
        <v>545.47699999999998</v>
      </c>
      <c r="L552" s="489">
        <v>564.58799999999997</v>
      </c>
      <c r="M552" s="489">
        <v>582.41800000000001</v>
      </c>
      <c r="N552" s="489">
        <v>598.71100000000001</v>
      </c>
      <c r="O552" s="489">
        <v>613.48099999999999</v>
      </c>
      <c r="P552" s="489">
        <v>626.75599999999997</v>
      </c>
      <c r="Q552" s="489">
        <v>638.55899999999997</v>
      </c>
    </row>
    <row r="553" spans="1:17" s="75" customFormat="1">
      <c r="A553" s="488" t="s">
        <v>142</v>
      </c>
      <c r="B553" s="489">
        <v>281.19799999999998</v>
      </c>
      <c r="C553" s="489">
        <v>304.91500000000002</v>
      </c>
      <c r="D553" s="489">
        <v>332.90499999999997</v>
      </c>
      <c r="E553" s="489">
        <v>363.50700000000001</v>
      </c>
      <c r="F553" s="489">
        <v>394.416</v>
      </c>
      <c r="G553" s="489">
        <v>423.88400000000001</v>
      </c>
      <c r="H553" s="489">
        <v>451.28699999999998</v>
      </c>
      <c r="I553" s="489">
        <v>476.80399999999997</v>
      </c>
      <c r="J553" s="489">
        <v>500.47300000000001</v>
      </c>
      <c r="K553" s="489">
        <v>522.60699999999997</v>
      </c>
      <c r="L553" s="489">
        <v>543.42200000000003</v>
      </c>
      <c r="M553" s="489">
        <v>562.74199999999996</v>
      </c>
      <c r="N553" s="489">
        <v>580.322</v>
      </c>
      <c r="O553" s="489">
        <v>596.25699999999995</v>
      </c>
      <c r="P553" s="489">
        <v>610.71900000000005</v>
      </c>
      <c r="Q553" s="489">
        <v>623.82899999999995</v>
      </c>
    </row>
    <row r="554" spans="1:17" s="75" customFormat="1">
      <c r="A554" s="488" t="s">
        <v>143</v>
      </c>
      <c r="B554" s="489">
        <v>255.786</v>
      </c>
      <c r="C554" s="489">
        <v>276.58600000000001</v>
      </c>
      <c r="D554" s="489">
        <v>303.25900000000001</v>
      </c>
      <c r="E554" s="489">
        <v>333.80099999999999</v>
      </c>
      <c r="F554" s="489">
        <v>365.30500000000001</v>
      </c>
      <c r="G554" s="489">
        <v>395.56200000000001</v>
      </c>
      <c r="H554" s="489">
        <v>423.916</v>
      </c>
      <c r="I554" s="489">
        <v>450.67500000000001</v>
      </c>
      <c r="J554" s="489">
        <v>475.75400000000002</v>
      </c>
      <c r="K554" s="489">
        <v>499.33100000000002</v>
      </c>
      <c r="L554" s="489">
        <v>521.529</v>
      </c>
      <c r="M554" s="489">
        <v>542.08900000000006</v>
      </c>
      <c r="N554" s="489">
        <v>560.75599999999997</v>
      </c>
      <c r="O554" s="489">
        <v>577.71100000000001</v>
      </c>
      <c r="P554" s="489">
        <v>593.25400000000002</v>
      </c>
      <c r="Q554" s="489">
        <v>607.60199999999998</v>
      </c>
    </row>
    <row r="555" spans="1:17" s="75" customFormat="1">
      <c r="A555" s="488" t="s">
        <v>144</v>
      </c>
      <c r="B555" s="489">
        <v>237.364</v>
      </c>
      <c r="C555" s="489">
        <v>254.91800000000001</v>
      </c>
      <c r="D555" s="489">
        <v>278.80399999999997</v>
      </c>
      <c r="E555" s="489">
        <v>307.13099999999997</v>
      </c>
      <c r="F555" s="489">
        <v>337.072</v>
      </c>
      <c r="G555" s="489">
        <v>366.464</v>
      </c>
      <c r="H555" s="489">
        <v>394.73899999999998</v>
      </c>
      <c r="I555" s="489">
        <v>422.185</v>
      </c>
      <c r="J555" s="489">
        <v>448.49299999999999</v>
      </c>
      <c r="K555" s="489">
        <v>473.52499999999998</v>
      </c>
      <c r="L555" s="489">
        <v>497.166</v>
      </c>
      <c r="M555" s="489">
        <v>519.077</v>
      </c>
      <c r="N555" s="489">
        <v>539.04300000000001</v>
      </c>
      <c r="O555" s="489">
        <v>557.26599999999996</v>
      </c>
      <c r="P555" s="489">
        <v>574.11599999999999</v>
      </c>
      <c r="Q555" s="489">
        <v>589.85</v>
      </c>
    </row>
    <row r="556" spans="1:17" s="75" customFormat="1">
      <c r="A556" s="488" t="s">
        <v>145</v>
      </c>
      <c r="B556" s="489">
        <v>229.30500000000001</v>
      </c>
      <c r="C556" s="489">
        <v>243.29300000000001</v>
      </c>
      <c r="D556" s="489">
        <v>262.26900000000001</v>
      </c>
      <c r="E556" s="489">
        <v>285.16000000000003</v>
      </c>
      <c r="F556" s="489">
        <v>310.30700000000002</v>
      </c>
      <c r="G556" s="489">
        <v>336.37700000000001</v>
      </c>
      <c r="H556" s="489">
        <v>363.08800000000002</v>
      </c>
      <c r="I556" s="489">
        <v>390.46</v>
      </c>
      <c r="J556" s="489">
        <v>417.81200000000001</v>
      </c>
      <c r="K556" s="489">
        <v>444.4</v>
      </c>
      <c r="L556" s="489">
        <v>469.65</v>
      </c>
      <c r="M556" s="489">
        <v>493.14600000000002</v>
      </c>
      <c r="N556" s="489">
        <v>514.78499999999997</v>
      </c>
      <c r="O556" s="489">
        <v>534.70500000000004</v>
      </c>
      <c r="P556" s="489">
        <v>553.23800000000006</v>
      </c>
      <c r="Q556" s="489">
        <v>570.61300000000006</v>
      </c>
    </row>
    <row r="557" spans="1:17" s="75" customFormat="1">
      <c r="A557" s="488" t="s">
        <v>146</v>
      </c>
      <c r="B557" s="489">
        <v>228.089</v>
      </c>
      <c r="C557" s="489">
        <v>238.429</v>
      </c>
      <c r="D557" s="489">
        <v>251.322</v>
      </c>
      <c r="E557" s="489">
        <v>266.92700000000002</v>
      </c>
      <c r="F557" s="489">
        <v>285.36399999999998</v>
      </c>
      <c r="G557" s="489">
        <v>306.59199999999998</v>
      </c>
      <c r="H557" s="489">
        <v>330.70499999999998</v>
      </c>
      <c r="I557" s="489">
        <v>357.33199999999999</v>
      </c>
      <c r="J557" s="489">
        <v>385.35899999999998</v>
      </c>
      <c r="K557" s="489">
        <v>413.31299999999999</v>
      </c>
      <c r="L557" s="489">
        <v>440.065</v>
      </c>
      <c r="M557" s="489">
        <v>465.14100000000002</v>
      </c>
      <c r="N557" s="489">
        <v>488.572</v>
      </c>
      <c r="O557" s="489">
        <v>510.38</v>
      </c>
      <c r="P557" s="489">
        <v>530.77599999999995</v>
      </c>
      <c r="Q557" s="489">
        <v>549.90700000000004</v>
      </c>
    </row>
    <row r="558" spans="1:17" s="75" customFormat="1">
      <c r="A558" s="488" t="s">
        <v>147</v>
      </c>
      <c r="B558" s="489">
        <v>227.05600000000001</v>
      </c>
      <c r="C558" s="489">
        <v>233.74199999999999</v>
      </c>
      <c r="D558" s="489">
        <v>240.70599999999999</v>
      </c>
      <c r="E558" s="489">
        <v>249.26400000000001</v>
      </c>
      <c r="F558" s="489">
        <v>261.214</v>
      </c>
      <c r="G558" s="489">
        <v>277.72800000000001</v>
      </c>
      <c r="H558" s="489">
        <v>299.26799999999997</v>
      </c>
      <c r="I558" s="489">
        <v>325.09300000000002</v>
      </c>
      <c r="J558" s="489">
        <v>353.66500000000002</v>
      </c>
      <c r="K558" s="489">
        <v>382.798</v>
      </c>
      <c r="L558" s="489">
        <v>410.82600000000002</v>
      </c>
      <c r="M558" s="489">
        <v>437.20800000000003</v>
      </c>
      <c r="N558" s="489">
        <v>462.12200000000001</v>
      </c>
      <c r="O558" s="489">
        <v>485.49400000000003</v>
      </c>
      <c r="P558" s="489">
        <v>507.45699999999999</v>
      </c>
      <c r="Q558" s="489">
        <v>528.1</v>
      </c>
    </row>
    <row r="559" spans="1:17" s="75" customFormat="1">
      <c r="A559" s="488" t="s">
        <v>148</v>
      </c>
      <c r="B559" s="489">
        <v>227.815</v>
      </c>
      <c r="C559" s="489">
        <v>230.65299999999999</v>
      </c>
      <c r="D559" s="489">
        <v>231.22300000000001</v>
      </c>
      <c r="E559" s="489">
        <v>232.14699999999999</v>
      </c>
      <c r="F559" s="489">
        <v>237.102</v>
      </c>
      <c r="G559" s="489">
        <v>248.614</v>
      </c>
      <c r="H559" s="489">
        <v>267.57100000000003</v>
      </c>
      <c r="I559" s="489">
        <v>292.80099999999999</v>
      </c>
      <c r="J559" s="489">
        <v>322.23399999999998</v>
      </c>
      <c r="K559" s="489">
        <v>352.81299999999999</v>
      </c>
      <c r="L559" s="489">
        <v>382.22</v>
      </c>
      <c r="M559" s="489">
        <v>409.81700000000001</v>
      </c>
      <c r="N559" s="489">
        <v>435.971</v>
      </c>
      <c r="O559" s="489">
        <v>460.565</v>
      </c>
      <c r="P559" s="489">
        <v>483.74200000000002</v>
      </c>
      <c r="Q559" s="489">
        <v>505.589</v>
      </c>
    </row>
    <row r="560" spans="1:17" s="75" customFormat="1">
      <c r="A560" s="488" t="s">
        <v>149</v>
      </c>
      <c r="B560" s="489">
        <v>226.011</v>
      </c>
      <c r="C560" s="489">
        <v>226.358</v>
      </c>
      <c r="D560" s="489">
        <v>223.07599999999999</v>
      </c>
      <c r="E560" s="489">
        <v>219.37</v>
      </c>
      <c r="F560" s="489">
        <v>219.77199999999999</v>
      </c>
      <c r="G560" s="489">
        <v>227.44</v>
      </c>
      <c r="H560" s="489">
        <v>243.42699999999999</v>
      </c>
      <c r="I560" s="489">
        <v>266.42599999999999</v>
      </c>
      <c r="J560" s="489">
        <v>294.33800000000002</v>
      </c>
      <c r="K560" s="489">
        <v>323.98700000000002</v>
      </c>
      <c r="L560" s="489">
        <v>352.952</v>
      </c>
      <c r="M560" s="489">
        <v>380.63600000000002</v>
      </c>
      <c r="N560" s="489">
        <v>407.42899999999997</v>
      </c>
      <c r="O560" s="489">
        <v>433.06200000000001</v>
      </c>
      <c r="P560" s="489">
        <v>457.46499999999997</v>
      </c>
      <c r="Q560" s="489">
        <v>480.572</v>
      </c>
    </row>
    <row r="561" spans="1:17" s="75" customFormat="1">
      <c r="A561" s="488" t="s">
        <v>150</v>
      </c>
      <c r="B561" s="489">
        <v>218.892</v>
      </c>
      <c r="C561" s="489">
        <v>218.82900000000001</v>
      </c>
      <c r="D561" s="489">
        <v>215.75299999999999</v>
      </c>
      <c r="E561" s="489">
        <v>212.29599999999999</v>
      </c>
      <c r="F561" s="489">
        <v>212.17400000000001</v>
      </c>
      <c r="G561" s="489">
        <v>218.01300000000001</v>
      </c>
      <c r="H561" s="489">
        <v>230.62100000000001</v>
      </c>
      <c r="I561" s="489">
        <v>249.02600000000001</v>
      </c>
      <c r="J561" s="489">
        <v>271.87400000000002</v>
      </c>
      <c r="K561" s="489">
        <v>297.04300000000001</v>
      </c>
      <c r="L561" s="489">
        <v>322.87099999999998</v>
      </c>
      <c r="M561" s="489">
        <v>349.01100000000002</v>
      </c>
      <c r="N561" s="489">
        <v>375.62</v>
      </c>
      <c r="O561" s="489">
        <v>402.09300000000002</v>
      </c>
      <c r="P561" s="489">
        <v>427.82400000000001</v>
      </c>
      <c r="Q561" s="489">
        <v>452.33600000000001</v>
      </c>
    </row>
    <row r="562" spans="1:17" s="75" customFormat="1">
      <c r="A562" s="488" t="s">
        <v>151</v>
      </c>
      <c r="B562" s="489">
        <v>208.678</v>
      </c>
      <c r="C562" s="489">
        <v>209.56299999999999</v>
      </c>
      <c r="D562" s="489">
        <v>209.251</v>
      </c>
      <c r="E562" s="489">
        <v>209.102</v>
      </c>
      <c r="F562" s="489">
        <v>211.005</v>
      </c>
      <c r="G562" s="489">
        <v>216.33799999999999</v>
      </c>
      <c r="H562" s="489">
        <v>225.41800000000001</v>
      </c>
      <c r="I562" s="489">
        <v>237.887</v>
      </c>
      <c r="J562" s="489">
        <v>253.59</v>
      </c>
      <c r="K562" s="489">
        <v>272.14499999999998</v>
      </c>
      <c r="L562" s="489">
        <v>293.149</v>
      </c>
      <c r="M562" s="489">
        <v>316.62599999999998</v>
      </c>
      <c r="N562" s="489">
        <v>342.34699999999998</v>
      </c>
      <c r="O562" s="489">
        <v>369.303</v>
      </c>
      <c r="P562" s="489">
        <v>396.19200000000001</v>
      </c>
      <c r="Q562" s="489">
        <v>422.012</v>
      </c>
    </row>
    <row r="563" spans="1:17" s="75" customFormat="1">
      <c r="A563" s="488" t="s">
        <v>152</v>
      </c>
      <c r="B563" s="489">
        <v>199.88</v>
      </c>
      <c r="C563" s="489">
        <v>201.679</v>
      </c>
      <c r="D563" s="489">
        <v>203.86199999999999</v>
      </c>
      <c r="E563" s="489">
        <v>206.62799999999999</v>
      </c>
      <c r="F563" s="489">
        <v>210.2</v>
      </c>
      <c r="G563" s="489">
        <v>214.827</v>
      </c>
      <c r="H563" s="489">
        <v>220.37200000000001</v>
      </c>
      <c r="I563" s="489">
        <v>227.04499999999999</v>
      </c>
      <c r="J563" s="489">
        <v>235.82300000000001</v>
      </c>
      <c r="K563" s="489">
        <v>247.96899999999999</v>
      </c>
      <c r="L563" s="489">
        <v>264.27100000000002</v>
      </c>
      <c r="M563" s="489">
        <v>285.108</v>
      </c>
      <c r="N563" s="489">
        <v>309.89299999999997</v>
      </c>
      <c r="O563" s="489">
        <v>337.21300000000002</v>
      </c>
      <c r="P563" s="489">
        <v>365.08800000000002</v>
      </c>
      <c r="Q563" s="489">
        <v>392.00200000000001</v>
      </c>
    </row>
    <row r="564" spans="1:17" s="75" customFormat="1">
      <c r="A564" s="488" t="s">
        <v>153</v>
      </c>
      <c r="B564" s="489">
        <v>191.03</v>
      </c>
      <c r="C564" s="489">
        <v>194.06800000000001</v>
      </c>
      <c r="D564" s="489">
        <v>199.26599999999999</v>
      </c>
      <c r="E564" s="489">
        <v>205.52099999999999</v>
      </c>
      <c r="F564" s="489">
        <v>211.19</v>
      </c>
      <c r="G564" s="489">
        <v>215.256</v>
      </c>
      <c r="H564" s="489">
        <v>217.06299999999999</v>
      </c>
      <c r="I564" s="489">
        <v>217.45099999999999</v>
      </c>
      <c r="J564" s="489">
        <v>218.679</v>
      </c>
      <c r="K564" s="489">
        <v>223.86799999999999</v>
      </c>
      <c r="L564" s="489">
        <v>235.14</v>
      </c>
      <c r="M564" s="489">
        <v>253.29300000000001</v>
      </c>
      <c r="N564" s="489">
        <v>277.31400000000002</v>
      </c>
      <c r="O564" s="489">
        <v>305.28899999999999</v>
      </c>
      <c r="P564" s="489">
        <v>334.40100000000001</v>
      </c>
      <c r="Q564" s="489">
        <v>362.51100000000002</v>
      </c>
    </row>
    <row r="565" spans="1:17" s="75" customFormat="1">
      <c r="A565" s="488" t="s">
        <v>154</v>
      </c>
      <c r="B565" s="489">
        <v>184.87799999999999</v>
      </c>
      <c r="C565" s="489">
        <v>188.559</v>
      </c>
      <c r="D565" s="489">
        <v>195.21700000000001</v>
      </c>
      <c r="E565" s="489">
        <v>203.066</v>
      </c>
      <c r="F565" s="489">
        <v>209.50899999999999</v>
      </c>
      <c r="G565" s="489">
        <v>212.869</v>
      </c>
      <c r="H565" s="489">
        <v>212.256</v>
      </c>
      <c r="I565" s="489">
        <v>208.83</v>
      </c>
      <c r="J565" s="489">
        <v>205.44300000000001</v>
      </c>
      <c r="K565" s="489">
        <v>206.08</v>
      </c>
      <c r="L565" s="489">
        <v>213.51</v>
      </c>
      <c r="M565" s="489">
        <v>228.697</v>
      </c>
      <c r="N565" s="489">
        <v>250.49</v>
      </c>
      <c r="O565" s="489">
        <v>276.93299999999999</v>
      </c>
      <c r="P565" s="489">
        <v>305.077</v>
      </c>
      <c r="Q565" s="489">
        <v>332.67200000000003</v>
      </c>
    </row>
    <row r="566" spans="1:17" s="75" customFormat="1">
      <c r="A566" s="488" t="s">
        <v>155</v>
      </c>
      <c r="B566" s="489">
        <v>183.05600000000001</v>
      </c>
      <c r="C566" s="489">
        <v>186.21799999999999</v>
      </c>
      <c r="D566" s="489">
        <v>191.52799999999999</v>
      </c>
      <c r="E566" s="489">
        <v>197.595</v>
      </c>
      <c r="F566" s="489">
        <v>202.387</v>
      </c>
      <c r="G566" s="489">
        <v>204.619</v>
      </c>
      <c r="H566" s="489">
        <v>203.62200000000001</v>
      </c>
      <c r="I566" s="489">
        <v>200.36600000000001</v>
      </c>
      <c r="J566" s="489">
        <v>197.178</v>
      </c>
      <c r="K566" s="489">
        <v>197.28800000000001</v>
      </c>
      <c r="L566" s="489">
        <v>202.971</v>
      </c>
      <c r="M566" s="489">
        <v>214.96600000000001</v>
      </c>
      <c r="N566" s="489">
        <v>232.429</v>
      </c>
      <c r="O566" s="489">
        <v>254.09</v>
      </c>
      <c r="P566" s="489">
        <v>277.971</v>
      </c>
      <c r="Q566" s="489">
        <v>302.517</v>
      </c>
    </row>
    <row r="567" spans="1:17" s="75" customFormat="1">
      <c r="A567" s="488" t="s">
        <v>156</v>
      </c>
      <c r="B567" s="489">
        <v>183.69300000000001</v>
      </c>
      <c r="C567" s="489">
        <v>185.661</v>
      </c>
      <c r="D567" s="489">
        <v>187.96299999999999</v>
      </c>
      <c r="E567" s="489">
        <v>190.24299999999999</v>
      </c>
      <c r="F567" s="489">
        <v>191.976</v>
      </c>
      <c r="G567" s="489">
        <v>192.893</v>
      </c>
      <c r="H567" s="489">
        <v>192.83699999999999</v>
      </c>
      <c r="I567" s="489">
        <v>192.27099999999999</v>
      </c>
      <c r="J567" s="489">
        <v>192.30600000000001</v>
      </c>
      <c r="K567" s="489">
        <v>194.434</v>
      </c>
      <c r="L567" s="489">
        <v>199.74100000000001</v>
      </c>
      <c r="M567" s="489">
        <v>208.50200000000001</v>
      </c>
      <c r="N567" s="489">
        <v>220.45099999999999</v>
      </c>
      <c r="O567" s="489">
        <v>235.42400000000001</v>
      </c>
      <c r="P567" s="489">
        <v>253.06</v>
      </c>
      <c r="Q567" s="489">
        <v>272.976</v>
      </c>
    </row>
    <row r="568" spans="1:17" s="75" customFormat="1">
      <c r="A568" s="488" t="s">
        <v>157</v>
      </c>
      <c r="B568" s="489">
        <v>183.62100000000001</v>
      </c>
      <c r="C568" s="489">
        <v>184.69200000000001</v>
      </c>
      <c r="D568" s="489">
        <v>184.53100000000001</v>
      </c>
      <c r="E568" s="489">
        <v>183.67099999999999</v>
      </c>
      <c r="F568" s="489">
        <v>182.87700000000001</v>
      </c>
      <c r="G568" s="489">
        <v>182.75200000000001</v>
      </c>
      <c r="H568" s="489">
        <v>183.584</v>
      </c>
      <c r="I568" s="489">
        <v>185.39699999999999</v>
      </c>
      <c r="J568" s="489">
        <v>188.208</v>
      </c>
      <c r="K568" s="489">
        <v>191.946</v>
      </c>
      <c r="L568" s="489">
        <v>196.63399999999999</v>
      </c>
      <c r="M568" s="489">
        <v>202.124</v>
      </c>
      <c r="N568" s="489">
        <v>208.679</v>
      </c>
      <c r="O568" s="489">
        <v>217.178</v>
      </c>
      <c r="P568" s="489">
        <v>228.774</v>
      </c>
      <c r="Q568" s="489">
        <v>244.184</v>
      </c>
    </row>
    <row r="569" spans="1:17" s="75" customFormat="1">
      <c r="A569" s="488" t="s">
        <v>158</v>
      </c>
      <c r="B569" s="489">
        <v>183.87299999999999</v>
      </c>
      <c r="C569" s="489">
        <v>184.04499999999999</v>
      </c>
      <c r="D569" s="489">
        <v>181.31100000000001</v>
      </c>
      <c r="E569" s="489">
        <v>177.17099999999999</v>
      </c>
      <c r="F569" s="489">
        <v>173.792</v>
      </c>
      <c r="G569" s="489">
        <v>172.72</v>
      </c>
      <c r="H569" s="489">
        <v>174.73599999999999</v>
      </c>
      <c r="I569" s="489">
        <v>179.37100000000001</v>
      </c>
      <c r="J569" s="489">
        <v>185.43799999999999</v>
      </c>
      <c r="K569" s="489">
        <v>191.136</v>
      </c>
      <c r="L569" s="489">
        <v>195.31</v>
      </c>
      <c r="M569" s="489">
        <v>197.339</v>
      </c>
      <c r="N569" s="489">
        <v>198.06100000000001</v>
      </c>
      <c r="O569" s="489">
        <v>199.53</v>
      </c>
      <c r="P569" s="489">
        <v>204.595</v>
      </c>
      <c r="Q569" s="489">
        <v>215.20099999999999</v>
      </c>
    </row>
    <row r="570" spans="1:17" s="75" customFormat="1">
      <c r="A570" s="488" t="s">
        <v>159</v>
      </c>
      <c r="B570" s="489">
        <v>180.667</v>
      </c>
      <c r="C570" s="489">
        <v>180.566</v>
      </c>
      <c r="D570" s="489">
        <v>176.679</v>
      </c>
      <c r="E570" s="489">
        <v>170.99700000000001</v>
      </c>
      <c r="F570" s="489">
        <v>166.40199999999999</v>
      </c>
      <c r="G570" s="489">
        <v>164.917</v>
      </c>
      <c r="H570" s="489">
        <v>167.572</v>
      </c>
      <c r="I570" s="489">
        <v>173.63300000000001</v>
      </c>
      <c r="J570" s="489">
        <v>181.26599999999999</v>
      </c>
      <c r="K570" s="489">
        <v>187.75299999999999</v>
      </c>
      <c r="L570" s="489">
        <v>191.315</v>
      </c>
      <c r="M570" s="489">
        <v>191.101</v>
      </c>
      <c r="N570" s="489">
        <v>188.25399999999999</v>
      </c>
      <c r="O570" s="489">
        <v>185.38</v>
      </c>
      <c r="P570" s="489">
        <v>186.13800000000001</v>
      </c>
      <c r="Q570" s="489">
        <v>193.07599999999999</v>
      </c>
    </row>
    <row r="571" spans="1:17" s="75" customFormat="1">
      <c r="A571" s="488" t="s">
        <v>160</v>
      </c>
      <c r="B571" s="489">
        <v>171.922</v>
      </c>
      <c r="C571" s="489">
        <v>172.55799999999999</v>
      </c>
      <c r="D571" s="489">
        <v>169.85499999999999</v>
      </c>
      <c r="E571" s="489">
        <v>165.483</v>
      </c>
      <c r="F571" s="489">
        <v>161.87799999999999</v>
      </c>
      <c r="G571" s="489">
        <v>160.75299999999999</v>
      </c>
      <c r="H571" s="489">
        <v>162.971</v>
      </c>
      <c r="I571" s="489">
        <v>167.91800000000001</v>
      </c>
      <c r="J571" s="489">
        <v>174.07300000000001</v>
      </c>
      <c r="K571" s="489">
        <v>179.18299999999999</v>
      </c>
      <c r="L571" s="489">
        <v>181.779</v>
      </c>
      <c r="M571" s="489">
        <v>181.19900000000001</v>
      </c>
      <c r="N571" s="489">
        <v>178.428</v>
      </c>
      <c r="O571" s="489">
        <v>175.61500000000001</v>
      </c>
      <c r="P571" s="489">
        <v>175.77799999999999</v>
      </c>
      <c r="Q571" s="489">
        <v>181.04400000000001</v>
      </c>
    </row>
    <row r="572" spans="1:17" s="75" customFormat="1">
      <c r="A572" s="488" t="s">
        <v>161</v>
      </c>
      <c r="B572" s="489">
        <v>159.58600000000001</v>
      </c>
      <c r="C572" s="489">
        <v>161.565</v>
      </c>
      <c r="D572" s="489">
        <v>161.46899999999999</v>
      </c>
      <c r="E572" s="489">
        <v>160.16300000000001</v>
      </c>
      <c r="F572" s="489">
        <v>158.917</v>
      </c>
      <c r="G572" s="489">
        <v>158.648</v>
      </c>
      <c r="H572" s="489">
        <v>159.803</v>
      </c>
      <c r="I572" s="489">
        <v>162.12</v>
      </c>
      <c r="J572" s="489">
        <v>164.983</v>
      </c>
      <c r="K572" s="489">
        <v>167.446</v>
      </c>
      <c r="L572" s="489">
        <v>168.92400000000001</v>
      </c>
      <c r="M572" s="489">
        <v>169.203</v>
      </c>
      <c r="N572" s="489">
        <v>168.816</v>
      </c>
      <c r="O572" s="489">
        <v>168.84700000000001</v>
      </c>
      <c r="P572" s="489">
        <v>170.77600000000001</v>
      </c>
      <c r="Q572" s="489">
        <v>175.68</v>
      </c>
    </row>
    <row r="573" spans="1:17" s="75" customFormat="1">
      <c r="A573" s="488" t="s">
        <v>162</v>
      </c>
      <c r="B573" s="489">
        <v>147.63800000000001</v>
      </c>
      <c r="C573" s="489">
        <v>150.84100000000001</v>
      </c>
      <c r="D573" s="489">
        <v>153.06700000000001</v>
      </c>
      <c r="E573" s="489">
        <v>154.483</v>
      </c>
      <c r="F573" s="489">
        <v>155.36500000000001</v>
      </c>
      <c r="G573" s="489">
        <v>155.953</v>
      </c>
      <c r="H573" s="489">
        <v>156.327</v>
      </c>
      <c r="I573" s="489">
        <v>156.52199999999999</v>
      </c>
      <c r="J573" s="489">
        <v>156.68899999999999</v>
      </c>
      <c r="K573" s="489">
        <v>156.99600000000001</v>
      </c>
      <c r="L573" s="489">
        <v>157.61099999999999</v>
      </c>
      <c r="M573" s="489">
        <v>158.70099999999999</v>
      </c>
      <c r="N573" s="489">
        <v>160.417</v>
      </c>
      <c r="O573" s="489">
        <v>162.87700000000001</v>
      </c>
      <c r="P573" s="489">
        <v>166.19499999999999</v>
      </c>
      <c r="Q573" s="489">
        <v>170.50899999999999</v>
      </c>
    </row>
    <row r="574" spans="1:17" s="75" customFormat="1">
      <c r="A574" s="488" t="s">
        <v>163</v>
      </c>
      <c r="B574" s="489">
        <v>135.24199999999999</v>
      </c>
      <c r="C574" s="489">
        <v>139.76499999999999</v>
      </c>
      <c r="D574" s="489">
        <v>144.49199999999999</v>
      </c>
      <c r="E574" s="489">
        <v>148.846</v>
      </c>
      <c r="F574" s="489">
        <v>152.048</v>
      </c>
      <c r="G574" s="489">
        <v>153.608</v>
      </c>
      <c r="H574" s="489">
        <v>153.214</v>
      </c>
      <c r="I574" s="489">
        <v>151.21799999999999</v>
      </c>
      <c r="J574" s="489">
        <v>148.59899999999999</v>
      </c>
      <c r="K574" s="489">
        <v>146.72800000000001</v>
      </c>
      <c r="L574" s="489">
        <v>146.57499999999999</v>
      </c>
      <c r="M574" s="489">
        <v>148.73699999999999</v>
      </c>
      <c r="N574" s="489">
        <v>152.934</v>
      </c>
      <c r="O574" s="489">
        <v>158.23099999999999</v>
      </c>
      <c r="P574" s="489">
        <v>163.22900000000001</v>
      </c>
      <c r="Q574" s="489">
        <v>167.04300000000001</v>
      </c>
    </row>
    <row r="575" spans="1:17" s="75" customFormat="1">
      <c r="A575" s="488" t="s">
        <v>164</v>
      </c>
      <c r="B575" s="489">
        <v>123.783</v>
      </c>
      <c r="C575" s="489">
        <v>129.05099999999999</v>
      </c>
      <c r="D575" s="489">
        <v>135.227</v>
      </c>
      <c r="E575" s="489">
        <v>141.316</v>
      </c>
      <c r="F575" s="489">
        <v>145.94200000000001</v>
      </c>
      <c r="G575" s="489">
        <v>148.19800000000001</v>
      </c>
      <c r="H575" s="489">
        <v>147.55699999999999</v>
      </c>
      <c r="I575" s="489">
        <v>144.535</v>
      </c>
      <c r="J575" s="489">
        <v>140.55000000000001</v>
      </c>
      <c r="K575" s="489">
        <v>137.614</v>
      </c>
      <c r="L575" s="489">
        <v>137.125</v>
      </c>
      <c r="M575" s="489">
        <v>139.89400000000001</v>
      </c>
      <c r="N575" s="489">
        <v>145.40600000000001</v>
      </c>
      <c r="O575" s="489">
        <v>152.14099999999999</v>
      </c>
      <c r="P575" s="489">
        <v>157.87200000000001</v>
      </c>
      <c r="Q575" s="489">
        <v>161.148</v>
      </c>
    </row>
    <row r="576" spans="1:17" s="75" customFormat="1">
      <c r="A576" s="488" t="s">
        <v>165</v>
      </c>
      <c r="B576" s="489">
        <v>114.346</v>
      </c>
      <c r="C576" s="489">
        <v>119.39700000000001</v>
      </c>
      <c r="D576" s="489">
        <v>125.22199999999999</v>
      </c>
      <c r="E576" s="489">
        <v>130.96700000000001</v>
      </c>
      <c r="F576" s="489">
        <v>135.44900000000001</v>
      </c>
      <c r="G576" s="489">
        <v>137.88900000000001</v>
      </c>
      <c r="H576" s="489">
        <v>137.83099999999999</v>
      </c>
      <c r="I576" s="489">
        <v>135.71100000000001</v>
      </c>
      <c r="J576" s="489">
        <v>132.71299999999999</v>
      </c>
      <c r="K576" s="489">
        <v>130.51900000000001</v>
      </c>
      <c r="L576" s="489">
        <v>130.30099999999999</v>
      </c>
      <c r="M576" s="489">
        <v>132.745</v>
      </c>
      <c r="N576" s="489">
        <v>137.41800000000001</v>
      </c>
      <c r="O576" s="489">
        <v>143.03</v>
      </c>
      <c r="P576" s="489">
        <v>147.69499999999999</v>
      </c>
      <c r="Q576" s="489">
        <v>150.18700000000001</v>
      </c>
    </row>
    <row r="577" spans="1:17" s="75" customFormat="1">
      <c r="A577" s="488" t="s">
        <v>166</v>
      </c>
      <c r="B577" s="489">
        <v>106.14700000000001</v>
      </c>
      <c r="C577" s="489">
        <v>110.373</v>
      </c>
      <c r="D577" s="489">
        <v>114.72199999999999</v>
      </c>
      <c r="E577" s="489">
        <v>118.824</v>
      </c>
      <c r="F577" s="489">
        <v>122.182</v>
      </c>
      <c r="G577" s="489">
        <v>124.473</v>
      </c>
      <c r="H577" s="489">
        <v>125.504</v>
      </c>
      <c r="I577" s="489">
        <v>125.465</v>
      </c>
      <c r="J577" s="489">
        <v>124.89700000000001</v>
      </c>
      <c r="K577" s="489">
        <v>124.565</v>
      </c>
      <c r="L577" s="489">
        <v>125.00700000000001</v>
      </c>
      <c r="M577" s="489">
        <v>126.577</v>
      </c>
      <c r="N577" s="489">
        <v>129.11600000000001</v>
      </c>
      <c r="O577" s="489">
        <v>132.06899999999999</v>
      </c>
      <c r="P577" s="489">
        <v>134.60599999999999</v>
      </c>
      <c r="Q577" s="489">
        <v>136.22</v>
      </c>
    </row>
    <row r="578" spans="1:17" s="75" customFormat="1">
      <c r="A578" s="488" t="s">
        <v>167</v>
      </c>
      <c r="B578" s="489">
        <v>97.52</v>
      </c>
      <c r="C578" s="489">
        <v>101.026</v>
      </c>
      <c r="D578" s="489">
        <v>104.142</v>
      </c>
      <c r="E578" s="489">
        <v>106.901</v>
      </c>
      <c r="F578" s="489">
        <v>109.36799999999999</v>
      </c>
      <c r="G578" s="489">
        <v>111.6</v>
      </c>
      <c r="H578" s="489">
        <v>113.617</v>
      </c>
      <c r="I578" s="489">
        <v>115.40900000000001</v>
      </c>
      <c r="J578" s="489">
        <v>116.973</v>
      </c>
      <c r="K578" s="489">
        <v>118.304</v>
      </c>
      <c r="L578" s="489">
        <v>119.411</v>
      </c>
      <c r="M578" s="489">
        <v>120.357</v>
      </c>
      <c r="N578" s="489">
        <v>121.214</v>
      </c>
      <c r="O578" s="489">
        <v>122.035</v>
      </c>
      <c r="P578" s="489">
        <v>122.884</v>
      </c>
      <c r="Q578" s="489">
        <v>123.843</v>
      </c>
    </row>
    <row r="579" spans="1:17" s="75" customFormat="1">
      <c r="A579" s="488" t="s">
        <v>168</v>
      </c>
      <c r="B579" s="489">
        <v>89.028000000000006</v>
      </c>
      <c r="C579" s="489">
        <v>91.745999999999995</v>
      </c>
      <c r="D579" s="489">
        <v>93.542000000000002</v>
      </c>
      <c r="E579" s="489">
        <v>94.867999999999995</v>
      </c>
      <c r="F579" s="489">
        <v>96.391999999999996</v>
      </c>
      <c r="G579" s="489">
        <v>98.566000000000003</v>
      </c>
      <c r="H579" s="489">
        <v>101.637</v>
      </c>
      <c r="I579" s="489">
        <v>105.386</v>
      </c>
      <c r="J579" s="489">
        <v>109.24</v>
      </c>
      <c r="K579" s="489">
        <v>112.374</v>
      </c>
      <c r="L579" s="489">
        <v>114.246</v>
      </c>
      <c r="M579" s="489">
        <v>114.601</v>
      </c>
      <c r="N579" s="489">
        <v>113.755</v>
      </c>
      <c r="O579" s="489">
        <v>112.42</v>
      </c>
      <c r="P579" s="489">
        <v>111.601</v>
      </c>
      <c r="Q579" s="489">
        <v>112.015</v>
      </c>
    </row>
    <row r="580" spans="1:17" s="75" customFormat="1">
      <c r="A580" s="488" t="s">
        <v>169</v>
      </c>
      <c r="B580" s="489">
        <v>79.867000000000004</v>
      </c>
      <c r="C580" s="489">
        <v>82.052000000000007</v>
      </c>
      <c r="D580" s="489">
        <v>83.028999999999996</v>
      </c>
      <c r="E580" s="489">
        <v>83.495999999999995</v>
      </c>
      <c r="F580" s="489">
        <v>84.456999999999994</v>
      </c>
      <c r="G580" s="489">
        <v>86.590999999999994</v>
      </c>
      <c r="H580" s="489">
        <v>90.274000000000001</v>
      </c>
      <c r="I580" s="489">
        <v>95.164000000000001</v>
      </c>
      <c r="J580" s="489">
        <v>100.361</v>
      </c>
      <c r="K580" s="489">
        <v>104.584</v>
      </c>
      <c r="L580" s="489">
        <v>106.967</v>
      </c>
      <c r="M580" s="489">
        <v>107.08199999999999</v>
      </c>
      <c r="N580" s="489">
        <v>105.374</v>
      </c>
      <c r="O580" s="489">
        <v>102.911</v>
      </c>
      <c r="P580" s="489">
        <v>101.229</v>
      </c>
      <c r="Q580" s="489">
        <v>101.39</v>
      </c>
    </row>
    <row r="581" spans="1:17" s="75" customFormat="1">
      <c r="A581" s="488" t="s">
        <v>170</v>
      </c>
      <c r="B581" s="489">
        <v>69.546000000000006</v>
      </c>
      <c r="C581" s="489">
        <v>71.67</v>
      </c>
      <c r="D581" s="489">
        <v>72.748000000000005</v>
      </c>
      <c r="E581" s="489">
        <v>73.394999999999996</v>
      </c>
      <c r="F581" s="489">
        <v>74.501999999999995</v>
      </c>
      <c r="G581" s="489">
        <v>76.665999999999997</v>
      </c>
      <c r="H581" s="489">
        <v>80.213999999999999</v>
      </c>
      <c r="I581" s="489">
        <v>84.84</v>
      </c>
      <c r="J581" s="489">
        <v>89.748999999999995</v>
      </c>
      <c r="K581" s="489">
        <v>93.807000000000002</v>
      </c>
      <c r="L581" s="489">
        <v>96.248000000000005</v>
      </c>
      <c r="M581" s="489">
        <v>96.69</v>
      </c>
      <c r="N581" s="489">
        <v>95.518000000000001</v>
      </c>
      <c r="O581" s="489">
        <v>93.652000000000001</v>
      </c>
      <c r="P581" s="489">
        <v>92.41</v>
      </c>
      <c r="Q581" s="489">
        <v>92.712000000000003</v>
      </c>
    </row>
    <row r="582" spans="1:17" s="75" customFormat="1">
      <c r="A582" s="488" t="s">
        <v>171</v>
      </c>
      <c r="B582" s="489">
        <v>58.713000000000001</v>
      </c>
      <c r="C582" s="489">
        <v>61.06</v>
      </c>
      <c r="D582" s="489">
        <v>62.798000000000002</v>
      </c>
      <c r="E582" s="489">
        <v>64.260000000000005</v>
      </c>
      <c r="F582" s="489">
        <v>65.938999999999993</v>
      </c>
      <c r="G582" s="489">
        <v>68.162999999999997</v>
      </c>
      <c r="H582" s="489">
        <v>71.102000000000004</v>
      </c>
      <c r="I582" s="489">
        <v>74.578999999999994</v>
      </c>
      <c r="J582" s="489">
        <v>78.173000000000002</v>
      </c>
      <c r="K582" s="489">
        <v>81.275999999999996</v>
      </c>
      <c r="L582" s="489">
        <v>83.48</v>
      </c>
      <c r="M582" s="489">
        <v>84.593000000000004</v>
      </c>
      <c r="N582" s="489">
        <v>84.816999999999993</v>
      </c>
      <c r="O582" s="489">
        <v>84.606999999999999</v>
      </c>
      <c r="P582" s="489">
        <v>84.619</v>
      </c>
      <c r="Q582" s="489">
        <v>85.314999999999998</v>
      </c>
    </row>
    <row r="583" spans="1:17" s="75" customFormat="1">
      <c r="A583" s="488" t="s">
        <v>172</v>
      </c>
      <c r="B583" s="489">
        <v>48.451000000000001</v>
      </c>
      <c r="C583" s="489">
        <v>50.920999999999999</v>
      </c>
      <c r="D583" s="489">
        <v>53.134999999999998</v>
      </c>
      <c r="E583" s="489">
        <v>55.204999999999998</v>
      </c>
      <c r="F583" s="489">
        <v>57.3</v>
      </c>
      <c r="G583" s="489">
        <v>59.536000000000001</v>
      </c>
      <c r="H583" s="489">
        <v>61.95</v>
      </c>
      <c r="I583" s="489">
        <v>64.475999999999999</v>
      </c>
      <c r="J583" s="489">
        <v>66.995000000000005</v>
      </c>
      <c r="K583" s="489">
        <v>69.334000000000003</v>
      </c>
      <c r="L583" s="489">
        <v>71.376000000000005</v>
      </c>
      <c r="M583" s="489">
        <v>73.085999999999999</v>
      </c>
      <c r="N583" s="489">
        <v>74.513000000000005</v>
      </c>
      <c r="O583" s="489">
        <v>75.731999999999999</v>
      </c>
      <c r="P583" s="489">
        <v>76.852000000000004</v>
      </c>
      <c r="Q583" s="489">
        <v>77.960999999999999</v>
      </c>
    </row>
    <row r="584" spans="1:17" s="75" customFormat="1">
      <c r="A584" s="488" t="s">
        <v>173</v>
      </c>
      <c r="B584" s="489">
        <v>38.481000000000002</v>
      </c>
      <c r="C584" s="489">
        <v>41.070999999999998</v>
      </c>
      <c r="D584" s="489">
        <v>43.764000000000003</v>
      </c>
      <c r="E584" s="489">
        <v>46.439</v>
      </c>
      <c r="F584" s="489">
        <v>48.94</v>
      </c>
      <c r="G584" s="489">
        <v>51.162999999999997</v>
      </c>
      <c r="H584" s="489">
        <v>53.015999999999998</v>
      </c>
      <c r="I584" s="489">
        <v>54.542999999999999</v>
      </c>
      <c r="J584" s="489">
        <v>55.94</v>
      </c>
      <c r="K584" s="489">
        <v>57.488999999999997</v>
      </c>
      <c r="L584" s="489">
        <v>59.375</v>
      </c>
      <c r="M584" s="489">
        <v>61.725999999999999</v>
      </c>
      <c r="N584" s="489">
        <v>64.436999999999998</v>
      </c>
      <c r="O584" s="489">
        <v>67.185000000000002</v>
      </c>
      <c r="P584" s="489">
        <v>69.510999999999996</v>
      </c>
      <c r="Q584" s="489">
        <v>71.114999999999995</v>
      </c>
    </row>
    <row r="585" spans="1:17" s="75" customFormat="1">
      <c r="A585" s="488" t="s">
        <v>174</v>
      </c>
      <c r="B585" s="489">
        <v>29.988</v>
      </c>
      <c r="C585" s="489">
        <v>32.533000000000001</v>
      </c>
      <c r="D585" s="489">
        <v>35.420999999999999</v>
      </c>
      <c r="E585" s="489">
        <v>38.381999999999998</v>
      </c>
      <c r="F585" s="489">
        <v>41.054000000000002</v>
      </c>
      <c r="G585" s="489">
        <v>43.194000000000003</v>
      </c>
      <c r="H585" s="489">
        <v>44.628</v>
      </c>
      <c r="I585" s="489">
        <v>45.469000000000001</v>
      </c>
      <c r="J585" s="489">
        <v>46.109000000000002</v>
      </c>
      <c r="K585" s="489">
        <v>47.11</v>
      </c>
      <c r="L585" s="489">
        <v>48.84</v>
      </c>
      <c r="M585" s="489">
        <v>51.524000000000001</v>
      </c>
      <c r="N585" s="489">
        <v>54.965000000000003</v>
      </c>
      <c r="O585" s="489">
        <v>58.600999999999999</v>
      </c>
      <c r="P585" s="489">
        <v>61.639000000000003</v>
      </c>
      <c r="Q585" s="489">
        <v>63.545000000000002</v>
      </c>
    </row>
    <row r="586" spans="1:17" s="75" customFormat="1">
      <c r="A586" s="488" t="s">
        <v>175</v>
      </c>
      <c r="B586" s="489">
        <v>23.651</v>
      </c>
      <c r="C586" s="489">
        <v>25.873999999999999</v>
      </c>
      <c r="D586" s="489">
        <v>28.466000000000001</v>
      </c>
      <c r="E586" s="489">
        <v>31.167000000000002</v>
      </c>
      <c r="F586" s="489">
        <v>33.616999999999997</v>
      </c>
      <c r="G586" s="489">
        <v>35.572000000000003</v>
      </c>
      <c r="H586" s="489">
        <v>36.869</v>
      </c>
      <c r="I586" s="489">
        <v>37.619999999999997</v>
      </c>
      <c r="J586" s="489">
        <v>38.192</v>
      </c>
      <c r="K586" s="489">
        <v>39.106000000000002</v>
      </c>
      <c r="L586" s="489">
        <v>40.715000000000003</v>
      </c>
      <c r="M586" s="489">
        <v>43.22</v>
      </c>
      <c r="N586" s="489">
        <v>46.433999999999997</v>
      </c>
      <c r="O586" s="489">
        <v>49.845999999999997</v>
      </c>
      <c r="P586" s="489">
        <v>52.725999999999999</v>
      </c>
      <c r="Q586" s="489">
        <v>54.585000000000001</v>
      </c>
    </row>
    <row r="587" spans="1:17" s="75" customFormat="1">
      <c r="A587" s="488" t="s">
        <v>176</v>
      </c>
      <c r="B587" s="489">
        <v>18.931000000000001</v>
      </c>
      <c r="C587" s="489">
        <v>20.66</v>
      </c>
      <c r="D587" s="489">
        <v>22.654</v>
      </c>
      <c r="E587" s="489">
        <v>24.751000000000001</v>
      </c>
      <c r="F587" s="489">
        <v>26.727</v>
      </c>
      <c r="G587" s="489">
        <v>28.431999999999999</v>
      </c>
      <c r="H587" s="489">
        <v>29.768999999999998</v>
      </c>
      <c r="I587" s="489">
        <v>30.798999999999999</v>
      </c>
      <c r="J587" s="489">
        <v>31.724</v>
      </c>
      <c r="K587" s="489">
        <v>32.841999999999999</v>
      </c>
      <c r="L587" s="489">
        <v>34.344999999999999</v>
      </c>
      <c r="M587" s="489">
        <v>36.344999999999999</v>
      </c>
      <c r="N587" s="489">
        <v>38.731000000000002</v>
      </c>
      <c r="O587" s="489">
        <v>41.213999999999999</v>
      </c>
      <c r="P587" s="489">
        <v>43.390999999999998</v>
      </c>
      <c r="Q587" s="489">
        <v>44.981000000000002</v>
      </c>
    </row>
    <row r="588" spans="1:17" s="75" customFormat="1">
      <c r="A588" s="488" t="s">
        <v>177</v>
      </c>
      <c r="B588" s="489">
        <v>14.513999999999999</v>
      </c>
      <c r="C588" s="489">
        <v>15.798999999999999</v>
      </c>
      <c r="D588" s="489">
        <v>17.274000000000001</v>
      </c>
      <c r="E588" s="489">
        <v>18.853999999999999</v>
      </c>
      <c r="F588" s="489">
        <v>20.414000000000001</v>
      </c>
      <c r="G588" s="489">
        <v>21.872</v>
      </c>
      <c r="H588" s="489">
        <v>23.177</v>
      </c>
      <c r="I588" s="489">
        <v>24.358000000000001</v>
      </c>
      <c r="J588" s="489">
        <v>25.495000000000001</v>
      </c>
      <c r="K588" s="489">
        <v>26.707000000000001</v>
      </c>
      <c r="L588" s="489">
        <v>28.073</v>
      </c>
      <c r="M588" s="489">
        <v>29.631</v>
      </c>
      <c r="N588" s="489">
        <v>31.331</v>
      </c>
      <c r="O588" s="489">
        <v>33.063000000000002</v>
      </c>
      <c r="P588" s="489">
        <v>34.673999999999999</v>
      </c>
      <c r="Q588" s="489">
        <v>36.055</v>
      </c>
    </row>
    <row r="589" spans="1:17" s="75" customFormat="1">
      <c r="A589" s="488" t="s">
        <v>178</v>
      </c>
      <c r="B589" s="489">
        <v>10.558999999999999</v>
      </c>
      <c r="C589" s="489">
        <v>11.397</v>
      </c>
      <c r="D589" s="489">
        <v>12.352</v>
      </c>
      <c r="E589" s="489">
        <v>13.41</v>
      </c>
      <c r="F589" s="489">
        <v>14.551</v>
      </c>
      <c r="G589" s="489">
        <v>15.75</v>
      </c>
      <c r="H589" s="489">
        <v>17.013999999999999</v>
      </c>
      <c r="I589" s="489">
        <v>18.335000000000001</v>
      </c>
      <c r="J589" s="489">
        <v>19.667999999999999</v>
      </c>
      <c r="K589" s="489">
        <v>20.96</v>
      </c>
      <c r="L589" s="489">
        <v>22.172000000000001</v>
      </c>
      <c r="M589" s="489">
        <v>23.268000000000001</v>
      </c>
      <c r="N589" s="489">
        <v>24.260999999999999</v>
      </c>
      <c r="O589" s="489">
        <v>25.225999999999999</v>
      </c>
      <c r="P589" s="489">
        <v>26.265000000000001</v>
      </c>
      <c r="Q589" s="489">
        <v>27.446999999999999</v>
      </c>
    </row>
    <row r="590" spans="1:17" s="75" customFormat="1">
      <c r="A590" s="488" t="s">
        <v>179</v>
      </c>
      <c r="B590" s="489">
        <v>7.4340000000000002</v>
      </c>
      <c r="C590" s="489">
        <v>7.9249999999999998</v>
      </c>
      <c r="D590" s="489">
        <v>8.4760000000000009</v>
      </c>
      <c r="E590" s="489">
        <v>9.125</v>
      </c>
      <c r="F590" s="489">
        <v>9.9160000000000004</v>
      </c>
      <c r="G590" s="489">
        <v>10.878</v>
      </c>
      <c r="H590" s="489">
        <v>12.045</v>
      </c>
      <c r="I590" s="489">
        <v>13.388999999999999</v>
      </c>
      <c r="J590" s="489">
        <v>14.785</v>
      </c>
      <c r="K590" s="489">
        <v>16.065000000000001</v>
      </c>
      <c r="L590" s="489">
        <v>17.116</v>
      </c>
      <c r="M590" s="489">
        <v>17.855</v>
      </c>
      <c r="N590" s="489">
        <v>18.335999999999999</v>
      </c>
      <c r="O590" s="489">
        <v>18.748999999999999</v>
      </c>
      <c r="P590" s="489">
        <v>19.363</v>
      </c>
      <c r="Q590" s="489">
        <v>20.356000000000002</v>
      </c>
    </row>
    <row r="591" spans="1:17" s="75" customFormat="1">
      <c r="A591" s="488" t="s">
        <v>180</v>
      </c>
      <c r="B591" s="489">
        <v>5.16</v>
      </c>
      <c r="C591" s="489">
        <v>5.476</v>
      </c>
      <c r="D591" s="489">
        <v>5.835</v>
      </c>
      <c r="E591" s="489">
        <v>6.2789999999999999</v>
      </c>
      <c r="F591" s="489">
        <v>6.8659999999999997</v>
      </c>
      <c r="G591" s="489">
        <v>7.625</v>
      </c>
      <c r="H591" s="489">
        <v>8.5980000000000008</v>
      </c>
      <c r="I591" s="489">
        <v>9.7530000000000001</v>
      </c>
      <c r="J591" s="489">
        <v>10.968</v>
      </c>
      <c r="K591" s="489">
        <v>12.074</v>
      </c>
      <c r="L591" s="489">
        <v>12.959</v>
      </c>
      <c r="M591" s="489">
        <v>13.544</v>
      </c>
      <c r="N591" s="489">
        <v>13.882999999999999</v>
      </c>
      <c r="O591" s="489">
        <v>14.159000000000001</v>
      </c>
      <c r="P591" s="489">
        <v>14.634</v>
      </c>
      <c r="Q591" s="489">
        <v>15.483000000000001</v>
      </c>
    </row>
    <row r="592" spans="1:17" s="75" customFormat="1">
      <c r="A592" s="488" t="s">
        <v>181</v>
      </c>
      <c r="B592" s="489">
        <v>3.5750000000000002</v>
      </c>
      <c r="C592" s="489">
        <v>3.831</v>
      </c>
      <c r="D592" s="489">
        <v>4.1390000000000002</v>
      </c>
      <c r="E592" s="489">
        <v>4.5170000000000003</v>
      </c>
      <c r="F592" s="489">
        <v>4.9930000000000003</v>
      </c>
      <c r="G592" s="489">
        <v>5.5810000000000004</v>
      </c>
      <c r="H592" s="489">
        <v>6.3029999999999999</v>
      </c>
      <c r="I592" s="489">
        <v>7.141</v>
      </c>
      <c r="J592" s="489">
        <v>8.0259999999999998</v>
      </c>
      <c r="K592" s="489">
        <v>8.8610000000000007</v>
      </c>
      <c r="L592" s="489">
        <v>9.5830000000000002</v>
      </c>
      <c r="M592" s="489">
        <v>10.143000000000001</v>
      </c>
      <c r="N592" s="489">
        <v>10.571999999999999</v>
      </c>
      <c r="O592" s="489">
        <v>10.972</v>
      </c>
      <c r="P592" s="489">
        <v>11.491</v>
      </c>
      <c r="Q592" s="489">
        <v>12.225</v>
      </c>
    </row>
    <row r="593" spans="1:18" s="75" customFormat="1">
      <c r="A593" s="488" t="s">
        <v>182</v>
      </c>
      <c r="B593" s="489">
        <v>2.4630000000000001</v>
      </c>
      <c r="C593" s="489">
        <v>2.6469999999999998</v>
      </c>
      <c r="D593" s="489">
        <v>2.871</v>
      </c>
      <c r="E593" s="489">
        <v>3.1480000000000001</v>
      </c>
      <c r="F593" s="489">
        <v>3.4889999999999999</v>
      </c>
      <c r="G593" s="489">
        <v>3.9039999999999999</v>
      </c>
      <c r="H593" s="489">
        <v>4.4000000000000004</v>
      </c>
      <c r="I593" s="489">
        <v>4.97</v>
      </c>
      <c r="J593" s="489">
        <v>5.5789999999999997</v>
      </c>
      <c r="K593" s="489">
        <v>6.181</v>
      </c>
      <c r="L593" s="489">
        <v>6.74</v>
      </c>
      <c r="M593" s="489">
        <v>7.234</v>
      </c>
      <c r="N593" s="489">
        <v>7.6779999999999999</v>
      </c>
      <c r="O593" s="489">
        <v>8.1150000000000002</v>
      </c>
      <c r="P593" s="489">
        <v>8.6110000000000007</v>
      </c>
      <c r="Q593" s="489">
        <v>9.2100000000000009</v>
      </c>
    </row>
    <row r="594" spans="1:18" s="75" customFormat="1">
      <c r="A594" s="488" t="s">
        <v>183</v>
      </c>
      <c r="B594" s="489">
        <v>1.8260000000000001</v>
      </c>
      <c r="C594" s="489">
        <v>1.9430000000000001</v>
      </c>
      <c r="D594" s="489">
        <v>2.085</v>
      </c>
      <c r="E594" s="489">
        <v>2.254</v>
      </c>
      <c r="F594" s="489">
        <v>2.4569999999999999</v>
      </c>
      <c r="G594" s="489">
        <v>2.694</v>
      </c>
      <c r="H594" s="489">
        <v>2.9689999999999999</v>
      </c>
      <c r="I594" s="489">
        <v>3.2789999999999999</v>
      </c>
      <c r="J594" s="489">
        <v>3.6240000000000001</v>
      </c>
      <c r="K594" s="489">
        <v>3.996</v>
      </c>
      <c r="L594" s="489">
        <v>4.3929999999999998</v>
      </c>
      <c r="M594" s="489">
        <v>4.8159999999999998</v>
      </c>
      <c r="N594" s="489">
        <v>5.26</v>
      </c>
      <c r="O594" s="489">
        <v>5.72</v>
      </c>
      <c r="P594" s="489">
        <v>6.181</v>
      </c>
      <c r="Q594" s="489">
        <v>6.6349999999999998</v>
      </c>
    </row>
    <row r="595" spans="1:18" s="75" customFormat="1">
      <c r="A595" s="488" t="s">
        <v>184</v>
      </c>
      <c r="B595" s="489">
        <v>1.3440000000000001</v>
      </c>
      <c r="C595" s="489">
        <v>1.4139999999999999</v>
      </c>
      <c r="D595" s="489">
        <v>1.496</v>
      </c>
      <c r="E595" s="489">
        <v>1.587</v>
      </c>
      <c r="F595" s="489">
        <v>1.6870000000000001</v>
      </c>
      <c r="G595" s="489">
        <v>1.796</v>
      </c>
      <c r="H595" s="489">
        <v>1.9079999999999999</v>
      </c>
      <c r="I595" s="489">
        <v>2.0270000000000001</v>
      </c>
      <c r="J595" s="489">
        <v>2.1720000000000002</v>
      </c>
      <c r="K595" s="489">
        <v>2.37</v>
      </c>
      <c r="L595" s="489">
        <v>2.6360000000000001</v>
      </c>
      <c r="M595" s="489">
        <v>2.9860000000000002</v>
      </c>
      <c r="N595" s="489">
        <v>3.41</v>
      </c>
      <c r="O595" s="489">
        <v>3.8580000000000001</v>
      </c>
      <c r="P595" s="489">
        <v>4.2699999999999996</v>
      </c>
      <c r="Q595" s="489">
        <v>4.601</v>
      </c>
    </row>
    <row r="596" spans="1:18" s="75" customFormat="1">
      <c r="A596" s="488" t="s">
        <v>185</v>
      </c>
      <c r="B596" s="489">
        <v>0.82399999999999995</v>
      </c>
      <c r="C596" s="489">
        <v>0.85699999999999998</v>
      </c>
      <c r="D596" s="489">
        <v>0.89500000000000002</v>
      </c>
      <c r="E596" s="489">
        <v>0.93600000000000005</v>
      </c>
      <c r="F596" s="489">
        <v>0.98</v>
      </c>
      <c r="G596" s="489">
        <v>1.0249999999999999</v>
      </c>
      <c r="H596" s="489">
        <v>1.0649999999999999</v>
      </c>
      <c r="I596" s="489">
        <v>1.107</v>
      </c>
      <c r="J596" s="489">
        <v>1.169</v>
      </c>
      <c r="K596" s="489">
        <v>1.2809999999999999</v>
      </c>
      <c r="L596" s="489">
        <v>1.462</v>
      </c>
      <c r="M596" s="489">
        <v>1.728</v>
      </c>
      <c r="N596" s="489">
        <v>2.0659999999999998</v>
      </c>
      <c r="O596" s="489">
        <v>2.431</v>
      </c>
      <c r="P596" s="489">
        <v>2.7570000000000001</v>
      </c>
      <c r="Q596" s="489">
        <v>3.0009999999999999</v>
      </c>
    </row>
    <row r="597" spans="1:18" s="75" customFormat="1">
      <c r="A597" s="488" t="s">
        <v>186</v>
      </c>
      <c r="B597" s="489">
        <v>0.33400000000000002</v>
      </c>
      <c r="C597" s="489">
        <v>0.34100000000000003</v>
      </c>
      <c r="D597" s="489">
        <v>0.35</v>
      </c>
      <c r="E597" s="489">
        <v>0.36499999999999999</v>
      </c>
      <c r="F597" s="489">
        <v>0.38400000000000001</v>
      </c>
      <c r="G597" s="489">
        <v>0.41</v>
      </c>
      <c r="H597" s="489">
        <v>0.442</v>
      </c>
      <c r="I597" s="489">
        <v>0.48099999999999998</v>
      </c>
      <c r="J597" s="489">
        <v>0.53800000000000003</v>
      </c>
      <c r="K597" s="489">
        <v>0.626</v>
      </c>
      <c r="L597" s="489">
        <v>0.755</v>
      </c>
      <c r="M597" s="489">
        <v>0.93300000000000005</v>
      </c>
      <c r="N597" s="489">
        <v>1.1539999999999999</v>
      </c>
      <c r="O597" s="489">
        <v>1.393</v>
      </c>
      <c r="P597" s="489">
        <v>1.615</v>
      </c>
      <c r="Q597" s="489">
        <v>1.796</v>
      </c>
    </row>
    <row r="598" spans="1:18" s="75" customFormat="1">
      <c r="A598" s="490" t="s">
        <v>187</v>
      </c>
      <c r="B598" s="491">
        <v>0.63300000000000001</v>
      </c>
      <c r="C598" s="491">
        <v>0.67500000000000004</v>
      </c>
      <c r="D598" s="491">
        <v>0.71799999999999997</v>
      </c>
      <c r="E598" s="491">
        <v>0.76300000000000001</v>
      </c>
      <c r="F598" s="491">
        <v>0.81299999999999994</v>
      </c>
      <c r="G598" s="491">
        <v>0.872</v>
      </c>
      <c r="H598" s="491">
        <v>0.94</v>
      </c>
      <c r="I598" s="491">
        <v>1.0189999999999999</v>
      </c>
      <c r="J598" s="491">
        <v>1.1120000000000001</v>
      </c>
      <c r="K598" s="491">
        <v>1.2230000000000001</v>
      </c>
      <c r="L598" s="491">
        <v>1.3560000000000001</v>
      </c>
      <c r="M598" s="491">
        <v>1.5109999999999999</v>
      </c>
      <c r="N598" s="491">
        <v>1.6879999999999999</v>
      </c>
      <c r="O598" s="491">
        <v>1.8919999999999999</v>
      </c>
      <c r="P598" s="491">
        <v>2.1240000000000001</v>
      </c>
      <c r="Q598" s="491">
        <v>2.3889999999999998</v>
      </c>
    </row>
    <row r="599" spans="1:18">
      <c r="C599" s="83"/>
    </row>
    <row r="600" spans="1:18">
      <c r="C600" s="83"/>
    </row>
    <row r="601" spans="1:18" ht="21">
      <c r="A601" s="85" t="s">
        <v>190</v>
      </c>
      <c r="C601" s="83"/>
    </row>
    <row r="602" spans="1:18" ht="17.25">
      <c r="A602" s="467"/>
      <c r="B602" s="1488" t="s">
        <v>730</v>
      </c>
      <c r="C602" s="1489"/>
      <c r="D602" s="1489"/>
      <c r="E602" s="1489"/>
      <c r="F602" s="1489"/>
      <c r="G602" s="1489"/>
      <c r="H602" s="1488" t="s">
        <v>734</v>
      </c>
      <c r="I602" s="1489"/>
      <c r="J602" s="1489"/>
      <c r="K602" s="1489"/>
      <c r="L602" s="1489"/>
      <c r="M602" s="1489"/>
      <c r="N602" s="1489"/>
      <c r="O602" s="1489"/>
      <c r="P602" s="1489"/>
      <c r="Q602" s="1490"/>
      <c r="R602" s="1491" t="s">
        <v>744</v>
      </c>
    </row>
    <row r="603" spans="1:18">
      <c r="A603" s="468" t="s">
        <v>746</v>
      </c>
      <c r="B603" s="468">
        <v>2005</v>
      </c>
      <c r="C603" s="469">
        <v>2006</v>
      </c>
      <c r="D603" s="469">
        <v>2007</v>
      </c>
      <c r="E603" s="469">
        <v>2008</v>
      </c>
      <c r="F603" s="469">
        <v>2009</v>
      </c>
      <c r="G603" s="470">
        <v>2010</v>
      </c>
      <c r="H603" s="469">
        <v>2011</v>
      </c>
      <c r="I603" s="469">
        <v>2012</v>
      </c>
      <c r="J603" s="469">
        <v>2013</v>
      </c>
      <c r="K603" s="469">
        <v>2014</v>
      </c>
      <c r="L603" s="469">
        <v>2015</v>
      </c>
      <c r="M603" s="469">
        <v>2016</v>
      </c>
      <c r="N603" s="469">
        <v>2017</v>
      </c>
      <c r="O603" s="469">
        <v>2018</v>
      </c>
      <c r="P603" s="469">
        <v>2019</v>
      </c>
      <c r="Q603" s="470">
        <v>2020</v>
      </c>
      <c r="R603" s="1492"/>
    </row>
    <row r="604" spans="1:18">
      <c r="A604" s="486" t="s">
        <v>87</v>
      </c>
      <c r="B604" s="487">
        <v>1659.3290000000002</v>
      </c>
      <c r="C604" s="487">
        <v>1648.798</v>
      </c>
      <c r="D604" s="487">
        <v>1598.3820000000001</v>
      </c>
      <c r="E604" s="487">
        <v>1525.5790000000002</v>
      </c>
      <c r="F604" s="487">
        <v>1456.93</v>
      </c>
      <c r="G604" s="487">
        <v>1411.4479999999999</v>
      </c>
      <c r="H604" s="487">
        <v>1394.42</v>
      </c>
      <c r="I604" s="487">
        <v>1398.8440000000001</v>
      </c>
      <c r="J604" s="487">
        <v>1416.759</v>
      </c>
      <c r="K604" s="487">
        <v>1435.529</v>
      </c>
      <c r="L604" s="487">
        <v>1446.0219999999999</v>
      </c>
      <c r="M604" s="487">
        <v>1446.027</v>
      </c>
      <c r="N604" s="487">
        <v>1438.9090000000001</v>
      </c>
      <c r="O604" s="487">
        <v>1427.645</v>
      </c>
      <c r="P604" s="487">
        <v>1417.0809999999999</v>
      </c>
      <c r="Q604" s="487">
        <v>1410.5619999999999</v>
      </c>
    </row>
    <row r="605" spans="1:18">
      <c r="A605" s="488" t="s">
        <v>88</v>
      </c>
      <c r="B605" s="489">
        <v>1546.748</v>
      </c>
      <c r="C605" s="489">
        <v>1537.779</v>
      </c>
      <c r="D605" s="489">
        <v>1512.999</v>
      </c>
      <c r="E605" s="489">
        <v>1479.577</v>
      </c>
      <c r="F605" s="489">
        <v>1448.6309999999999</v>
      </c>
      <c r="G605" s="489">
        <v>1428.0909999999999</v>
      </c>
      <c r="H605" s="489">
        <v>1419.934</v>
      </c>
      <c r="I605" s="489">
        <v>1420.9549999999999</v>
      </c>
      <c r="J605" s="489">
        <v>1427.7460000000001</v>
      </c>
      <c r="K605" s="489">
        <v>1434.991</v>
      </c>
      <c r="L605" s="489">
        <v>1438.828</v>
      </c>
      <c r="M605" s="489">
        <v>1438.202</v>
      </c>
      <c r="N605" s="489">
        <v>1434.415</v>
      </c>
      <c r="O605" s="489">
        <v>1428.7429999999999</v>
      </c>
      <c r="P605" s="489">
        <v>1423.2940000000001</v>
      </c>
      <c r="Q605" s="489">
        <v>1419.4870000000001</v>
      </c>
    </row>
    <row r="606" spans="1:18">
      <c r="A606" s="488" t="s">
        <v>89</v>
      </c>
      <c r="B606" s="489">
        <v>1474.2049999999999</v>
      </c>
      <c r="C606" s="489">
        <v>1464.2339999999999</v>
      </c>
      <c r="D606" s="489">
        <v>1455.9569999999999</v>
      </c>
      <c r="E606" s="489">
        <v>1449.1849999999999</v>
      </c>
      <c r="F606" s="489">
        <v>1443.9839999999999</v>
      </c>
      <c r="G606" s="489">
        <v>1440.325</v>
      </c>
      <c r="H606" s="489">
        <v>1437.877</v>
      </c>
      <c r="I606" s="489">
        <v>1436.183</v>
      </c>
      <c r="J606" s="489">
        <v>1434.9929999999999</v>
      </c>
      <c r="K606" s="489">
        <v>1434.08</v>
      </c>
      <c r="L606" s="489">
        <v>1433.2470000000001</v>
      </c>
      <c r="M606" s="489">
        <v>1432.229</v>
      </c>
      <c r="N606" s="489">
        <v>1430.877</v>
      </c>
      <c r="O606" s="489">
        <v>1429.2570000000001</v>
      </c>
      <c r="P606" s="489">
        <v>1427.5260000000001</v>
      </c>
      <c r="Q606" s="489">
        <v>1425.749</v>
      </c>
    </row>
    <row r="607" spans="1:18">
      <c r="A607" s="488" t="s">
        <v>90</v>
      </c>
      <c r="B607" s="489">
        <v>1436.76</v>
      </c>
      <c r="C607" s="489">
        <v>1423.732</v>
      </c>
      <c r="D607" s="489">
        <v>1424.0940000000001</v>
      </c>
      <c r="E607" s="489">
        <v>1432.9059999999999</v>
      </c>
      <c r="F607" s="489">
        <v>1443.011</v>
      </c>
      <c r="G607" s="489">
        <v>1449.183</v>
      </c>
      <c r="H607" s="489">
        <v>1449.655</v>
      </c>
      <c r="I607" s="489">
        <v>1445.799</v>
      </c>
      <c r="J607" s="489">
        <v>1439.31</v>
      </c>
      <c r="K607" s="489">
        <v>1433.1129999999998</v>
      </c>
      <c r="L607" s="489">
        <v>1429.2809999999999</v>
      </c>
      <c r="M607" s="489">
        <v>1428.0309999999999</v>
      </c>
      <c r="N607" s="489">
        <v>1428.2930000000001</v>
      </c>
      <c r="O607" s="489">
        <v>1429.3440000000001</v>
      </c>
      <c r="P607" s="489">
        <v>1430.0929999999998</v>
      </c>
      <c r="Q607" s="489">
        <v>1429.7269999999999</v>
      </c>
    </row>
    <row r="608" spans="1:18">
      <c r="A608" s="488" t="s">
        <v>91</v>
      </c>
      <c r="B608" s="489">
        <v>1429.4659999999999</v>
      </c>
      <c r="C608" s="489">
        <v>1411.84</v>
      </c>
      <c r="D608" s="489">
        <v>1414.2429999999999</v>
      </c>
      <c r="E608" s="489">
        <v>1429.229</v>
      </c>
      <c r="F608" s="489">
        <v>1445.73</v>
      </c>
      <c r="G608" s="489">
        <v>1455.6959999999999</v>
      </c>
      <c r="H608" s="489">
        <v>1456.673</v>
      </c>
      <c r="I608" s="489">
        <v>1451.067</v>
      </c>
      <c r="J608" s="489">
        <v>1441.498</v>
      </c>
      <c r="K608" s="489">
        <v>1432.4029999999998</v>
      </c>
      <c r="L608" s="489">
        <v>1426.9279999999999</v>
      </c>
      <c r="M608" s="489">
        <v>1425.527</v>
      </c>
      <c r="N608" s="489">
        <v>1426.6559999999999</v>
      </c>
      <c r="O608" s="489">
        <v>1429.165</v>
      </c>
      <c r="P608" s="489">
        <v>1431.3040000000001</v>
      </c>
      <c r="Q608" s="489">
        <v>1431.799</v>
      </c>
    </row>
    <row r="609" spans="1:17">
      <c r="A609" s="488" t="s">
        <v>92</v>
      </c>
      <c r="B609" s="489">
        <v>1447.386</v>
      </c>
      <c r="C609" s="489">
        <v>1424.1289999999999</v>
      </c>
      <c r="D609" s="489">
        <v>1423.2380000000001</v>
      </c>
      <c r="E609" s="489">
        <v>1436.65</v>
      </c>
      <c r="F609" s="489">
        <v>1452.1590000000001</v>
      </c>
      <c r="G609" s="489">
        <v>1460.896</v>
      </c>
      <c r="H609" s="489">
        <v>1460.3389999999999</v>
      </c>
      <c r="I609" s="489">
        <v>1453.2619999999999</v>
      </c>
      <c r="J609" s="489">
        <v>1442.3690000000001</v>
      </c>
      <c r="K609" s="489">
        <v>1432.261</v>
      </c>
      <c r="L609" s="489">
        <v>1426.194</v>
      </c>
      <c r="M609" s="489">
        <v>1424.6390000000001</v>
      </c>
      <c r="N609" s="489">
        <v>1425.963</v>
      </c>
      <c r="O609" s="489">
        <v>1428.884</v>
      </c>
      <c r="P609" s="489">
        <v>1431.4739999999999</v>
      </c>
      <c r="Q609" s="489">
        <v>1432.3380000000002</v>
      </c>
    </row>
    <row r="610" spans="1:17">
      <c r="A610" s="488" t="s">
        <v>93</v>
      </c>
      <c r="B610" s="489">
        <v>1485.578</v>
      </c>
      <c r="C610" s="489">
        <v>1456.163</v>
      </c>
      <c r="D610" s="489">
        <v>1447.9180000000001</v>
      </c>
      <c r="E610" s="489">
        <v>1453.664</v>
      </c>
      <c r="F610" s="489">
        <v>1462.3220000000001</v>
      </c>
      <c r="G610" s="489">
        <v>1465.816</v>
      </c>
      <c r="H610" s="489">
        <v>1462.06</v>
      </c>
      <c r="I610" s="489">
        <v>1453.6480000000001</v>
      </c>
      <c r="J610" s="489">
        <v>1442.723</v>
      </c>
      <c r="K610" s="489">
        <v>1432.999</v>
      </c>
      <c r="L610" s="489">
        <v>1427.078</v>
      </c>
      <c r="M610" s="489">
        <v>1425.2910000000002</v>
      </c>
      <c r="N610" s="489">
        <v>1426.2109999999998</v>
      </c>
      <c r="O610" s="489">
        <v>1428.6610000000001</v>
      </c>
      <c r="P610" s="489">
        <v>1430.9180000000001</v>
      </c>
      <c r="Q610" s="489">
        <v>1431.7280000000001</v>
      </c>
    </row>
    <row r="611" spans="1:17">
      <c r="A611" s="488" t="s">
        <v>94</v>
      </c>
      <c r="B611" s="489">
        <v>1539.096</v>
      </c>
      <c r="C611" s="489">
        <v>1503.5150000000001</v>
      </c>
      <c r="D611" s="489">
        <v>1485.115</v>
      </c>
      <c r="E611" s="489">
        <v>1478.7640000000001</v>
      </c>
      <c r="F611" s="489">
        <v>1476.232</v>
      </c>
      <c r="G611" s="489">
        <v>1471.489</v>
      </c>
      <c r="H611" s="489">
        <v>1463.239</v>
      </c>
      <c r="I611" s="489">
        <v>1453.4940000000001</v>
      </c>
      <c r="J611" s="489">
        <v>1443.3719999999998</v>
      </c>
      <c r="K611" s="489">
        <v>1434.9349999999999</v>
      </c>
      <c r="L611" s="489">
        <v>1429.5839999999998</v>
      </c>
      <c r="M611" s="489">
        <v>1427.3989999999999</v>
      </c>
      <c r="N611" s="489">
        <v>1427.3920000000001</v>
      </c>
      <c r="O611" s="489">
        <v>1428.6579999999999</v>
      </c>
      <c r="P611" s="489">
        <v>1429.9449999999999</v>
      </c>
      <c r="Q611" s="489">
        <v>1430.34</v>
      </c>
    </row>
    <row r="612" spans="1:17">
      <c r="A612" s="488" t="s">
        <v>95</v>
      </c>
      <c r="B612" s="489">
        <v>1603</v>
      </c>
      <c r="C612" s="489">
        <v>1561.752</v>
      </c>
      <c r="D612" s="489">
        <v>1531.665</v>
      </c>
      <c r="E612" s="489">
        <v>1510.4490000000001</v>
      </c>
      <c r="F612" s="489">
        <v>1493.914</v>
      </c>
      <c r="G612" s="489">
        <v>1478.9449999999999</v>
      </c>
      <c r="H612" s="489">
        <v>1465.2850000000001</v>
      </c>
      <c r="I612" s="489">
        <v>1454.0729999999999</v>
      </c>
      <c r="J612" s="489">
        <v>1445.1210000000001</v>
      </c>
      <c r="K612" s="489">
        <v>1438.375</v>
      </c>
      <c r="L612" s="489">
        <v>1433.7060000000001</v>
      </c>
      <c r="M612" s="489">
        <v>1430.8890000000001</v>
      </c>
      <c r="N612" s="489">
        <v>1429.5059999999999</v>
      </c>
      <c r="O612" s="489">
        <v>1429.0340000000001</v>
      </c>
      <c r="P612" s="489">
        <v>1428.8710000000001</v>
      </c>
      <c r="Q612" s="489">
        <v>1428.5540000000001</v>
      </c>
    </row>
    <row r="613" spans="1:17">
      <c r="A613" s="488" t="s">
        <v>96</v>
      </c>
      <c r="B613" s="489">
        <v>1672.35</v>
      </c>
      <c r="C613" s="489">
        <v>1626.441</v>
      </c>
      <c r="D613" s="489">
        <v>1584.404</v>
      </c>
      <c r="E613" s="489">
        <v>1547.2069999999999</v>
      </c>
      <c r="F613" s="489">
        <v>1515.3829999999998</v>
      </c>
      <c r="G613" s="489">
        <v>1489.2180000000001</v>
      </c>
      <c r="H613" s="489">
        <v>1469.6020000000001</v>
      </c>
      <c r="I613" s="489">
        <v>1456.6480000000001</v>
      </c>
      <c r="J613" s="489">
        <v>1448.7730000000001</v>
      </c>
      <c r="K613" s="489">
        <v>1443.6370000000002</v>
      </c>
      <c r="L613" s="489">
        <v>1439.4549999999999</v>
      </c>
      <c r="M613" s="489">
        <v>1435.681</v>
      </c>
      <c r="N613" s="489">
        <v>1432.546</v>
      </c>
      <c r="O613" s="489">
        <v>1429.9549999999999</v>
      </c>
      <c r="P613" s="489">
        <v>1428.011</v>
      </c>
      <c r="Q613" s="489">
        <v>1426.7489999999998</v>
      </c>
    </row>
    <row r="614" spans="1:17">
      <c r="A614" s="488" t="s">
        <v>97</v>
      </c>
      <c r="B614" s="489">
        <v>1748.521</v>
      </c>
      <c r="C614" s="489">
        <v>1697.788</v>
      </c>
      <c r="D614" s="489">
        <v>1641.953</v>
      </c>
      <c r="E614" s="489">
        <v>1586.03</v>
      </c>
      <c r="F614" s="489">
        <v>1536.415</v>
      </c>
      <c r="G614" s="489">
        <v>1497.6179999999999</v>
      </c>
      <c r="H614" s="489">
        <v>1471.9490000000001</v>
      </c>
      <c r="I614" s="489">
        <v>1458.191</v>
      </c>
      <c r="J614" s="489">
        <v>1452.912</v>
      </c>
      <c r="K614" s="489">
        <v>1450.787</v>
      </c>
      <c r="L614" s="489">
        <v>1447.8760000000002</v>
      </c>
      <c r="M614" s="489">
        <v>1443.184</v>
      </c>
      <c r="N614" s="489">
        <v>1437.7860000000001</v>
      </c>
      <c r="O614" s="489">
        <v>1432.232</v>
      </c>
      <c r="P614" s="489">
        <v>1427.693</v>
      </c>
      <c r="Q614" s="489">
        <v>1424.9459999999999</v>
      </c>
    </row>
    <row r="615" spans="1:17">
      <c r="A615" s="488" t="s">
        <v>98</v>
      </c>
      <c r="B615" s="489">
        <v>1832.8969999999999</v>
      </c>
      <c r="C615" s="489">
        <v>1776</v>
      </c>
      <c r="D615" s="489">
        <v>1702.9369999999999</v>
      </c>
      <c r="E615" s="489">
        <v>1623.8989999999999</v>
      </c>
      <c r="F615" s="489">
        <v>1552.7809999999999</v>
      </c>
      <c r="G615" s="489">
        <v>1499.4560000000001</v>
      </c>
      <c r="H615" s="489">
        <v>1468.0840000000001</v>
      </c>
      <c r="I615" s="489">
        <v>1455.671</v>
      </c>
      <c r="J615" s="489">
        <v>1456.115</v>
      </c>
      <c r="K615" s="489">
        <v>1459.8870000000002</v>
      </c>
      <c r="L615" s="489">
        <v>1460.0230000000001</v>
      </c>
      <c r="M615" s="489">
        <v>1454.8139999999999</v>
      </c>
      <c r="N615" s="489">
        <v>1446.4940000000001</v>
      </c>
      <c r="O615" s="489">
        <v>1436.683</v>
      </c>
      <c r="P615" s="489">
        <v>1428.2449999999999</v>
      </c>
      <c r="Q615" s="489">
        <v>1423.17</v>
      </c>
    </row>
    <row r="616" spans="1:17">
      <c r="A616" s="488" t="s">
        <v>99</v>
      </c>
      <c r="B616" s="489">
        <v>1888.925</v>
      </c>
      <c r="C616" s="489">
        <v>1833.4589999999998</v>
      </c>
      <c r="D616" s="489">
        <v>1755.25</v>
      </c>
      <c r="E616" s="489">
        <v>1666.856</v>
      </c>
      <c r="F616" s="489">
        <v>1585.7330000000002</v>
      </c>
      <c r="G616" s="489">
        <v>1524.374</v>
      </c>
      <c r="H616" s="489">
        <v>1487.655</v>
      </c>
      <c r="I616" s="489">
        <v>1471.856</v>
      </c>
      <c r="J616" s="489">
        <v>1470.3240000000001</v>
      </c>
      <c r="K616" s="489">
        <v>1472.4880000000001</v>
      </c>
      <c r="L616" s="489">
        <v>1470.644</v>
      </c>
      <c r="M616" s="489">
        <v>1463.037</v>
      </c>
      <c r="N616" s="489">
        <v>1452.2910000000002</v>
      </c>
      <c r="O616" s="489">
        <v>1440.1990000000001</v>
      </c>
      <c r="P616" s="489">
        <v>1429.9009999999998</v>
      </c>
      <c r="Q616" s="489">
        <v>1423.567</v>
      </c>
    </row>
    <row r="617" spans="1:17">
      <c r="A617" s="488" t="s">
        <v>100</v>
      </c>
      <c r="B617" s="489">
        <v>1899.0140000000001</v>
      </c>
      <c r="C617" s="489">
        <v>1856.4639999999999</v>
      </c>
      <c r="D617" s="489">
        <v>1792.153</v>
      </c>
      <c r="E617" s="489">
        <v>1716.413</v>
      </c>
      <c r="F617" s="489">
        <v>1643.788</v>
      </c>
      <c r="G617" s="489">
        <v>1584.848</v>
      </c>
      <c r="H617" s="489">
        <v>1543.3609999999999</v>
      </c>
      <c r="I617" s="489">
        <v>1516.6170000000002</v>
      </c>
      <c r="J617" s="489">
        <v>1500.797</v>
      </c>
      <c r="K617" s="489">
        <v>1489.3969999999999</v>
      </c>
      <c r="L617" s="489">
        <v>1477.6419999999998</v>
      </c>
      <c r="M617" s="489">
        <v>1464.798</v>
      </c>
      <c r="N617" s="489">
        <v>1452.6179999999999</v>
      </c>
      <c r="O617" s="489">
        <v>1441.635</v>
      </c>
      <c r="P617" s="489">
        <v>1432.941</v>
      </c>
      <c r="Q617" s="489">
        <v>1427.2159999999999</v>
      </c>
    </row>
    <row r="618" spans="1:17">
      <c r="A618" s="488" t="s">
        <v>101</v>
      </c>
      <c r="B618" s="489">
        <v>1877.193</v>
      </c>
      <c r="C618" s="489">
        <v>1854.491</v>
      </c>
      <c r="D618" s="489">
        <v>1815.8420000000001</v>
      </c>
      <c r="E618" s="489">
        <v>1766.539</v>
      </c>
      <c r="F618" s="489">
        <v>1714.22</v>
      </c>
      <c r="G618" s="489">
        <v>1664.7460000000001</v>
      </c>
      <c r="H618" s="489">
        <v>1619.6680000000001</v>
      </c>
      <c r="I618" s="489">
        <v>1578.3209999999999</v>
      </c>
      <c r="J618" s="489">
        <v>1541.662</v>
      </c>
      <c r="K618" s="489">
        <v>1510.1860000000001</v>
      </c>
      <c r="L618" s="489">
        <v>1484.1689999999999</v>
      </c>
      <c r="M618" s="489">
        <v>1464.4879999999998</v>
      </c>
      <c r="N618" s="489">
        <v>1451.298</v>
      </c>
      <c r="O618" s="489">
        <v>1443.115</v>
      </c>
      <c r="P618" s="489">
        <v>1437.7249999999999</v>
      </c>
      <c r="Q618" s="489">
        <v>1433.4359999999999</v>
      </c>
    </row>
    <row r="619" spans="1:17">
      <c r="A619" s="488" t="s">
        <v>102</v>
      </c>
      <c r="B619" s="489">
        <v>1857.3960000000002</v>
      </c>
      <c r="C619" s="489">
        <v>1853.4949999999999</v>
      </c>
      <c r="D619" s="489">
        <v>1838.4259999999999</v>
      </c>
      <c r="E619" s="489">
        <v>1813.0440000000001</v>
      </c>
      <c r="F619" s="489">
        <v>1778.962</v>
      </c>
      <c r="G619" s="489">
        <v>1737.933</v>
      </c>
      <c r="H619" s="489">
        <v>1689.51</v>
      </c>
      <c r="I619" s="489">
        <v>1634.84</v>
      </c>
      <c r="J619" s="489">
        <v>1579.2470000000001</v>
      </c>
      <c r="K619" s="489">
        <v>1529.616</v>
      </c>
      <c r="L619" s="489">
        <v>1490.828</v>
      </c>
      <c r="M619" s="489">
        <v>1465.259</v>
      </c>
      <c r="N619" s="489">
        <v>1451.6019999999999</v>
      </c>
      <c r="O619" s="489">
        <v>1446.43</v>
      </c>
      <c r="P619" s="489">
        <v>1444.3890000000001</v>
      </c>
      <c r="Q619" s="489">
        <v>1441.5259999999998</v>
      </c>
    </row>
    <row r="620" spans="1:17">
      <c r="A620" s="488" t="s">
        <v>103</v>
      </c>
      <c r="B620" s="489">
        <v>1835.624</v>
      </c>
      <c r="C620" s="489">
        <v>1851.61</v>
      </c>
      <c r="D620" s="489">
        <v>1861.28</v>
      </c>
      <c r="E620" s="489">
        <v>1860.798</v>
      </c>
      <c r="F620" s="489">
        <v>1845.4259999999999</v>
      </c>
      <c r="G620" s="489">
        <v>1812.605</v>
      </c>
      <c r="H620" s="489">
        <v>1759.7159999999999</v>
      </c>
      <c r="I620" s="489">
        <v>1689.848</v>
      </c>
      <c r="J620" s="489">
        <v>1613.2429999999999</v>
      </c>
      <c r="K620" s="489">
        <v>1543.9349999999999</v>
      </c>
      <c r="L620" s="489">
        <v>1491.924</v>
      </c>
      <c r="M620" s="489">
        <v>1461.33</v>
      </c>
      <c r="N620" s="489">
        <v>1449.144</v>
      </c>
      <c r="O620" s="489">
        <v>1449.45</v>
      </c>
      <c r="P620" s="489">
        <v>1452.962</v>
      </c>
      <c r="Q620" s="489">
        <v>1452.902</v>
      </c>
    </row>
    <row r="621" spans="1:17">
      <c r="A621" s="488" t="s">
        <v>104</v>
      </c>
      <c r="B621" s="489">
        <v>1802.2180000000001</v>
      </c>
      <c r="C621" s="489">
        <v>1831.5729999999999</v>
      </c>
      <c r="D621" s="489">
        <v>1858.528</v>
      </c>
      <c r="E621" s="489">
        <v>1876.431</v>
      </c>
      <c r="F621" s="489">
        <v>1876.671</v>
      </c>
      <c r="G621" s="489">
        <v>1853.9659999999999</v>
      </c>
      <c r="H621" s="489">
        <v>1804.5909999999999</v>
      </c>
      <c r="I621" s="489">
        <v>1732.5889999999999</v>
      </c>
      <c r="J621" s="489">
        <v>1650.0350000000001</v>
      </c>
      <c r="K621" s="489">
        <v>1573.7930000000001</v>
      </c>
      <c r="L621" s="489">
        <v>1515.95</v>
      </c>
      <c r="M621" s="489">
        <v>1481.1509999999998</v>
      </c>
      <c r="N621" s="489">
        <v>1465.827</v>
      </c>
      <c r="O621" s="489">
        <v>1463.79</v>
      </c>
      <c r="P621" s="489">
        <v>1465.162</v>
      </c>
      <c r="Q621" s="489">
        <v>1462.7469999999998</v>
      </c>
    </row>
    <row r="622" spans="1:17">
      <c r="A622" s="488" t="s">
        <v>105</v>
      </c>
      <c r="B622" s="489">
        <v>1756.675</v>
      </c>
      <c r="C622" s="489">
        <v>1788.451</v>
      </c>
      <c r="D622" s="489">
        <v>1819.7069999999999</v>
      </c>
      <c r="E622" s="489">
        <v>1844.181</v>
      </c>
      <c r="F622" s="489">
        <v>1853.6860000000001</v>
      </c>
      <c r="G622" s="489">
        <v>1842.9849999999999</v>
      </c>
      <c r="H622" s="489">
        <v>1809.057</v>
      </c>
      <c r="I622" s="489">
        <v>1755.2170000000001</v>
      </c>
      <c r="J622" s="489">
        <v>1690.434</v>
      </c>
      <c r="K622" s="489">
        <v>1627.3920000000001</v>
      </c>
      <c r="L622" s="489">
        <v>1575.356</v>
      </c>
      <c r="M622" s="489">
        <v>1537.548</v>
      </c>
      <c r="N622" s="489">
        <v>1511.6859999999999</v>
      </c>
      <c r="O622" s="489">
        <v>1494.8429999999998</v>
      </c>
      <c r="P622" s="489">
        <v>1481.8760000000002</v>
      </c>
      <c r="Q622" s="489">
        <v>1469.018</v>
      </c>
    </row>
    <row r="623" spans="1:17">
      <c r="A623" s="488" t="s">
        <v>106</v>
      </c>
      <c r="B623" s="489">
        <v>1703.2</v>
      </c>
      <c r="C623" s="489">
        <v>1730.153</v>
      </c>
      <c r="D623" s="489">
        <v>1757.069</v>
      </c>
      <c r="E623" s="489">
        <v>1780.154</v>
      </c>
      <c r="F623" s="489">
        <v>1794.422</v>
      </c>
      <c r="G623" s="489">
        <v>1796.4780000000001</v>
      </c>
      <c r="H623" s="489">
        <v>1785.13</v>
      </c>
      <c r="I623" s="489">
        <v>1761.9209999999998</v>
      </c>
      <c r="J623" s="489">
        <v>1729.672</v>
      </c>
      <c r="K623" s="489">
        <v>1692.5940000000001</v>
      </c>
      <c r="L623" s="489">
        <v>1654.1</v>
      </c>
      <c r="M623" s="489">
        <v>1614.8110000000001</v>
      </c>
      <c r="N623" s="489">
        <v>1574.8489999999999</v>
      </c>
      <c r="O623" s="489">
        <v>1536.5520000000001</v>
      </c>
      <c r="P623" s="489">
        <v>1502.5929999999998</v>
      </c>
      <c r="Q623" s="489">
        <v>1474.847</v>
      </c>
    </row>
    <row r="624" spans="1:17">
      <c r="A624" s="488" t="s">
        <v>107</v>
      </c>
      <c r="B624" s="489">
        <v>1645.9929999999999</v>
      </c>
      <c r="C624" s="489">
        <v>1669.4290000000001</v>
      </c>
      <c r="D624" s="489">
        <v>1693.9490000000001</v>
      </c>
      <c r="E624" s="489">
        <v>1717.6869999999999</v>
      </c>
      <c r="F624" s="489">
        <v>1738.107</v>
      </c>
      <c r="G624" s="489">
        <v>1753.1669999999999</v>
      </c>
      <c r="H624" s="489">
        <v>1763.231</v>
      </c>
      <c r="I624" s="489">
        <v>1768.328</v>
      </c>
      <c r="J624" s="489">
        <v>1765.798</v>
      </c>
      <c r="K624" s="489">
        <v>1752.325</v>
      </c>
      <c r="L624" s="489">
        <v>1726.145</v>
      </c>
      <c r="M624" s="489">
        <v>1685.519</v>
      </c>
      <c r="N624" s="489">
        <v>1632.7080000000001</v>
      </c>
      <c r="O624" s="489">
        <v>1574.895</v>
      </c>
      <c r="P624" s="489">
        <v>1521.9079999999999</v>
      </c>
      <c r="Q624" s="489">
        <v>1480.7950000000001</v>
      </c>
    </row>
    <row r="625" spans="1:17">
      <c r="A625" s="488" t="s">
        <v>108</v>
      </c>
      <c r="B625" s="489">
        <v>1583.5839999999998</v>
      </c>
      <c r="C625" s="489">
        <v>1603.6289999999999</v>
      </c>
      <c r="D625" s="489">
        <v>1626.43</v>
      </c>
      <c r="E625" s="489">
        <v>1651.876</v>
      </c>
      <c r="F625" s="489">
        <v>1679.625</v>
      </c>
      <c r="G625" s="489">
        <v>1708.7719999999999</v>
      </c>
      <c r="H625" s="489">
        <v>1741.2670000000001</v>
      </c>
      <c r="I625" s="489">
        <v>1775.64</v>
      </c>
      <c r="J625" s="489">
        <v>1803.5509999999999</v>
      </c>
      <c r="K625" s="489">
        <v>1813.92</v>
      </c>
      <c r="L625" s="489">
        <v>1799.6579999999999</v>
      </c>
      <c r="M625" s="489">
        <v>1756.4929999999999</v>
      </c>
      <c r="N625" s="489">
        <v>1688.951</v>
      </c>
      <c r="O625" s="489">
        <v>1609.5840000000001</v>
      </c>
      <c r="P625" s="489">
        <v>1536.095</v>
      </c>
      <c r="Q625" s="489">
        <v>1481.192</v>
      </c>
    </row>
    <row r="626" spans="1:17">
      <c r="A626" s="488" t="s">
        <v>109</v>
      </c>
      <c r="B626" s="489">
        <v>1531.58</v>
      </c>
      <c r="C626" s="489">
        <v>1547.2330000000002</v>
      </c>
      <c r="D626" s="489">
        <v>1565.8420000000001</v>
      </c>
      <c r="E626" s="489">
        <v>1589.143</v>
      </c>
      <c r="F626" s="489">
        <v>1619.1979999999999</v>
      </c>
      <c r="G626" s="489">
        <v>1656.5450000000001</v>
      </c>
      <c r="H626" s="489">
        <v>1704.259</v>
      </c>
      <c r="I626" s="489">
        <v>1759.6660000000002</v>
      </c>
      <c r="J626" s="489">
        <v>1810.701</v>
      </c>
      <c r="K626" s="489">
        <v>1841.11</v>
      </c>
      <c r="L626" s="489">
        <v>1840.1410000000001</v>
      </c>
      <c r="M626" s="489">
        <v>1802.1089999999999</v>
      </c>
      <c r="N626" s="489">
        <v>1732.779</v>
      </c>
      <c r="O626" s="489">
        <v>1646.9369999999999</v>
      </c>
      <c r="P626" s="489">
        <v>1565.7629999999999</v>
      </c>
      <c r="Q626" s="489">
        <v>1504.5219999999999</v>
      </c>
    </row>
    <row r="627" spans="1:17">
      <c r="A627" s="488" t="s">
        <v>110</v>
      </c>
      <c r="B627" s="489">
        <v>1497.9880000000001</v>
      </c>
      <c r="C627" s="489">
        <v>1508.7249999999999</v>
      </c>
      <c r="D627" s="489">
        <v>1520.441</v>
      </c>
      <c r="E627" s="489">
        <v>1536.625</v>
      </c>
      <c r="F627" s="489">
        <v>1561.7689999999998</v>
      </c>
      <c r="G627" s="489">
        <v>1598.144</v>
      </c>
      <c r="H627" s="489">
        <v>1649.095</v>
      </c>
      <c r="I627" s="489">
        <v>1711.3209999999999</v>
      </c>
      <c r="J627" s="489">
        <v>1772.39</v>
      </c>
      <c r="K627" s="489">
        <v>1815.3620000000001</v>
      </c>
      <c r="L627" s="489">
        <v>1828.732</v>
      </c>
      <c r="M627" s="489">
        <v>1807.269</v>
      </c>
      <c r="N627" s="489">
        <v>1756.26</v>
      </c>
      <c r="O627" s="489">
        <v>1687.6890000000001</v>
      </c>
      <c r="P627" s="489">
        <v>1619.0709999999999</v>
      </c>
      <c r="Q627" s="489">
        <v>1563.23</v>
      </c>
    </row>
    <row r="628" spans="1:17">
      <c r="A628" s="488" t="s">
        <v>111</v>
      </c>
      <c r="B628" s="489">
        <v>1476.6</v>
      </c>
      <c r="C628" s="489">
        <v>1482.31</v>
      </c>
      <c r="D628" s="489">
        <v>1485.759</v>
      </c>
      <c r="E628" s="489">
        <v>1492.0129999999999</v>
      </c>
      <c r="F628" s="489">
        <v>1507.8340000000001</v>
      </c>
      <c r="G628" s="489">
        <v>1537.2739999999999</v>
      </c>
      <c r="H628" s="489">
        <v>1583.393</v>
      </c>
      <c r="I628" s="489">
        <v>1642.6709999999998</v>
      </c>
      <c r="J628" s="489">
        <v>1704.5630000000001</v>
      </c>
      <c r="K628" s="489">
        <v>1754.471</v>
      </c>
      <c r="L628" s="489">
        <v>1782.1109999999999</v>
      </c>
      <c r="M628" s="489">
        <v>1783.8920000000001</v>
      </c>
      <c r="N628" s="489">
        <v>1763.519</v>
      </c>
      <c r="O628" s="489">
        <v>1727.056</v>
      </c>
      <c r="P628" s="489">
        <v>1683.905</v>
      </c>
      <c r="Q628" s="489">
        <v>1641.3020000000001</v>
      </c>
    </row>
    <row r="629" spans="1:17">
      <c r="A629" s="488" t="s">
        <v>112</v>
      </c>
      <c r="B629" s="489">
        <v>1453.2159999999999</v>
      </c>
      <c r="C629" s="489">
        <v>1453.3510000000001</v>
      </c>
      <c r="D629" s="489">
        <v>1448.1129999999998</v>
      </c>
      <c r="E629" s="489">
        <v>1444.2469999999998</v>
      </c>
      <c r="F629" s="489">
        <v>1450.9169999999999</v>
      </c>
      <c r="G629" s="489">
        <v>1474.0329999999999</v>
      </c>
      <c r="H629" s="489">
        <v>1516.4949999999999</v>
      </c>
      <c r="I629" s="489">
        <v>1574.4859999999999</v>
      </c>
      <c r="J629" s="489">
        <v>1638.875</v>
      </c>
      <c r="K629" s="489">
        <v>1696.7670000000001</v>
      </c>
      <c r="L629" s="489">
        <v>1738.681</v>
      </c>
      <c r="M629" s="489">
        <v>1762.423</v>
      </c>
      <c r="N629" s="489">
        <v>1770.3530000000001</v>
      </c>
      <c r="O629" s="489">
        <v>1763.2370000000001</v>
      </c>
      <c r="P629" s="489">
        <v>1743.268</v>
      </c>
      <c r="Q629" s="489">
        <v>1712.7249999999999</v>
      </c>
    </row>
    <row r="630" spans="1:17">
      <c r="A630" s="488" t="s">
        <v>113</v>
      </c>
      <c r="B630" s="489">
        <v>1430.6959999999999</v>
      </c>
      <c r="C630" s="489">
        <v>1424.347</v>
      </c>
      <c r="D630" s="489">
        <v>1409.0650000000001</v>
      </c>
      <c r="E630" s="489">
        <v>1393.5830000000001</v>
      </c>
      <c r="F630" s="489">
        <v>1389.8890000000001</v>
      </c>
      <c r="G630" s="489">
        <v>1406.037</v>
      </c>
      <c r="H630" s="489">
        <v>1444.873</v>
      </c>
      <c r="I630" s="489">
        <v>1502.152</v>
      </c>
      <c r="J630" s="489">
        <v>1570.0039999999999</v>
      </c>
      <c r="K630" s="489">
        <v>1636.9780000000001</v>
      </c>
      <c r="L630" s="489">
        <v>1694.192</v>
      </c>
      <c r="M630" s="489">
        <v>1740.8789999999999</v>
      </c>
      <c r="N630" s="489">
        <v>1778.0740000000001</v>
      </c>
      <c r="O630" s="489">
        <v>1801.0409999999999</v>
      </c>
      <c r="P630" s="489">
        <v>1804.5</v>
      </c>
      <c r="Q630" s="489">
        <v>1785.635</v>
      </c>
    </row>
    <row r="631" spans="1:17">
      <c r="A631" s="488" t="s">
        <v>114</v>
      </c>
      <c r="B631" s="489">
        <v>1408.6690000000001</v>
      </c>
      <c r="C631" s="489">
        <v>1399.4479999999999</v>
      </c>
      <c r="D631" s="489">
        <v>1379.788</v>
      </c>
      <c r="E631" s="489">
        <v>1358.8809999999999</v>
      </c>
      <c r="F631" s="489">
        <v>1349.3980000000001</v>
      </c>
      <c r="G631" s="489">
        <v>1360.047</v>
      </c>
      <c r="H631" s="489">
        <v>1393.2539999999999</v>
      </c>
      <c r="I631" s="489">
        <v>1444.9839999999999</v>
      </c>
      <c r="J631" s="489">
        <v>1509.3409999999999</v>
      </c>
      <c r="K631" s="489">
        <v>1577.4540000000002</v>
      </c>
      <c r="L631" s="489">
        <v>1642.009</v>
      </c>
      <c r="M631" s="489">
        <v>1703.4119999999998</v>
      </c>
      <c r="N631" s="489">
        <v>1761.453</v>
      </c>
      <c r="O631" s="489">
        <v>1807.578</v>
      </c>
      <c r="P631" s="489">
        <v>1831.2</v>
      </c>
      <c r="Q631" s="489">
        <v>1825.7249999999999</v>
      </c>
    </row>
    <row r="632" spans="1:17">
      <c r="A632" s="488" t="s">
        <v>115</v>
      </c>
      <c r="B632" s="489">
        <v>1385.5350000000001</v>
      </c>
      <c r="C632" s="489">
        <v>1379.1239999999998</v>
      </c>
      <c r="D632" s="489">
        <v>1364.104</v>
      </c>
      <c r="E632" s="489">
        <v>1347.8119999999999</v>
      </c>
      <c r="F632" s="489">
        <v>1340.317</v>
      </c>
      <c r="G632" s="489">
        <v>1348.663</v>
      </c>
      <c r="H632" s="489">
        <v>1374.383</v>
      </c>
      <c r="I632" s="489">
        <v>1414.559</v>
      </c>
      <c r="J632" s="489">
        <v>1466.0839999999998</v>
      </c>
      <c r="K632" s="489">
        <v>1524.0029999999999</v>
      </c>
      <c r="L632" s="489">
        <v>1583.798</v>
      </c>
      <c r="M632" s="489">
        <v>1646.5070000000001</v>
      </c>
      <c r="N632" s="489">
        <v>1710.9449999999999</v>
      </c>
      <c r="O632" s="489">
        <v>1767.7139999999999</v>
      </c>
      <c r="P632" s="489">
        <v>1804.7759999999998</v>
      </c>
      <c r="Q632" s="489">
        <v>1814.223</v>
      </c>
    </row>
    <row r="633" spans="1:17">
      <c r="A633" s="488" t="s">
        <v>116</v>
      </c>
      <c r="B633" s="489">
        <v>1362.394</v>
      </c>
      <c r="C633" s="489">
        <v>1362.4589999999998</v>
      </c>
      <c r="D633" s="489">
        <v>1357.837</v>
      </c>
      <c r="E633" s="489">
        <v>1352.5459999999998</v>
      </c>
      <c r="F633" s="489">
        <v>1352.028</v>
      </c>
      <c r="G633" s="489">
        <v>1360.204</v>
      </c>
      <c r="H633" s="489">
        <v>1377.4540000000002</v>
      </c>
      <c r="I633" s="489">
        <v>1402.521</v>
      </c>
      <c r="J633" s="489">
        <v>1435.5030000000002</v>
      </c>
      <c r="K633" s="489">
        <v>1476.077</v>
      </c>
      <c r="L633" s="489">
        <v>1523.2139999999999</v>
      </c>
      <c r="M633" s="489">
        <v>1578.21</v>
      </c>
      <c r="N633" s="489">
        <v>1639.125</v>
      </c>
      <c r="O633" s="489">
        <v>1697.7139999999999</v>
      </c>
      <c r="P633" s="489">
        <v>1743.097</v>
      </c>
      <c r="Q633" s="489">
        <v>1767.7190000000001</v>
      </c>
    </row>
    <row r="634" spans="1:17">
      <c r="A634" s="488" t="s">
        <v>117</v>
      </c>
      <c r="B634" s="489">
        <v>1341.1579999999999</v>
      </c>
      <c r="C634" s="489">
        <v>1347.3679999999999</v>
      </c>
      <c r="D634" s="489">
        <v>1352.3690000000001</v>
      </c>
      <c r="E634" s="489">
        <v>1357.0540000000001</v>
      </c>
      <c r="F634" s="489">
        <v>1362.498</v>
      </c>
      <c r="G634" s="489">
        <v>1369.71</v>
      </c>
      <c r="H634" s="489">
        <v>1377.902</v>
      </c>
      <c r="I634" s="489">
        <v>1387.442</v>
      </c>
      <c r="J634" s="489">
        <v>1401.7249999999999</v>
      </c>
      <c r="K634" s="489">
        <v>1425.1709999999998</v>
      </c>
      <c r="L634" s="489">
        <v>1460.28</v>
      </c>
      <c r="M634" s="489">
        <v>1508.7510000000002</v>
      </c>
      <c r="N634" s="489">
        <v>1567.798</v>
      </c>
      <c r="O634" s="489">
        <v>1629.8690000000001</v>
      </c>
      <c r="P634" s="489">
        <v>1684.61</v>
      </c>
      <c r="Q634" s="489">
        <v>1724.4079999999999</v>
      </c>
    </row>
    <row r="635" spans="1:17">
      <c r="A635" s="488" t="s">
        <v>118</v>
      </c>
      <c r="B635" s="489">
        <v>1320.5170000000001</v>
      </c>
      <c r="C635" s="489">
        <v>1333.4079999999999</v>
      </c>
      <c r="D635" s="489">
        <v>1348.6890000000001</v>
      </c>
      <c r="E635" s="489">
        <v>1363.91</v>
      </c>
      <c r="F635" s="489">
        <v>1375.491</v>
      </c>
      <c r="G635" s="489">
        <v>1381.355</v>
      </c>
      <c r="H635" s="489">
        <v>1379.4290000000001</v>
      </c>
      <c r="I635" s="489">
        <v>1371.825</v>
      </c>
      <c r="J635" s="489">
        <v>1365.596</v>
      </c>
      <c r="K635" s="489">
        <v>1370.405</v>
      </c>
      <c r="L635" s="489">
        <v>1392.636</v>
      </c>
      <c r="M635" s="489">
        <v>1434.4970000000001</v>
      </c>
      <c r="N635" s="489">
        <v>1492.2269999999999</v>
      </c>
      <c r="O635" s="489">
        <v>1558.7750000000001</v>
      </c>
      <c r="P635" s="489">
        <v>1624.02</v>
      </c>
      <c r="Q635" s="489">
        <v>1680.0540000000001</v>
      </c>
    </row>
    <row r="636" spans="1:17">
      <c r="A636" s="488" t="s">
        <v>119</v>
      </c>
      <c r="B636" s="489">
        <v>1303.9189999999999</v>
      </c>
      <c r="C636" s="489">
        <v>1322.2639999999999</v>
      </c>
      <c r="D636" s="489">
        <v>1345.5909999999999</v>
      </c>
      <c r="E636" s="489">
        <v>1369.0830000000001</v>
      </c>
      <c r="F636" s="489">
        <v>1385.855</v>
      </c>
      <c r="G636" s="489">
        <v>1391.596</v>
      </c>
      <c r="H636" s="489">
        <v>1383.48</v>
      </c>
      <c r="I636" s="489">
        <v>1364.7850000000001</v>
      </c>
      <c r="J636" s="489">
        <v>1344.6509999999998</v>
      </c>
      <c r="K636" s="489">
        <v>1335.768</v>
      </c>
      <c r="L636" s="489">
        <v>1346.866</v>
      </c>
      <c r="M636" s="489">
        <v>1380.279</v>
      </c>
      <c r="N636" s="489">
        <v>1431.9189999999999</v>
      </c>
      <c r="O636" s="489">
        <v>1495.989</v>
      </c>
      <c r="P636" s="489">
        <v>1563.77</v>
      </c>
      <c r="Q636" s="489">
        <v>1628.0709999999999</v>
      </c>
    </row>
    <row r="637" spans="1:17">
      <c r="A637" s="488" t="s">
        <v>120</v>
      </c>
      <c r="B637" s="489">
        <v>1292.9760000000001</v>
      </c>
      <c r="C637" s="489">
        <v>1314.279</v>
      </c>
      <c r="D637" s="489">
        <v>1341.3629999999998</v>
      </c>
      <c r="E637" s="489">
        <v>1368.7460000000001</v>
      </c>
      <c r="F637" s="489">
        <v>1388.596</v>
      </c>
      <c r="G637" s="489">
        <v>1395.8980000000001</v>
      </c>
      <c r="H637" s="489">
        <v>1387.921</v>
      </c>
      <c r="I637" s="489">
        <v>1368.146</v>
      </c>
      <c r="J637" s="489">
        <v>1345.2910000000002</v>
      </c>
      <c r="K637" s="489">
        <v>1331.547</v>
      </c>
      <c r="L637" s="489">
        <v>1335.4760000000001</v>
      </c>
      <c r="M637" s="489">
        <v>1359.0120000000002</v>
      </c>
      <c r="N637" s="489">
        <v>1398.6860000000001</v>
      </c>
      <c r="O637" s="489">
        <v>1450.865</v>
      </c>
      <c r="P637" s="489">
        <v>1509.7269999999999</v>
      </c>
      <c r="Q637" s="489">
        <v>1570.124</v>
      </c>
    </row>
    <row r="638" spans="1:17">
      <c r="A638" s="488" t="s">
        <v>121</v>
      </c>
      <c r="B638" s="489">
        <v>1285.319</v>
      </c>
      <c r="C638" s="489">
        <v>1308.0340000000001</v>
      </c>
      <c r="D638" s="489">
        <v>1336.1279999999999</v>
      </c>
      <c r="E638" s="489">
        <v>1364.5720000000001</v>
      </c>
      <c r="F638" s="489">
        <v>1386.1480000000001</v>
      </c>
      <c r="G638" s="489">
        <v>1396.15</v>
      </c>
      <c r="H638" s="489">
        <v>1392.49</v>
      </c>
      <c r="I638" s="489">
        <v>1378.2159999999999</v>
      </c>
      <c r="J638" s="489">
        <v>1360.0129999999999</v>
      </c>
      <c r="K638" s="489">
        <v>1347.297</v>
      </c>
      <c r="L638" s="489">
        <v>1346.857</v>
      </c>
      <c r="M638" s="489">
        <v>1359.8789999999999</v>
      </c>
      <c r="N638" s="489">
        <v>1384.1320000000001</v>
      </c>
      <c r="O638" s="489">
        <v>1418.634</v>
      </c>
      <c r="P638" s="489">
        <v>1461.3050000000001</v>
      </c>
      <c r="Q638" s="489">
        <v>1509.8240000000001</v>
      </c>
    </row>
    <row r="639" spans="1:17">
      <c r="A639" s="488" t="s">
        <v>122</v>
      </c>
      <c r="B639" s="489">
        <v>1276.5610000000001</v>
      </c>
      <c r="C639" s="489">
        <v>1301.3499999999999</v>
      </c>
      <c r="D639" s="489">
        <v>1331.3890000000001</v>
      </c>
      <c r="E639" s="489">
        <v>1361.8789999999999</v>
      </c>
      <c r="F639" s="489">
        <v>1385.8879999999999</v>
      </c>
      <c r="G639" s="489">
        <v>1398.7939999999999</v>
      </c>
      <c r="H639" s="489">
        <v>1399.067</v>
      </c>
      <c r="I639" s="489">
        <v>1389.424</v>
      </c>
      <c r="J639" s="489">
        <v>1374.72</v>
      </c>
      <c r="K639" s="489">
        <v>1361.902</v>
      </c>
      <c r="L639" s="489">
        <v>1356.204</v>
      </c>
      <c r="M639" s="489">
        <v>1358.0840000000001</v>
      </c>
      <c r="N639" s="489">
        <v>1366.4870000000001</v>
      </c>
      <c r="O639" s="489">
        <v>1383.1709999999998</v>
      </c>
      <c r="P639" s="489">
        <v>1409.885</v>
      </c>
      <c r="Q639" s="489">
        <v>1447.174</v>
      </c>
    </row>
    <row r="640" spans="1:17">
      <c r="A640" s="488" t="s">
        <v>123</v>
      </c>
      <c r="B640" s="489">
        <v>1267.086</v>
      </c>
      <c r="C640" s="489">
        <v>1294.1489999999999</v>
      </c>
      <c r="D640" s="489">
        <v>1326.4580000000001</v>
      </c>
      <c r="E640" s="489">
        <v>1359.3969999999999</v>
      </c>
      <c r="F640" s="489">
        <v>1386.2930000000001</v>
      </c>
      <c r="G640" s="489">
        <v>1402.5650000000001</v>
      </c>
      <c r="H640" s="489">
        <v>1407.2779999999998</v>
      </c>
      <c r="I640" s="489">
        <v>1402.81</v>
      </c>
      <c r="J640" s="489">
        <v>1392.0070000000001</v>
      </c>
      <c r="K640" s="489">
        <v>1379.1120000000001</v>
      </c>
      <c r="L640" s="489">
        <v>1367.6689999999999</v>
      </c>
      <c r="M640" s="489">
        <v>1357.297</v>
      </c>
      <c r="N640" s="489">
        <v>1348.2329999999999</v>
      </c>
      <c r="O640" s="489">
        <v>1345.3150000000001</v>
      </c>
      <c r="P640" s="489">
        <v>1354.598</v>
      </c>
      <c r="Q640" s="489">
        <v>1379.8209999999999</v>
      </c>
    </row>
    <row r="641" spans="1:17">
      <c r="A641" s="488" t="s">
        <v>124</v>
      </c>
      <c r="B641" s="489">
        <v>1255.0909999999999</v>
      </c>
      <c r="C641" s="489">
        <v>1284.6329999999998</v>
      </c>
      <c r="D641" s="489">
        <v>1318.9279999999999</v>
      </c>
      <c r="E641" s="489">
        <v>1353.7240000000002</v>
      </c>
      <c r="F641" s="489">
        <v>1382.8530000000001</v>
      </c>
      <c r="G641" s="489">
        <v>1401.999</v>
      </c>
      <c r="H641" s="489">
        <v>1410.6660000000002</v>
      </c>
      <c r="I641" s="489">
        <v>1410.86</v>
      </c>
      <c r="J641" s="489">
        <v>1403.9459999999999</v>
      </c>
      <c r="K641" s="489">
        <v>1392.135</v>
      </c>
      <c r="L641" s="489">
        <v>1377.6690000000001</v>
      </c>
      <c r="M641" s="489">
        <v>1359.6990000000001</v>
      </c>
      <c r="N641" s="489">
        <v>1339.3330000000001</v>
      </c>
      <c r="O641" s="489">
        <v>1323.115</v>
      </c>
      <c r="P641" s="489">
        <v>1319.5169999999998</v>
      </c>
      <c r="Q641" s="489">
        <v>1334.1659999999999</v>
      </c>
    </row>
    <row r="642" spans="1:17">
      <c r="A642" s="488" t="s">
        <v>125</v>
      </c>
      <c r="B642" s="489">
        <v>1239.0720000000001</v>
      </c>
      <c r="C642" s="489">
        <v>1271.508</v>
      </c>
      <c r="D642" s="489">
        <v>1307.623</v>
      </c>
      <c r="E642" s="489">
        <v>1343.6219999999998</v>
      </c>
      <c r="F642" s="489">
        <v>1374.0360000000001</v>
      </c>
      <c r="G642" s="489">
        <v>1395.02</v>
      </c>
      <c r="H642" s="489">
        <v>1406.1869999999999</v>
      </c>
      <c r="I642" s="489">
        <v>1409.2379999999998</v>
      </c>
      <c r="J642" s="489">
        <v>1405.085</v>
      </c>
      <c r="K642" s="489">
        <v>1395.306</v>
      </c>
      <c r="L642" s="489">
        <v>1381.66</v>
      </c>
      <c r="M642" s="489">
        <v>1363.4639999999999</v>
      </c>
      <c r="N642" s="489">
        <v>1341.9649999999999</v>
      </c>
      <c r="O642" s="489">
        <v>1323.19</v>
      </c>
      <c r="P642" s="489">
        <v>1314.9589999999998</v>
      </c>
      <c r="Q642" s="489">
        <v>1322.62</v>
      </c>
    </row>
    <row r="643" spans="1:17">
      <c r="A643" s="488" t="s">
        <v>126</v>
      </c>
      <c r="B643" s="489">
        <v>1219.346</v>
      </c>
      <c r="C643" s="489">
        <v>1254.9279999999999</v>
      </c>
      <c r="D643" s="489">
        <v>1292.7840000000001</v>
      </c>
      <c r="E643" s="489">
        <v>1329.624</v>
      </c>
      <c r="F643" s="489">
        <v>1360.7950000000001</v>
      </c>
      <c r="G643" s="489">
        <v>1383.0430000000001</v>
      </c>
      <c r="H643" s="489">
        <v>1395.875</v>
      </c>
      <c r="I643" s="489">
        <v>1400.7349999999999</v>
      </c>
      <c r="J643" s="489">
        <v>1398.7469999999998</v>
      </c>
      <c r="K643" s="489">
        <v>1391.748</v>
      </c>
      <c r="L643" s="489">
        <v>1381.5450000000001</v>
      </c>
      <c r="M643" s="489">
        <v>1368.02</v>
      </c>
      <c r="N643" s="489">
        <v>1352.078</v>
      </c>
      <c r="O643" s="489">
        <v>1337.8130000000001</v>
      </c>
      <c r="P643" s="489">
        <v>1330.4369999999999</v>
      </c>
      <c r="Q643" s="489">
        <v>1333.6510000000001</v>
      </c>
    </row>
    <row r="644" spans="1:17">
      <c r="A644" s="488" t="s">
        <v>127</v>
      </c>
      <c r="B644" s="489">
        <v>1198.364</v>
      </c>
      <c r="C644" s="489">
        <v>1236.846</v>
      </c>
      <c r="D644" s="489">
        <v>1276.1120000000001</v>
      </c>
      <c r="E644" s="489">
        <v>1313.52</v>
      </c>
      <c r="F644" s="489">
        <v>1345.4070000000002</v>
      </c>
      <c r="G644" s="489">
        <v>1369.2240000000002</v>
      </c>
      <c r="H644" s="489">
        <v>1384.462</v>
      </c>
      <c r="I644" s="489">
        <v>1392.213</v>
      </c>
      <c r="J644" s="489">
        <v>1393.5520000000001</v>
      </c>
      <c r="K644" s="489">
        <v>1390.202</v>
      </c>
      <c r="L644" s="489">
        <v>1383.76</v>
      </c>
      <c r="M644" s="489">
        <v>1374.5840000000001</v>
      </c>
      <c r="N644" s="489">
        <v>1363.34</v>
      </c>
      <c r="O644" s="489">
        <v>1352.4180000000001</v>
      </c>
      <c r="P644" s="489">
        <v>1344.7449999999999</v>
      </c>
      <c r="Q644" s="489">
        <v>1342.605</v>
      </c>
    </row>
    <row r="645" spans="1:17">
      <c r="A645" s="488" t="s">
        <v>128</v>
      </c>
      <c r="B645" s="489">
        <v>1176.403</v>
      </c>
      <c r="C645" s="489">
        <v>1217.472</v>
      </c>
      <c r="D645" s="489">
        <v>1257.6019999999999</v>
      </c>
      <c r="E645" s="489">
        <v>1294.9690000000001</v>
      </c>
      <c r="F645" s="489">
        <v>1327.171</v>
      </c>
      <c r="G645" s="489">
        <v>1352.5329999999999</v>
      </c>
      <c r="H645" s="489">
        <v>1370.586</v>
      </c>
      <c r="I645" s="489">
        <v>1381.9769999999999</v>
      </c>
      <c r="J645" s="489">
        <v>1387.6030000000001</v>
      </c>
      <c r="K645" s="489">
        <v>1388.8679999999999</v>
      </c>
      <c r="L645" s="489">
        <v>1387.0169999999998</v>
      </c>
      <c r="M645" s="489">
        <v>1382.8780000000002</v>
      </c>
      <c r="N645" s="489">
        <v>1376.912</v>
      </c>
      <c r="O645" s="489">
        <v>1369.664</v>
      </c>
      <c r="P645" s="489">
        <v>1361.624</v>
      </c>
      <c r="Q645" s="489">
        <v>1353.5819999999999</v>
      </c>
    </row>
    <row r="646" spans="1:17">
      <c r="A646" s="488" t="s">
        <v>129</v>
      </c>
      <c r="B646" s="489">
        <v>1147.4380000000001</v>
      </c>
      <c r="C646" s="489">
        <v>1191.47</v>
      </c>
      <c r="D646" s="489">
        <v>1233.6179999999999</v>
      </c>
      <c r="E646" s="489">
        <v>1272.49</v>
      </c>
      <c r="F646" s="489">
        <v>1306.3630000000001</v>
      </c>
      <c r="G646" s="489">
        <v>1334.0340000000001</v>
      </c>
      <c r="H646" s="489">
        <v>1354.98</v>
      </c>
      <c r="I646" s="489">
        <v>1369.587</v>
      </c>
      <c r="J646" s="489">
        <v>1378.7440000000001</v>
      </c>
      <c r="K646" s="489">
        <v>1383.837</v>
      </c>
      <c r="L646" s="489">
        <v>1385.982</v>
      </c>
      <c r="M646" s="489">
        <v>1386.336</v>
      </c>
      <c r="N646" s="489">
        <v>1385.124</v>
      </c>
      <c r="O646" s="489">
        <v>1381.5520000000001</v>
      </c>
      <c r="P646" s="489">
        <v>1374.328</v>
      </c>
      <c r="Q646" s="489">
        <v>1363.105</v>
      </c>
    </row>
    <row r="647" spans="1:17">
      <c r="A647" s="488" t="s">
        <v>130</v>
      </c>
      <c r="B647" s="489">
        <v>1108.961</v>
      </c>
      <c r="C647" s="489">
        <v>1156.5650000000001</v>
      </c>
      <c r="D647" s="489">
        <v>1202.625</v>
      </c>
      <c r="E647" s="489">
        <v>1245.528</v>
      </c>
      <c r="F647" s="489">
        <v>1283.2660000000001</v>
      </c>
      <c r="G647" s="489">
        <v>1314.441</v>
      </c>
      <c r="H647" s="489">
        <v>1338.348</v>
      </c>
      <c r="I647" s="489">
        <v>1355.3980000000001</v>
      </c>
      <c r="J647" s="489">
        <v>1366.711</v>
      </c>
      <c r="K647" s="489">
        <v>1374.011</v>
      </c>
      <c r="L647" s="489">
        <v>1378.6309999999999</v>
      </c>
      <c r="M647" s="489">
        <v>1381.777</v>
      </c>
      <c r="N647" s="489">
        <v>1383.4690000000001</v>
      </c>
      <c r="O647" s="489">
        <v>1382.54</v>
      </c>
      <c r="P647" s="489">
        <v>1377.192</v>
      </c>
      <c r="Q647" s="489">
        <v>1366.6949999999999</v>
      </c>
    </row>
    <row r="648" spans="1:17">
      <c r="A648" s="488" t="s">
        <v>131</v>
      </c>
      <c r="B648" s="489">
        <v>1063.7080000000001</v>
      </c>
      <c r="C648" s="489">
        <v>1115.1099999999999</v>
      </c>
      <c r="D648" s="489">
        <v>1166.1089999999999</v>
      </c>
      <c r="E648" s="489">
        <v>1214.4769999999999</v>
      </c>
      <c r="F648" s="489">
        <v>1257.3510000000001</v>
      </c>
      <c r="G648" s="489">
        <v>1292.7190000000001</v>
      </c>
      <c r="H648" s="489">
        <v>1319.644</v>
      </c>
      <c r="I648" s="489">
        <v>1338.7260000000001</v>
      </c>
      <c r="J648" s="489">
        <v>1351.4349999999999</v>
      </c>
      <c r="K648" s="489">
        <v>1360.0520000000001</v>
      </c>
      <c r="L648" s="489">
        <v>1366.307</v>
      </c>
      <c r="M648" s="489">
        <v>1371.28</v>
      </c>
      <c r="N648" s="489">
        <v>1374.8029999999999</v>
      </c>
      <c r="O648" s="489">
        <v>1375.9679999999998</v>
      </c>
      <c r="P648" s="489">
        <v>1373.3019999999999</v>
      </c>
      <c r="Q648" s="489">
        <v>1366.182</v>
      </c>
    </row>
    <row r="649" spans="1:17">
      <c r="A649" s="488" t="s">
        <v>132</v>
      </c>
      <c r="B649" s="489">
        <v>1017.278</v>
      </c>
      <c r="C649" s="489">
        <v>1072.0639999999999</v>
      </c>
      <c r="D649" s="489">
        <v>1127.51</v>
      </c>
      <c r="E649" s="489">
        <v>1180.845</v>
      </c>
      <c r="F649" s="489">
        <v>1228.45</v>
      </c>
      <c r="G649" s="489">
        <v>1267.779</v>
      </c>
      <c r="H649" s="489">
        <v>1297.6480000000001</v>
      </c>
      <c r="I649" s="489">
        <v>1318.83</v>
      </c>
      <c r="J649" s="489">
        <v>1333.1790000000001</v>
      </c>
      <c r="K649" s="489">
        <v>1343.5520000000001</v>
      </c>
      <c r="L649" s="489">
        <v>1352.09</v>
      </c>
      <c r="M649" s="489">
        <v>1359.789</v>
      </c>
      <c r="N649" s="489">
        <v>1366.2460000000001</v>
      </c>
      <c r="O649" s="489">
        <v>1370.5930000000001</v>
      </c>
      <c r="P649" s="489">
        <v>1371.3829999999998</v>
      </c>
      <c r="Q649" s="489">
        <v>1367.894</v>
      </c>
    </row>
    <row r="650" spans="1:17">
      <c r="A650" s="488" t="s">
        <v>133</v>
      </c>
      <c r="B650" s="489">
        <v>968.98299999999995</v>
      </c>
      <c r="C650" s="489">
        <v>1026.835</v>
      </c>
      <c r="D650" s="489">
        <v>1086.6400000000001</v>
      </c>
      <c r="E650" s="489">
        <v>1144.99</v>
      </c>
      <c r="F650" s="489">
        <v>1197.374</v>
      </c>
      <c r="G650" s="489">
        <v>1240.6099999999999</v>
      </c>
      <c r="H650" s="489">
        <v>1273.2310000000002</v>
      </c>
      <c r="I650" s="489">
        <v>1296.2280000000001</v>
      </c>
      <c r="J650" s="489">
        <v>1311.9490000000001</v>
      </c>
      <c r="K650" s="489">
        <v>1323.9949999999999</v>
      </c>
      <c r="L650" s="489">
        <v>1335.0129999999999</v>
      </c>
      <c r="M650" s="489">
        <v>1345.952</v>
      </c>
      <c r="N650" s="489">
        <v>1356.1</v>
      </c>
      <c r="O650" s="489">
        <v>1364.527</v>
      </c>
      <c r="P650" s="489">
        <v>1369.67</v>
      </c>
      <c r="Q650" s="489">
        <v>1370.5909999999999</v>
      </c>
    </row>
    <row r="651" spans="1:17">
      <c r="A651" s="488" t="s">
        <v>134</v>
      </c>
      <c r="B651" s="489">
        <v>919.79300000000001</v>
      </c>
      <c r="C651" s="489">
        <v>979.85400000000004</v>
      </c>
      <c r="D651" s="489">
        <v>1042.4839999999999</v>
      </c>
      <c r="E651" s="489">
        <v>1104.069</v>
      </c>
      <c r="F651" s="489">
        <v>1159.8139999999999</v>
      </c>
      <c r="G651" s="489">
        <v>1206.3389999999999</v>
      </c>
      <c r="H651" s="489">
        <v>1242.058</v>
      </c>
      <c r="I651" s="489">
        <v>1267.9859999999999</v>
      </c>
      <c r="J651" s="489">
        <v>1286.5740000000001</v>
      </c>
      <c r="K651" s="489">
        <v>1301.607</v>
      </c>
      <c r="L651" s="489">
        <v>1315.8430000000001</v>
      </c>
      <c r="M651" s="489">
        <v>1330.0909999999999</v>
      </c>
      <c r="N651" s="489">
        <v>1343.511</v>
      </c>
      <c r="O651" s="489">
        <v>1355.278</v>
      </c>
      <c r="P651" s="489">
        <v>1363.9960000000001</v>
      </c>
      <c r="Q651" s="489">
        <v>1368.7349999999999</v>
      </c>
    </row>
    <row r="652" spans="1:17">
      <c r="A652" s="488" t="s">
        <v>135</v>
      </c>
      <c r="B652" s="489">
        <v>870.89</v>
      </c>
      <c r="C652" s="489">
        <v>931.96600000000001</v>
      </c>
      <c r="D652" s="489">
        <v>995.05200000000002</v>
      </c>
      <c r="E652" s="489">
        <v>1057.0259999999998</v>
      </c>
      <c r="F652" s="489">
        <v>1113.857</v>
      </c>
      <c r="G652" s="489">
        <v>1162.675</v>
      </c>
      <c r="H652" s="489">
        <v>1202.05</v>
      </c>
      <c r="I652" s="489">
        <v>1232.6860000000001</v>
      </c>
      <c r="J652" s="489">
        <v>1256.518</v>
      </c>
      <c r="K652" s="489">
        <v>1276.596</v>
      </c>
      <c r="L652" s="489">
        <v>1295.153</v>
      </c>
      <c r="M652" s="489">
        <v>1312.7460000000001</v>
      </c>
      <c r="N652" s="489">
        <v>1328.6689999999999</v>
      </c>
      <c r="O652" s="489">
        <v>1342.43</v>
      </c>
      <c r="P652" s="489">
        <v>1353.1390000000001</v>
      </c>
      <c r="Q652" s="489">
        <v>1360.201</v>
      </c>
    </row>
    <row r="653" spans="1:17">
      <c r="A653" s="488" t="s">
        <v>136</v>
      </c>
      <c r="B653" s="489">
        <v>822.08799999999997</v>
      </c>
      <c r="C653" s="489">
        <v>883.16200000000003</v>
      </c>
      <c r="D653" s="489">
        <v>945.03199999999993</v>
      </c>
      <c r="E653" s="489">
        <v>1005.4829999999999</v>
      </c>
      <c r="F653" s="489">
        <v>1061.8579999999999</v>
      </c>
      <c r="G653" s="489">
        <v>1112.221</v>
      </c>
      <c r="H653" s="489">
        <v>1155.463</v>
      </c>
      <c r="I653" s="489">
        <v>1191.7819999999999</v>
      </c>
      <c r="J653" s="489">
        <v>1222.221</v>
      </c>
      <c r="K653" s="489">
        <v>1248.547</v>
      </c>
      <c r="L653" s="489">
        <v>1272.077</v>
      </c>
      <c r="M653" s="489">
        <v>1293.049</v>
      </c>
      <c r="N653" s="489">
        <v>1311.0630000000001</v>
      </c>
      <c r="O653" s="489">
        <v>1326.067</v>
      </c>
      <c r="P653" s="489">
        <v>1337.8870000000002</v>
      </c>
      <c r="Q653" s="489">
        <v>1346.44</v>
      </c>
    </row>
    <row r="654" spans="1:17">
      <c r="A654" s="488" t="s">
        <v>137</v>
      </c>
      <c r="B654" s="489">
        <v>773.23199999999997</v>
      </c>
      <c r="C654" s="489">
        <v>833.923</v>
      </c>
      <c r="D654" s="489">
        <v>894.31600000000003</v>
      </c>
      <c r="E654" s="489">
        <v>953.05700000000002</v>
      </c>
      <c r="F654" s="489">
        <v>1008.768</v>
      </c>
      <c r="G654" s="489">
        <v>1060.383</v>
      </c>
      <c r="H654" s="489">
        <v>1107.106</v>
      </c>
      <c r="I654" s="489">
        <v>1148.6709999999998</v>
      </c>
      <c r="J654" s="489">
        <v>1185.2850000000001</v>
      </c>
      <c r="K654" s="489">
        <v>1217.5140000000001</v>
      </c>
      <c r="L654" s="489">
        <v>1245.818</v>
      </c>
      <c r="M654" s="489">
        <v>1270.115</v>
      </c>
      <c r="N654" s="489">
        <v>1290.2820000000002</v>
      </c>
      <c r="O654" s="489">
        <v>1306.7530000000002</v>
      </c>
      <c r="P654" s="489">
        <v>1320.0970000000002</v>
      </c>
      <c r="Q654" s="489">
        <v>1330.7670000000001</v>
      </c>
    </row>
    <row r="655" spans="1:17">
      <c r="A655" s="488" t="s">
        <v>138</v>
      </c>
      <c r="B655" s="489">
        <v>725.83100000000002</v>
      </c>
      <c r="C655" s="489">
        <v>785.75700000000006</v>
      </c>
      <c r="D655" s="489">
        <v>843.98700000000008</v>
      </c>
      <c r="E655" s="489">
        <v>900.16200000000003</v>
      </c>
      <c r="F655" s="489">
        <v>954.40899999999999</v>
      </c>
      <c r="G655" s="489">
        <v>1006.694</v>
      </c>
      <c r="H655" s="489">
        <v>1056.587</v>
      </c>
      <c r="I655" s="489">
        <v>1103.3009999999999</v>
      </c>
      <c r="J655" s="489">
        <v>1146.127</v>
      </c>
      <c r="K655" s="489">
        <v>1184.296</v>
      </c>
      <c r="L655" s="489">
        <v>1217.3159999999998</v>
      </c>
      <c r="M655" s="489">
        <v>1244.7349999999999</v>
      </c>
      <c r="N655" s="489">
        <v>1266.769</v>
      </c>
      <c r="O655" s="489">
        <v>1284.4390000000001</v>
      </c>
      <c r="P655" s="489">
        <v>1299.221</v>
      </c>
      <c r="Q655" s="489">
        <v>1312.1959999999999</v>
      </c>
    </row>
    <row r="656" spans="1:17">
      <c r="A656" s="488" t="s">
        <v>139</v>
      </c>
      <c r="B656" s="489">
        <v>676.17399999999998</v>
      </c>
      <c r="C656" s="489">
        <v>734.14200000000005</v>
      </c>
      <c r="D656" s="489">
        <v>790.32600000000002</v>
      </c>
      <c r="E656" s="489">
        <v>844.82899999999995</v>
      </c>
      <c r="F656" s="489">
        <v>898.42200000000003</v>
      </c>
      <c r="G656" s="489">
        <v>951.49800000000005</v>
      </c>
      <c r="H656" s="489">
        <v>1003.808</v>
      </c>
      <c r="I656" s="489">
        <v>1054.317</v>
      </c>
      <c r="J656" s="489">
        <v>1101.7719999999999</v>
      </c>
      <c r="K656" s="489">
        <v>1144.6370000000002</v>
      </c>
      <c r="L656" s="489">
        <v>1181.866</v>
      </c>
      <c r="M656" s="489">
        <v>1212.796</v>
      </c>
      <c r="N656" s="489">
        <v>1237.777</v>
      </c>
      <c r="O656" s="489">
        <v>1258.0640000000001</v>
      </c>
      <c r="P656" s="489">
        <v>1275.5150000000001</v>
      </c>
      <c r="Q656" s="489">
        <v>1291.479</v>
      </c>
    </row>
    <row r="657" spans="1:17">
      <c r="A657" s="488" t="s">
        <v>140</v>
      </c>
      <c r="B657" s="489">
        <v>622.89</v>
      </c>
      <c r="C657" s="489">
        <v>677.39100000000008</v>
      </c>
      <c r="D657" s="489">
        <v>732.15200000000004</v>
      </c>
      <c r="E657" s="489">
        <v>786.81399999999996</v>
      </c>
      <c r="F657" s="489">
        <v>841.39300000000003</v>
      </c>
      <c r="G657" s="489">
        <v>895.71600000000001</v>
      </c>
      <c r="H657" s="489">
        <v>949.40100000000007</v>
      </c>
      <c r="I657" s="489">
        <v>1001.587</v>
      </c>
      <c r="J657" s="489">
        <v>1051.1289999999999</v>
      </c>
      <c r="K657" s="489">
        <v>1096.682</v>
      </c>
      <c r="L657" s="489">
        <v>1137.3020000000001</v>
      </c>
      <c r="M657" s="489">
        <v>1172.3519999999999</v>
      </c>
      <c r="N657" s="489">
        <v>1202.009</v>
      </c>
      <c r="O657" s="489">
        <v>1227.173</v>
      </c>
      <c r="P657" s="489">
        <v>1249.241</v>
      </c>
      <c r="Q657" s="489">
        <v>1269.222</v>
      </c>
    </row>
    <row r="658" spans="1:17">
      <c r="A658" s="488" t="s">
        <v>141</v>
      </c>
      <c r="B658" s="489">
        <v>568.93899999999996</v>
      </c>
      <c r="C658" s="489">
        <v>618.85799999999995</v>
      </c>
      <c r="D658" s="489">
        <v>672.27300000000002</v>
      </c>
      <c r="E658" s="489">
        <v>727.85799999999995</v>
      </c>
      <c r="F658" s="489">
        <v>784.06099999999992</v>
      </c>
      <c r="G658" s="489">
        <v>839.58500000000004</v>
      </c>
      <c r="H658" s="489">
        <v>893.73199999999997</v>
      </c>
      <c r="I658" s="489">
        <v>946.07199999999989</v>
      </c>
      <c r="J658" s="489">
        <v>995.95399999999995</v>
      </c>
      <c r="K658" s="489">
        <v>1042.797</v>
      </c>
      <c r="L658" s="489">
        <v>1086.1479999999999</v>
      </c>
      <c r="M658" s="489">
        <v>1125.5540000000001</v>
      </c>
      <c r="N658" s="489">
        <v>1160.8290000000002</v>
      </c>
      <c r="O658" s="489">
        <v>1192.1659999999999</v>
      </c>
      <c r="P658" s="489">
        <v>1219.9739999999999</v>
      </c>
      <c r="Q658" s="489">
        <v>1244.569</v>
      </c>
    </row>
    <row r="659" spans="1:17">
      <c r="A659" s="488" t="s">
        <v>142</v>
      </c>
      <c r="B659" s="489">
        <v>517.32299999999998</v>
      </c>
      <c r="C659" s="489">
        <v>562.50600000000009</v>
      </c>
      <c r="D659" s="489">
        <v>614.178</v>
      </c>
      <c r="E659" s="489">
        <v>670.13300000000004</v>
      </c>
      <c r="F659" s="489">
        <v>727.38599999999997</v>
      </c>
      <c r="G659" s="489">
        <v>783.61599999999999</v>
      </c>
      <c r="H659" s="489">
        <v>837.84</v>
      </c>
      <c r="I659" s="489">
        <v>890.03499999999997</v>
      </c>
      <c r="J659" s="489">
        <v>940</v>
      </c>
      <c r="K659" s="489">
        <v>987.85500000000002</v>
      </c>
      <c r="L659" s="489">
        <v>1033.6010000000001</v>
      </c>
      <c r="M659" s="489">
        <v>1076.9560000000001</v>
      </c>
      <c r="N659" s="489">
        <v>1117.405</v>
      </c>
      <c r="O659" s="489">
        <v>1154.4839999999999</v>
      </c>
      <c r="P659" s="489">
        <v>1187.6949999999999</v>
      </c>
      <c r="Q659" s="489">
        <v>1216.7109999999998</v>
      </c>
    </row>
    <row r="660" spans="1:17">
      <c r="A660" s="488" t="s">
        <v>143</v>
      </c>
      <c r="B660" s="489">
        <v>465.82600000000002</v>
      </c>
      <c r="C660" s="489">
        <v>506.26</v>
      </c>
      <c r="D660" s="489">
        <v>556.55700000000002</v>
      </c>
      <c r="E660" s="489">
        <v>613.42200000000003</v>
      </c>
      <c r="F660" s="489">
        <v>672.13699999999994</v>
      </c>
      <c r="G660" s="489">
        <v>729.13200000000006</v>
      </c>
      <c r="H660" s="489">
        <v>783.07400000000007</v>
      </c>
      <c r="I660" s="489">
        <v>834.43399999999997</v>
      </c>
      <c r="J660" s="489">
        <v>883.61799999999994</v>
      </c>
      <c r="K660" s="489">
        <v>931.67</v>
      </c>
      <c r="L660" s="489">
        <v>979.21199999999999</v>
      </c>
      <c r="M660" s="489">
        <v>1026.1960000000001</v>
      </c>
      <c r="N660" s="489">
        <v>1071.712</v>
      </c>
      <c r="O660" s="489">
        <v>1114.5630000000001</v>
      </c>
      <c r="P660" s="489">
        <v>1153.202</v>
      </c>
      <c r="Q660" s="489">
        <v>1186.5639999999999</v>
      </c>
    </row>
    <row r="661" spans="1:17">
      <c r="A661" s="488" t="s">
        <v>144</v>
      </c>
      <c r="B661" s="489">
        <v>427.67899999999997</v>
      </c>
      <c r="C661" s="489">
        <v>462.47900000000004</v>
      </c>
      <c r="D661" s="489">
        <v>508.44</v>
      </c>
      <c r="E661" s="489">
        <v>562.09799999999996</v>
      </c>
      <c r="F661" s="489">
        <v>618.35899999999992</v>
      </c>
      <c r="G661" s="489">
        <v>673.39499999999998</v>
      </c>
      <c r="H661" s="489">
        <v>725.83500000000004</v>
      </c>
      <c r="I661" s="489">
        <v>776.31299999999999</v>
      </c>
      <c r="J661" s="489">
        <v>825.35300000000007</v>
      </c>
      <c r="K661" s="489">
        <v>874.16699999999992</v>
      </c>
      <c r="L661" s="489">
        <v>923.46</v>
      </c>
      <c r="M661" s="489">
        <v>973.24700000000007</v>
      </c>
      <c r="N661" s="489">
        <v>1022.4770000000001</v>
      </c>
      <c r="O661" s="489">
        <v>1069.56</v>
      </c>
      <c r="P661" s="489">
        <v>1112.433</v>
      </c>
      <c r="Q661" s="489">
        <v>1149.6510000000001</v>
      </c>
    </row>
    <row r="662" spans="1:17">
      <c r="A662" s="488" t="s">
        <v>145</v>
      </c>
      <c r="B662" s="489">
        <v>409.25</v>
      </c>
      <c r="C662" s="489">
        <v>437.30799999999999</v>
      </c>
      <c r="D662" s="489">
        <v>474.48699999999997</v>
      </c>
      <c r="E662" s="489">
        <v>518.63100000000009</v>
      </c>
      <c r="F662" s="489">
        <v>566.49400000000003</v>
      </c>
      <c r="G662" s="489">
        <v>615.55600000000004</v>
      </c>
      <c r="H662" s="489">
        <v>664.94900000000007</v>
      </c>
      <c r="I662" s="489">
        <v>714.89200000000005</v>
      </c>
      <c r="J662" s="489">
        <v>765.221</v>
      </c>
      <c r="K662" s="489">
        <v>816.05600000000004</v>
      </c>
      <c r="L662" s="489">
        <v>867.29600000000005</v>
      </c>
      <c r="M662" s="489">
        <v>918.73800000000006</v>
      </c>
      <c r="N662" s="489">
        <v>969.58</v>
      </c>
      <c r="O662" s="489">
        <v>1018.442</v>
      </c>
      <c r="P662" s="489">
        <v>1063.6220000000001</v>
      </c>
      <c r="Q662" s="489">
        <v>1103.903</v>
      </c>
    </row>
    <row r="663" spans="1:17">
      <c r="A663" s="488" t="s">
        <v>146</v>
      </c>
      <c r="B663" s="489">
        <v>404.05200000000002</v>
      </c>
      <c r="C663" s="489">
        <v>424.87400000000002</v>
      </c>
      <c r="D663" s="489">
        <v>450.74099999999999</v>
      </c>
      <c r="E663" s="489">
        <v>481.68200000000002</v>
      </c>
      <c r="F663" s="489">
        <v>517.57899999999995</v>
      </c>
      <c r="G663" s="489">
        <v>558.16399999999999</v>
      </c>
      <c r="H663" s="489">
        <v>603.35799999999995</v>
      </c>
      <c r="I663" s="489">
        <v>652.65100000000007</v>
      </c>
      <c r="J663" s="489">
        <v>704.74399999999991</v>
      </c>
      <c r="K663" s="489">
        <v>757.96100000000001</v>
      </c>
      <c r="L663" s="489">
        <v>810.91</v>
      </c>
      <c r="M663" s="489">
        <v>863.01499999999999</v>
      </c>
      <c r="N663" s="489">
        <v>913.94900000000007</v>
      </c>
      <c r="O663" s="489">
        <v>962.899</v>
      </c>
      <c r="P663" s="489">
        <v>1009.0429999999999</v>
      </c>
      <c r="Q663" s="489">
        <v>1051.751</v>
      </c>
    </row>
    <row r="664" spans="1:17">
      <c r="A664" s="488" t="s">
        <v>147</v>
      </c>
      <c r="B664" s="489">
        <v>399.41899999999998</v>
      </c>
      <c r="C664" s="489">
        <v>413.12699999999995</v>
      </c>
      <c r="D664" s="489">
        <v>428.12400000000002</v>
      </c>
      <c r="E664" s="489">
        <v>446.44299999999998</v>
      </c>
      <c r="F664" s="489">
        <v>470.85399999999998</v>
      </c>
      <c r="G664" s="489">
        <v>503.15300000000002</v>
      </c>
      <c r="H664" s="489">
        <v>544.00099999999998</v>
      </c>
      <c r="I664" s="489">
        <v>592.23</v>
      </c>
      <c r="J664" s="489">
        <v>645.50099999999998</v>
      </c>
      <c r="K664" s="489">
        <v>700.49599999999998</v>
      </c>
      <c r="L664" s="489">
        <v>754.64499999999998</v>
      </c>
      <c r="M664" s="489">
        <v>807.029</v>
      </c>
      <c r="N664" s="489">
        <v>857.76900000000001</v>
      </c>
      <c r="O664" s="489">
        <v>906.57300000000009</v>
      </c>
      <c r="P664" s="489">
        <v>953.42599999999993</v>
      </c>
      <c r="Q664" s="489">
        <v>998.2360000000001</v>
      </c>
    </row>
    <row r="665" spans="1:17">
      <c r="A665" s="488" t="s">
        <v>148</v>
      </c>
      <c r="B665" s="489">
        <v>398.12</v>
      </c>
      <c r="C665" s="489">
        <v>404.45499999999998</v>
      </c>
      <c r="D665" s="489">
        <v>407.88900000000001</v>
      </c>
      <c r="E665" s="489">
        <v>412.69299999999998</v>
      </c>
      <c r="F665" s="489">
        <v>424.83299999999997</v>
      </c>
      <c r="G665" s="489">
        <v>448.39699999999999</v>
      </c>
      <c r="H665" s="489">
        <v>484.88100000000003</v>
      </c>
      <c r="I665" s="489">
        <v>532.35599999999999</v>
      </c>
      <c r="J665" s="489">
        <v>587.26700000000005</v>
      </c>
      <c r="K665" s="489">
        <v>644.38099999999997</v>
      </c>
      <c r="L665" s="489">
        <v>699.75700000000006</v>
      </c>
      <c r="M665" s="489">
        <v>752.07400000000007</v>
      </c>
      <c r="N665" s="489">
        <v>801.97900000000004</v>
      </c>
      <c r="O665" s="489">
        <v>849.83299999999997</v>
      </c>
      <c r="P665" s="489">
        <v>896.64300000000003</v>
      </c>
      <c r="Q665" s="489">
        <v>942.99700000000007</v>
      </c>
    </row>
    <row r="666" spans="1:17">
      <c r="A666" s="488" t="s">
        <v>149</v>
      </c>
      <c r="B666" s="489">
        <v>393.673</v>
      </c>
      <c r="C666" s="489">
        <v>394.96100000000001</v>
      </c>
      <c r="D666" s="489">
        <v>391.04200000000003</v>
      </c>
      <c r="E666" s="489">
        <v>387.23400000000004</v>
      </c>
      <c r="F666" s="489">
        <v>391.02099999999996</v>
      </c>
      <c r="G666" s="489">
        <v>407.596</v>
      </c>
      <c r="H666" s="489">
        <v>438.82799999999997</v>
      </c>
      <c r="I666" s="489">
        <v>482.53300000000002</v>
      </c>
      <c r="J666" s="489">
        <v>534.86599999999999</v>
      </c>
      <c r="K666" s="489">
        <v>590.07600000000002</v>
      </c>
      <c r="L666" s="489">
        <v>643.84500000000003</v>
      </c>
      <c r="M666" s="489">
        <v>694.77499999999998</v>
      </c>
      <c r="N666" s="489">
        <v>743.70100000000002</v>
      </c>
      <c r="O666" s="489">
        <v>791.16200000000003</v>
      </c>
      <c r="P666" s="489">
        <v>838.42200000000003</v>
      </c>
      <c r="Q666" s="489">
        <v>886.22500000000002</v>
      </c>
    </row>
    <row r="667" spans="1:17">
      <c r="A667" s="488" t="s">
        <v>150</v>
      </c>
      <c r="B667" s="489">
        <v>381.649</v>
      </c>
      <c r="C667" s="489">
        <v>381.48500000000001</v>
      </c>
      <c r="D667" s="489">
        <v>376.98699999999997</v>
      </c>
      <c r="E667" s="489">
        <v>372.59799999999996</v>
      </c>
      <c r="F667" s="489">
        <v>374.54600000000005</v>
      </c>
      <c r="G667" s="489">
        <v>387.21199999999999</v>
      </c>
      <c r="H667" s="489">
        <v>412.08800000000002</v>
      </c>
      <c r="I667" s="489">
        <v>447.53</v>
      </c>
      <c r="J667" s="489">
        <v>490.90499999999997</v>
      </c>
      <c r="K667" s="489">
        <v>538.15499999999997</v>
      </c>
      <c r="L667" s="489">
        <v>586.18100000000004</v>
      </c>
      <c r="M667" s="489">
        <v>634.03400000000011</v>
      </c>
      <c r="N667" s="489">
        <v>682.17499999999995</v>
      </c>
      <c r="O667" s="489">
        <v>730.52700000000004</v>
      </c>
      <c r="P667" s="489">
        <v>779.37300000000005</v>
      </c>
      <c r="Q667" s="489">
        <v>828.73400000000004</v>
      </c>
    </row>
    <row r="668" spans="1:17">
      <c r="A668" s="488" t="s">
        <v>151</v>
      </c>
      <c r="B668" s="489">
        <v>365.32900000000001</v>
      </c>
      <c r="C668" s="489">
        <v>366.1</v>
      </c>
      <c r="D668" s="489">
        <v>365.34</v>
      </c>
      <c r="E668" s="489">
        <v>365.45</v>
      </c>
      <c r="F668" s="489">
        <v>369.71600000000001</v>
      </c>
      <c r="G668" s="489">
        <v>380.51900000000001</v>
      </c>
      <c r="H668" s="489">
        <v>398.53300000000002</v>
      </c>
      <c r="I668" s="489">
        <v>423.13200000000001</v>
      </c>
      <c r="J668" s="489">
        <v>453.77100000000002</v>
      </c>
      <c r="K668" s="489">
        <v>489.40499999999997</v>
      </c>
      <c r="L668" s="489">
        <v>529.09400000000005</v>
      </c>
      <c r="M668" s="489">
        <v>572.64499999999998</v>
      </c>
      <c r="N668" s="489">
        <v>619.81600000000003</v>
      </c>
      <c r="O668" s="489">
        <v>669.47399999999993</v>
      </c>
      <c r="P668" s="489">
        <v>720.22299999999996</v>
      </c>
      <c r="Q668" s="489">
        <v>770.88400000000001</v>
      </c>
    </row>
    <row r="669" spans="1:17">
      <c r="A669" s="488" t="s">
        <v>152</v>
      </c>
      <c r="B669" s="489">
        <v>351.60199999999998</v>
      </c>
      <c r="C669" s="489">
        <v>353.27499999999998</v>
      </c>
      <c r="D669" s="489">
        <v>355.82</v>
      </c>
      <c r="E669" s="489">
        <v>359.79</v>
      </c>
      <c r="F669" s="489">
        <v>365.81899999999996</v>
      </c>
      <c r="G669" s="489">
        <v>374.50099999999998</v>
      </c>
      <c r="H669" s="489">
        <v>385.75800000000004</v>
      </c>
      <c r="I669" s="489">
        <v>399.89699999999999</v>
      </c>
      <c r="J669" s="489">
        <v>418.30799999999999</v>
      </c>
      <c r="K669" s="489">
        <v>442.738</v>
      </c>
      <c r="L669" s="489">
        <v>474.24700000000001</v>
      </c>
      <c r="M669" s="489">
        <v>513.34400000000005</v>
      </c>
      <c r="N669" s="489">
        <v>559.15699999999993</v>
      </c>
      <c r="O669" s="489">
        <v>609.58100000000002</v>
      </c>
      <c r="P669" s="489">
        <v>661.68100000000004</v>
      </c>
      <c r="Q669" s="489">
        <v>713.16899999999998</v>
      </c>
    </row>
    <row r="670" spans="1:17">
      <c r="A670" s="488" t="s">
        <v>153</v>
      </c>
      <c r="B670" s="489">
        <v>338.09399999999999</v>
      </c>
      <c r="C670" s="489">
        <v>341.197</v>
      </c>
      <c r="D670" s="489">
        <v>347.88200000000001</v>
      </c>
      <c r="E670" s="489">
        <v>356.64</v>
      </c>
      <c r="F670" s="489">
        <v>365.13800000000003</v>
      </c>
      <c r="G670" s="489">
        <v>371.96499999999997</v>
      </c>
      <c r="H670" s="489">
        <v>376.19099999999997</v>
      </c>
      <c r="I670" s="489">
        <v>379.15499999999997</v>
      </c>
      <c r="J670" s="489">
        <v>384.40800000000002</v>
      </c>
      <c r="K670" s="489">
        <v>396.80700000000002</v>
      </c>
      <c r="L670" s="489">
        <v>419.63900000000001</v>
      </c>
      <c r="M670" s="489">
        <v>454.21499999999997</v>
      </c>
      <c r="N670" s="489">
        <v>498.92400000000004</v>
      </c>
      <c r="O670" s="489">
        <v>550.529</v>
      </c>
      <c r="P670" s="489">
        <v>604.29200000000003</v>
      </c>
      <c r="Q670" s="489">
        <v>656.63699999999994</v>
      </c>
    </row>
    <row r="671" spans="1:17">
      <c r="A671" s="488" t="s">
        <v>154</v>
      </c>
      <c r="B671" s="489">
        <v>328.59399999999999</v>
      </c>
      <c r="C671" s="489">
        <v>332.52199999999999</v>
      </c>
      <c r="D671" s="489">
        <v>341.18</v>
      </c>
      <c r="E671" s="489">
        <v>351.98</v>
      </c>
      <c r="F671" s="489">
        <v>361.07</v>
      </c>
      <c r="G671" s="489">
        <v>366.00599999999997</v>
      </c>
      <c r="H671" s="489">
        <v>365.45799999999997</v>
      </c>
      <c r="I671" s="489">
        <v>361.29899999999998</v>
      </c>
      <c r="J671" s="489">
        <v>358.12200000000001</v>
      </c>
      <c r="K671" s="489">
        <v>362.30200000000002</v>
      </c>
      <c r="L671" s="489">
        <v>378.24</v>
      </c>
      <c r="M671" s="489">
        <v>407.61099999999999</v>
      </c>
      <c r="N671" s="489">
        <v>448.54</v>
      </c>
      <c r="O671" s="489">
        <v>497.505</v>
      </c>
      <c r="P671" s="489">
        <v>549.25199999999995</v>
      </c>
      <c r="Q671" s="489">
        <v>599.83699999999999</v>
      </c>
    </row>
    <row r="672" spans="1:17">
      <c r="A672" s="488" t="s">
        <v>155</v>
      </c>
      <c r="B672" s="489">
        <v>325.34800000000001</v>
      </c>
      <c r="C672" s="489">
        <v>328.71799999999996</v>
      </c>
      <c r="D672" s="489">
        <v>335.30500000000001</v>
      </c>
      <c r="E672" s="489">
        <v>343.13900000000001</v>
      </c>
      <c r="F672" s="489">
        <v>349.28800000000001</v>
      </c>
      <c r="G672" s="489">
        <v>351.94200000000001</v>
      </c>
      <c r="H672" s="489">
        <v>350.11700000000002</v>
      </c>
      <c r="I672" s="489">
        <v>345.39100000000002</v>
      </c>
      <c r="J672" s="489">
        <v>341.58100000000002</v>
      </c>
      <c r="K672" s="489">
        <v>343.94</v>
      </c>
      <c r="L672" s="489">
        <v>356.14300000000003</v>
      </c>
      <c r="M672" s="489">
        <v>379.53</v>
      </c>
      <c r="N672" s="489">
        <v>412.71299999999997</v>
      </c>
      <c r="O672" s="489">
        <v>453.26</v>
      </c>
      <c r="P672" s="489">
        <v>497.459</v>
      </c>
      <c r="Q672" s="489">
        <v>542.46600000000001</v>
      </c>
    </row>
    <row r="673" spans="1:17">
      <c r="A673" s="488" t="s">
        <v>156</v>
      </c>
      <c r="B673" s="489">
        <v>325.47699999999998</v>
      </c>
      <c r="C673" s="489">
        <v>327.53100000000001</v>
      </c>
      <c r="D673" s="489">
        <v>329.69799999999998</v>
      </c>
      <c r="E673" s="489">
        <v>331.654</v>
      </c>
      <c r="F673" s="489">
        <v>332.87</v>
      </c>
      <c r="G673" s="489">
        <v>333.173</v>
      </c>
      <c r="H673" s="489">
        <v>332.38799999999998</v>
      </c>
      <c r="I673" s="489">
        <v>331.28500000000003</v>
      </c>
      <c r="J673" s="489">
        <v>331.78100000000001</v>
      </c>
      <c r="K673" s="489">
        <v>336.4</v>
      </c>
      <c r="L673" s="489">
        <v>346.97199999999998</v>
      </c>
      <c r="M673" s="489">
        <v>364.06799999999998</v>
      </c>
      <c r="N673" s="489">
        <v>387.238</v>
      </c>
      <c r="O673" s="489">
        <v>415.959</v>
      </c>
      <c r="P673" s="489">
        <v>449.274</v>
      </c>
      <c r="Q673" s="489">
        <v>486.32</v>
      </c>
    </row>
    <row r="674" spans="1:17">
      <c r="A674" s="488" t="s">
        <v>157</v>
      </c>
      <c r="B674" s="489">
        <v>324.59500000000003</v>
      </c>
      <c r="C674" s="489">
        <v>325.815</v>
      </c>
      <c r="D674" s="489">
        <v>324.45100000000002</v>
      </c>
      <c r="E674" s="489">
        <v>321.58100000000002</v>
      </c>
      <c r="F674" s="489">
        <v>318.74099999999999</v>
      </c>
      <c r="G674" s="489">
        <v>317.15300000000002</v>
      </c>
      <c r="H674" s="489">
        <v>317.34399999999999</v>
      </c>
      <c r="I674" s="489">
        <v>319.38499999999999</v>
      </c>
      <c r="J674" s="489">
        <v>323.495</v>
      </c>
      <c r="K674" s="489">
        <v>329.77</v>
      </c>
      <c r="L674" s="489">
        <v>338.39499999999998</v>
      </c>
      <c r="M674" s="489">
        <v>349.26099999999997</v>
      </c>
      <c r="N674" s="489">
        <v>362.76499999999999</v>
      </c>
      <c r="O674" s="489">
        <v>380.142</v>
      </c>
      <c r="P674" s="489">
        <v>402.97300000000001</v>
      </c>
      <c r="Q674" s="489">
        <v>432.21799999999996</v>
      </c>
    </row>
    <row r="675" spans="1:17">
      <c r="A675" s="488" t="s">
        <v>158</v>
      </c>
      <c r="B675" s="489">
        <v>324.46100000000001</v>
      </c>
      <c r="C675" s="489">
        <v>324.88799999999998</v>
      </c>
      <c r="D675" s="489">
        <v>319.83999999999997</v>
      </c>
      <c r="E675" s="489">
        <v>311.93099999999998</v>
      </c>
      <c r="F675" s="489">
        <v>304.94299999999998</v>
      </c>
      <c r="G675" s="489">
        <v>301.61900000000003</v>
      </c>
      <c r="H675" s="489">
        <v>303.262</v>
      </c>
      <c r="I675" s="489">
        <v>309.15899999999999</v>
      </c>
      <c r="J675" s="489">
        <v>317.65699999999998</v>
      </c>
      <c r="K675" s="489">
        <v>326.16500000000002</v>
      </c>
      <c r="L675" s="489">
        <v>333.05100000000004</v>
      </c>
      <c r="M675" s="489">
        <v>337.43200000000002</v>
      </c>
      <c r="N675" s="489">
        <v>340.63599999999997</v>
      </c>
      <c r="O675" s="489">
        <v>345.85199999999998</v>
      </c>
      <c r="P675" s="489">
        <v>357.46899999999999</v>
      </c>
      <c r="Q675" s="489">
        <v>378.46499999999997</v>
      </c>
    </row>
    <row r="676" spans="1:17">
      <c r="A676" s="488" t="s">
        <v>159</v>
      </c>
      <c r="B676" s="489">
        <v>317.45400000000001</v>
      </c>
      <c r="C676" s="489">
        <v>318.03300000000002</v>
      </c>
      <c r="D676" s="489">
        <v>311.67600000000004</v>
      </c>
      <c r="E676" s="489">
        <v>301.73099999999999</v>
      </c>
      <c r="F676" s="489">
        <v>293.07600000000002</v>
      </c>
      <c r="G676" s="489">
        <v>289.17700000000002</v>
      </c>
      <c r="H676" s="489">
        <v>291.71199999999999</v>
      </c>
      <c r="I676" s="489">
        <v>299.55600000000004</v>
      </c>
      <c r="J676" s="489">
        <v>310.05200000000002</v>
      </c>
      <c r="K676" s="489">
        <v>319.19600000000003</v>
      </c>
      <c r="L676" s="489">
        <v>324.39099999999996</v>
      </c>
      <c r="M676" s="489">
        <v>324.387</v>
      </c>
      <c r="N676" s="489">
        <v>320.99400000000003</v>
      </c>
      <c r="O676" s="489">
        <v>318.36500000000001</v>
      </c>
      <c r="P676" s="489">
        <v>322.28300000000002</v>
      </c>
      <c r="Q676" s="489">
        <v>336.755</v>
      </c>
    </row>
    <row r="677" spans="1:17">
      <c r="A677" s="488" t="s">
        <v>160</v>
      </c>
      <c r="B677" s="489">
        <v>299.60699999999997</v>
      </c>
      <c r="C677" s="489">
        <v>301.803</v>
      </c>
      <c r="D677" s="489">
        <v>297.97299999999996</v>
      </c>
      <c r="E677" s="489">
        <v>290.84800000000001</v>
      </c>
      <c r="F677" s="489">
        <v>284.44099999999997</v>
      </c>
      <c r="G677" s="489">
        <v>281.61699999999996</v>
      </c>
      <c r="H677" s="489">
        <v>283.755</v>
      </c>
      <c r="I677" s="489">
        <v>289.94100000000003</v>
      </c>
      <c r="J677" s="489">
        <v>298.01300000000003</v>
      </c>
      <c r="K677" s="489">
        <v>304.71699999999998</v>
      </c>
      <c r="L677" s="489">
        <v>307.97300000000001</v>
      </c>
      <c r="M677" s="489">
        <v>306.81100000000004</v>
      </c>
      <c r="N677" s="489">
        <v>302.80099999999999</v>
      </c>
      <c r="O677" s="489">
        <v>299.42700000000002</v>
      </c>
      <c r="P677" s="489">
        <v>301.52999999999997</v>
      </c>
      <c r="Q677" s="489">
        <v>312.50599999999997</v>
      </c>
    </row>
    <row r="678" spans="1:17">
      <c r="A678" s="488" t="s">
        <v>161</v>
      </c>
      <c r="B678" s="489">
        <v>274.79700000000003</v>
      </c>
      <c r="C678" s="489">
        <v>279.45799999999997</v>
      </c>
      <c r="D678" s="489">
        <v>280.464</v>
      </c>
      <c r="E678" s="489">
        <v>279.11799999999999</v>
      </c>
      <c r="F678" s="489">
        <v>277.37700000000001</v>
      </c>
      <c r="G678" s="489">
        <v>276.67500000000001</v>
      </c>
      <c r="H678" s="489">
        <v>277.69600000000003</v>
      </c>
      <c r="I678" s="489">
        <v>280.10599999999999</v>
      </c>
      <c r="J678" s="489">
        <v>283.16300000000001</v>
      </c>
      <c r="K678" s="489">
        <v>285.68399999999997</v>
      </c>
      <c r="L678" s="489">
        <v>286.99299999999999</v>
      </c>
      <c r="M678" s="489">
        <v>286.81600000000003</v>
      </c>
      <c r="N678" s="489">
        <v>286.01499999999999</v>
      </c>
      <c r="O678" s="489">
        <v>286.41700000000003</v>
      </c>
      <c r="P678" s="489">
        <v>290.48099999999999</v>
      </c>
      <c r="Q678" s="489">
        <v>299.98200000000003</v>
      </c>
    </row>
    <row r="679" spans="1:17">
      <c r="A679" s="488" t="s">
        <v>162</v>
      </c>
      <c r="B679" s="489">
        <v>250.78399999999999</v>
      </c>
      <c r="C679" s="489">
        <v>257.75400000000002</v>
      </c>
      <c r="D679" s="489">
        <v>263.15100000000001</v>
      </c>
      <c r="E679" s="489">
        <v>267.03500000000003</v>
      </c>
      <c r="F679" s="489">
        <v>269.58300000000003</v>
      </c>
      <c r="G679" s="489">
        <v>271.00400000000002</v>
      </c>
      <c r="H679" s="489">
        <v>271.36199999999997</v>
      </c>
      <c r="I679" s="489">
        <v>270.81700000000001</v>
      </c>
      <c r="J679" s="489">
        <v>269.82499999999999</v>
      </c>
      <c r="K679" s="489">
        <v>268.96300000000002</v>
      </c>
      <c r="L679" s="489">
        <v>268.745</v>
      </c>
      <c r="M679" s="489">
        <v>269.495</v>
      </c>
      <c r="N679" s="489">
        <v>271.46600000000001</v>
      </c>
      <c r="O679" s="489">
        <v>275.00600000000003</v>
      </c>
      <c r="P679" s="489">
        <v>280.471</v>
      </c>
      <c r="Q679" s="489">
        <v>288.20499999999998</v>
      </c>
    </row>
    <row r="680" spans="1:17">
      <c r="A680" s="488" t="s">
        <v>163</v>
      </c>
      <c r="B680" s="489">
        <v>225.94399999999999</v>
      </c>
      <c r="C680" s="489">
        <v>235.423</v>
      </c>
      <c r="D680" s="489">
        <v>245.56599999999997</v>
      </c>
      <c r="E680" s="489">
        <v>255.10300000000001</v>
      </c>
      <c r="F680" s="489">
        <v>262.32299999999998</v>
      </c>
      <c r="G680" s="489">
        <v>266.11799999999999</v>
      </c>
      <c r="H680" s="489">
        <v>265.88800000000003</v>
      </c>
      <c r="I680" s="489">
        <v>262.32299999999998</v>
      </c>
      <c r="J680" s="489">
        <v>257.16899999999998</v>
      </c>
      <c r="K680" s="489">
        <v>252.90800000000002</v>
      </c>
      <c r="L680" s="489">
        <v>251.334</v>
      </c>
      <c r="M680" s="489">
        <v>253.43099999999998</v>
      </c>
      <c r="N680" s="489">
        <v>258.77600000000001</v>
      </c>
      <c r="O680" s="489">
        <v>266.09899999999999</v>
      </c>
      <c r="P680" s="489">
        <v>273.43799999999999</v>
      </c>
      <c r="Q680" s="489">
        <v>279.572</v>
      </c>
    </row>
    <row r="681" spans="1:17">
      <c r="A681" s="488" t="s">
        <v>164</v>
      </c>
      <c r="B681" s="489">
        <v>203.44200000000001</v>
      </c>
      <c r="C681" s="489">
        <v>214.24</v>
      </c>
      <c r="D681" s="489">
        <v>227.06299999999999</v>
      </c>
      <c r="E681" s="489">
        <v>239.904</v>
      </c>
      <c r="F681" s="489">
        <v>249.98599999999999</v>
      </c>
      <c r="G681" s="489">
        <v>255.45</v>
      </c>
      <c r="H681" s="489">
        <v>255.33699999999999</v>
      </c>
      <c r="I681" s="489">
        <v>250.59699999999998</v>
      </c>
      <c r="J681" s="489">
        <v>243.64100000000002</v>
      </c>
      <c r="K681" s="489">
        <v>237.923</v>
      </c>
      <c r="L681" s="489">
        <v>235.887</v>
      </c>
      <c r="M681" s="489">
        <v>238.84100000000001</v>
      </c>
      <c r="N681" s="489">
        <v>245.99299999999999</v>
      </c>
      <c r="O681" s="489">
        <v>255.172</v>
      </c>
      <c r="P681" s="489">
        <v>263.14400000000001</v>
      </c>
      <c r="Q681" s="489">
        <v>267.82900000000001</v>
      </c>
    </row>
    <row r="682" spans="1:17">
      <c r="A682" s="488" t="s">
        <v>165</v>
      </c>
      <c r="B682" s="489">
        <v>185.62400000000002</v>
      </c>
      <c r="C682" s="489">
        <v>195.79599999999999</v>
      </c>
      <c r="D682" s="489">
        <v>207.83199999999999</v>
      </c>
      <c r="E682" s="489">
        <v>219.97700000000003</v>
      </c>
      <c r="F682" s="489">
        <v>229.80100000000002</v>
      </c>
      <c r="G682" s="489">
        <v>235.66700000000003</v>
      </c>
      <c r="H682" s="489">
        <v>236.745</v>
      </c>
      <c r="I682" s="489">
        <v>233.83800000000002</v>
      </c>
      <c r="J682" s="489">
        <v>228.91300000000001</v>
      </c>
      <c r="K682" s="489">
        <v>224.81299999999999</v>
      </c>
      <c r="L682" s="489">
        <v>223.548</v>
      </c>
      <c r="M682" s="489">
        <v>226.21300000000002</v>
      </c>
      <c r="N682" s="489">
        <v>232.15</v>
      </c>
      <c r="O682" s="489">
        <v>239.54</v>
      </c>
      <c r="P682" s="489">
        <v>245.673</v>
      </c>
      <c r="Q682" s="489">
        <v>248.82100000000003</v>
      </c>
    </row>
    <row r="683" spans="1:17">
      <c r="A683" s="488" t="s">
        <v>166</v>
      </c>
      <c r="B683" s="489">
        <v>170.82</v>
      </c>
      <c r="C683" s="489">
        <v>179.143</v>
      </c>
      <c r="D683" s="489">
        <v>188.209</v>
      </c>
      <c r="E683" s="489">
        <v>197.13799999999998</v>
      </c>
      <c r="F683" s="489">
        <v>204.72899999999998</v>
      </c>
      <c r="G683" s="489">
        <v>210.16399999999999</v>
      </c>
      <c r="H683" s="489">
        <v>213.066</v>
      </c>
      <c r="I683" s="489">
        <v>213.80500000000001</v>
      </c>
      <c r="J683" s="489">
        <v>213.25</v>
      </c>
      <c r="K683" s="489">
        <v>212.66</v>
      </c>
      <c r="L683" s="489">
        <v>212.95100000000002</v>
      </c>
      <c r="M683" s="489">
        <v>214.66899999999998</v>
      </c>
      <c r="N683" s="489">
        <v>217.60200000000003</v>
      </c>
      <c r="O683" s="489">
        <v>221.04699999999997</v>
      </c>
      <c r="P683" s="489">
        <v>223.92099999999999</v>
      </c>
      <c r="Q683" s="489">
        <v>225.602</v>
      </c>
    </row>
    <row r="684" spans="1:17">
      <c r="A684" s="488" t="s">
        <v>167</v>
      </c>
      <c r="B684" s="489">
        <v>155.262</v>
      </c>
      <c r="C684" s="489">
        <v>161.91499999999999</v>
      </c>
      <c r="D684" s="489">
        <v>168.441</v>
      </c>
      <c r="E684" s="489">
        <v>174.691</v>
      </c>
      <c r="F684" s="489">
        <v>180.48099999999999</v>
      </c>
      <c r="G684" s="489">
        <v>185.67899999999997</v>
      </c>
      <c r="H684" s="489">
        <v>190.28100000000001</v>
      </c>
      <c r="I684" s="489">
        <v>194.303</v>
      </c>
      <c r="J684" s="489">
        <v>197.667</v>
      </c>
      <c r="K684" s="489">
        <v>200.292</v>
      </c>
      <c r="L684" s="489">
        <v>202.16300000000001</v>
      </c>
      <c r="M684" s="489">
        <v>203.345</v>
      </c>
      <c r="N684" s="489">
        <v>204.00200000000001</v>
      </c>
      <c r="O684" s="489">
        <v>204.35</v>
      </c>
      <c r="P684" s="489">
        <v>204.67500000000001</v>
      </c>
      <c r="Q684" s="489">
        <v>205.26</v>
      </c>
    </row>
    <row r="685" spans="1:17">
      <c r="A685" s="488" t="s">
        <v>168</v>
      </c>
      <c r="B685" s="489">
        <v>139.97200000000001</v>
      </c>
      <c r="C685" s="489">
        <v>144.804</v>
      </c>
      <c r="D685" s="489">
        <v>148.607</v>
      </c>
      <c r="E685" s="489">
        <v>152.00399999999999</v>
      </c>
      <c r="F685" s="489">
        <v>155.89599999999999</v>
      </c>
      <c r="G685" s="489">
        <v>160.86599999999999</v>
      </c>
      <c r="H685" s="489">
        <v>167.30599999999998</v>
      </c>
      <c r="I685" s="489">
        <v>174.858</v>
      </c>
      <c r="J685" s="489">
        <v>182.45400000000001</v>
      </c>
      <c r="K685" s="489">
        <v>188.58799999999999</v>
      </c>
      <c r="L685" s="489">
        <v>192.25900000000001</v>
      </c>
      <c r="M685" s="489">
        <v>193.02199999999999</v>
      </c>
      <c r="N685" s="489">
        <v>191.428</v>
      </c>
      <c r="O685" s="489">
        <v>188.69200000000001</v>
      </c>
      <c r="P685" s="489">
        <v>186.54</v>
      </c>
      <c r="Q685" s="489">
        <v>186.233</v>
      </c>
    </row>
    <row r="686" spans="1:17">
      <c r="A686" s="488" t="s">
        <v>169</v>
      </c>
      <c r="B686" s="489">
        <v>124.262</v>
      </c>
      <c r="C686" s="489">
        <v>127.81300000000002</v>
      </c>
      <c r="D686" s="489">
        <v>129.80199999999999</v>
      </c>
      <c r="E686" s="489">
        <v>131.322</v>
      </c>
      <c r="F686" s="489">
        <v>133.91800000000001</v>
      </c>
      <c r="G686" s="489">
        <v>138.60599999999999</v>
      </c>
      <c r="H686" s="489">
        <v>146.01400000000001</v>
      </c>
      <c r="I686" s="489">
        <v>155.559</v>
      </c>
      <c r="J686" s="489">
        <v>165.60399999999998</v>
      </c>
      <c r="K686" s="489">
        <v>173.84300000000002</v>
      </c>
      <c r="L686" s="489">
        <v>178.70400000000001</v>
      </c>
      <c r="M686" s="489">
        <v>179.45599999999999</v>
      </c>
      <c r="N686" s="489">
        <v>176.857</v>
      </c>
      <c r="O686" s="489">
        <v>172.643</v>
      </c>
      <c r="P686" s="489">
        <v>169.333</v>
      </c>
      <c r="Q686" s="489">
        <v>168.69800000000001</v>
      </c>
    </row>
    <row r="687" spans="1:17">
      <c r="A687" s="488" t="s">
        <v>170</v>
      </c>
      <c r="B687" s="489">
        <v>107.504</v>
      </c>
      <c r="C687" s="489">
        <v>110.77799999999999</v>
      </c>
      <c r="D687" s="489">
        <v>112.643</v>
      </c>
      <c r="E687" s="489">
        <v>114.10299999999999</v>
      </c>
      <c r="F687" s="489">
        <v>116.58499999999999</v>
      </c>
      <c r="G687" s="489">
        <v>121.02799999999999</v>
      </c>
      <c r="H687" s="489">
        <v>127.983</v>
      </c>
      <c r="I687" s="489">
        <v>136.91999999999999</v>
      </c>
      <c r="J687" s="489">
        <v>146.38</v>
      </c>
      <c r="K687" s="489">
        <v>154.30099999999999</v>
      </c>
      <c r="L687" s="489">
        <v>159.274</v>
      </c>
      <c r="M687" s="489">
        <v>160.648</v>
      </c>
      <c r="N687" s="489">
        <v>159.07400000000001</v>
      </c>
      <c r="O687" s="489">
        <v>156.024</v>
      </c>
      <c r="P687" s="489">
        <v>153.63</v>
      </c>
      <c r="Q687" s="489">
        <v>153.40300000000002</v>
      </c>
    </row>
    <row r="688" spans="1:17">
      <c r="A688" s="488" t="s">
        <v>171</v>
      </c>
      <c r="B688" s="489">
        <v>90.492000000000004</v>
      </c>
      <c r="C688" s="489">
        <v>94.109000000000009</v>
      </c>
      <c r="D688" s="489">
        <v>96.893000000000001</v>
      </c>
      <c r="E688" s="489">
        <v>99.419000000000011</v>
      </c>
      <c r="F688" s="489">
        <v>102.511</v>
      </c>
      <c r="G688" s="489">
        <v>106.709</v>
      </c>
      <c r="H688" s="489">
        <v>112.31200000000001</v>
      </c>
      <c r="I688" s="489">
        <v>118.999</v>
      </c>
      <c r="J688" s="489">
        <v>125.95699999999999</v>
      </c>
      <c r="K688" s="489">
        <v>132.02600000000001</v>
      </c>
      <c r="L688" s="489">
        <v>136.40899999999999</v>
      </c>
      <c r="M688" s="489">
        <v>138.77199999999999</v>
      </c>
      <c r="N688" s="489">
        <v>139.46</v>
      </c>
      <c r="O688" s="489">
        <v>139.18600000000001</v>
      </c>
      <c r="P688" s="489">
        <v>138.999</v>
      </c>
      <c r="Q688" s="489">
        <v>139.649</v>
      </c>
    </row>
    <row r="689" spans="1:17">
      <c r="A689" s="488" t="s">
        <v>172</v>
      </c>
      <c r="B689" s="489">
        <v>74.563000000000002</v>
      </c>
      <c r="C689" s="489">
        <v>78.320999999999998</v>
      </c>
      <c r="D689" s="489">
        <v>81.682000000000002</v>
      </c>
      <c r="E689" s="489">
        <v>84.89</v>
      </c>
      <c r="F689" s="489">
        <v>88.301999999999992</v>
      </c>
      <c r="G689" s="489">
        <v>92.155000000000001</v>
      </c>
      <c r="H689" s="489">
        <v>96.539000000000001</v>
      </c>
      <c r="I689" s="489">
        <v>101.312</v>
      </c>
      <c r="J689" s="489">
        <v>106.184</v>
      </c>
      <c r="K689" s="489">
        <v>110.74600000000001</v>
      </c>
      <c r="L689" s="489">
        <v>114.703</v>
      </c>
      <c r="M689" s="489">
        <v>117.983</v>
      </c>
      <c r="N689" s="489">
        <v>120.675</v>
      </c>
      <c r="O689" s="489">
        <v>122.86199999999999</v>
      </c>
      <c r="P689" s="489">
        <v>124.68900000000001</v>
      </c>
      <c r="Q689" s="489">
        <v>126.27799999999999</v>
      </c>
    </row>
    <row r="690" spans="1:17">
      <c r="A690" s="488" t="s">
        <v>173</v>
      </c>
      <c r="B690" s="489">
        <v>59.353999999999999</v>
      </c>
      <c r="C690" s="489">
        <v>63.238999999999997</v>
      </c>
      <c r="D690" s="489">
        <v>67.15100000000001</v>
      </c>
      <c r="E690" s="489">
        <v>70.998999999999995</v>
      </c>
      <c r="F690" s="489">
        <v>74.673000000000002</v>
      </c>
      <c r="G690" s="489">
        <v>78.102999999999994</v>
      </c>
      <c r="H690" s="489">
        <v>81.174000000000007</v>
      </c>
      <c r="I690" s="489">
        <v>83.92</v>
      </c>
      <c r="J690" s="489">
        <v>86.605999999999995</v>
      </c>
      <c r="K690" s="489">
        <v>89.603999999999999</v>
      </c>
      <c r="L690" s="489">
        <v>93.144000000000005</v>
      </c>
      <c r="M690" s="489">
        <v>97.423000000000002</v>
      </c>
      <c r="N690" s="489">
        <v>102.274</v>
      </c>
      <c r="O690" s="489">
        <v>107.122</v>
      </c>
      <c r="P690" s="489">
        <v>111.16500000000001</v>
      </c>
      <c r="Q690" s="489">
        <v>113.875</v>
      </c>
    </row>
    <row r="691" spans="1:17">
      <c r="A691" s="488" t="s">
        <v>174</v>
      </c>
      <c r="B691" s="489">
        <v>46.326000000000001</v>
      </c>
      <c r="C691" s="489">
        <v>50.122</v>
      </c>
      <c r="D691" s="489">
        <v>54.236999999999995</v>
      </c>
      <c r="E691" s="489">
        <v>58.356999999999999</v>
      </c>
      <c r="F691" s="489">
        <v>62.063000000000002</v>
      </c>
      <c r="G691" s="489">
        <v>65.091000000000008</v>
      </c>
      <c r="H691" s="489">
        <v>67.188000000000002</v>
      </c>
      <c r="I691" s="489">
        <v>68.507000000000005</v>
      </c>
      <c r="J691" s="489">
        <v>69.662999999999997</v>
      </c>
      <c r="K691" s="489">
        <v>71.52</v>
      </c>
      <c r="L691" s="489">
        <v>74.64</v>
      </c>
      <c r="M691" s="489">
        <v>79.384</v>
      </c>
      <c r="N691" s="489">
        <v>85.424999999999997</v>
      </c>
      <c r="O691" s="489">
        <v>91.798000000000002</v>
      </c>
      <c r="P691" s="489">
        <v>97.143000000000001</v>
      </c>
      <c r="Q691" s="489">
        <v>100.539</v>
      </c>
    </row>
    <row r="692" spans="1:17">
      <c r="A692" s="488" t="s">
        <v>175</v>
      </c>
      <c r="B692" s="489">
        <v>36.31</v>
      </c>
      <c r="C692" s="489">
        <v>39.625</v>
      </c>
      <c r="D692" s="489">
        <v>43.302999999999997</v>
      </c>
      <c r="E692" s="489">
        <v>47.028000000000006</v>
      </c>
      <c r="F692" s="489">
        <v>50.372</v>
      </c>
      <c r="G692" s="489">
        <v>53.051000000000002</v>
      </c>
      <c r="H692" s="489">
        <v>54.828000000000003</v>
      </c>
      <c r="I692" s="489">
        <v>55.857999999999997</v>
      </c>
      <c r="J692" s="489">
        <v>56.734000000000002</v>
      </c>
      <c r="K692" s="489">
        <v>58.287999999999997</v>
      </c>
      <c r="L692" s="489">
        <v>61.069000000000003</v>
      </c>
      <c r="M692" s="489">
        <v>65.412000000000006</v>
      </c>
      <c r="N692" s="489">
        <v>71.001000000000005</v>
      </c>
      <c r="O692" s="489">
        <v>76.951999999999998</v>
      </c>
      <c r="P692" s="489">
        <v>82.010999999999996</v>
      </c>
      <c r="Q692" s="489">
        <v>85.326999999999998</v>
      </c>
    </row>
    <row r="693" spans="1:17">
      <c r="A693" s="488" t="s">
        <v>176</v>
      </c>
      <c r="B693" s="489">
        <v>28.618000000000002</v>
      </c>
      <c r="C693" s="489">
        <v>31.213999999999999</v>
      </c>
      <c r="D693" s="489">
        <v>34.066000000000003</v>
      </c>
      <c r="E693" s="489">
        <v>36.984999999999999</v>
      </c>
      <c r="F693" s="489">
        <v>39.712000000000003</v>
      </c>
      <c r="G693" s="489">
        <v>42.082000000000001</v>
      </c>
      <c r="H693" s="489">
        <v>43.951999999999998</v>
      </c>
      <c r="I693" s="489">
        <v>45.405999999999999</v>
      </c>
      <c r="J693" s="489">
        <v>46.780999999999999</v>
      </c>
      <c r="K693" s="489">
        <v>48.558</v>
      </c>
      <c r="L693" s="489">
        <v>51.05</v>
      </c>
      <c r="M693" s="489">
        <v>54.442</v>
      </c>
      <c r="N693" s="489">
        <v>58.545000000000002</v>
      </c>
      <c r="O693" s="489">
        <v>62.843000000000004</v>
      </c>
      <c r="P693" s="489">
        <v>66.614999999999995</v>
      </c>
      <c r="Q693" s="489">
        <v>69.358000000000004</v>
      </c>
    </row>
    <row r="694" spans="1:17">
      <c r="A694" s="488" t="s">
        <v>177</v>
      </c>
      <c r="B694" s="489">
        <v>21.576999999999998</v>
      </c>
      <c r="C694" s="489">
        <v>23.547000000000001</v>
      </c>
      <c r="D694" s="489">
        <v>25.707000000000001</v>
      </c>
      <c r="E694" s="489">
        <v>27.956</v>
      </c>
      <c r="F694" s="489">
        <v>30.151000000000003</v>
      </c>
      <c r="G694" s="489">
        <v>32.198</v>
      </c>
      <c r="H694" s="489">
        <v>34.021999999999998</v>
      </c>
      <c r="I694" s="489">
        <v>35.661999999999999</v>
      </c>
      <c r="J694" s="489">
        <v>37.271000000000001</v>
      </c>
      <c r="K694" s="489">
        <v>39.067</v>
      </c>
      <c r="L694" s="489">
        <v>41.194000000000003</v>
      </c>
      <c r="M694" s="489">
        <v>43.725000000000001</v>
      </c>
      <c r="N694" s="489">
        <v>46.566000000000003</v>
      </c>
      <c r="O694" s="489">
        <v>49.5</v>
      </c>
      <c r="P694" s="489">
        <v>52.224000000000004</v>
      </c>
      <c r="Q694" s="489">
        <v>54.52</v>
      </c>
    </row>
    <row r="695" spans="1:17">
      <c r="A695" s="488" t="s">
        <v>178</v>
      </c>
      <c r="B695" s="489">
        <v>15.345000000000001</v>
      </c>
      <c r="C695" s="489">
        <v>16.707000000000001</v>
      </c>
      <c r="D695" s="489">
        <v>18.202999999999999</v>
      </c>
      <c r="E695" s="489">
        <v>19.807000000000002</v>
      </c>
      <c r="F695" s="489">
        <v>21.484000000000002</v>
      </c>
      <c r="G695" s="489">
        <v>23.204000000000001</v>
      </c>
      <c r="H695" s="489">
        <v>24.963999999999999</v>
      </c>
      <c r="I695" s="489">
        <v>26.761000000000003</v>
      </c>
      <c r="J695" s="489">
        <v>28.561999999999998</v>
      </c>
      <c r="K695" s="489">
        <v>30.332000000000001</v>
      </c>
      <c r="L695" s="489">
        <v>32.045999999999999</v>
      </c>
      <c r="M695" s="489">
        <v>33.661000000000001</v>
      </c>
      <c r="N695" s="489">
        <v>35.186</v>
      </c>
      <c r="O695" s="489">
        <v>36.715000000000003</v>
      </c>
      <c r="P695" s="489">
        <v>38.369</v>
      </c>
      <c r="Q695" s="489">
        <v>40.228999999999999</v>
      </c>
    </row>
    <row r="696" spans="1:17">
      <c r="A696" s="488" t="s">
        <v>179</v>
      </c>
      <c r="B696" s="489">
        <v>10.478</v>
      </c>
      <c r="C696" s="489">
        <v>11.356</v>
      </c>
      <c r="D696" s="489">
        <v>12.321000000000002</v>
      </c>
      <c r="E696" s="489">
        <v>13.401</v>
      </c>
      <c r="F696" s="489">
        <v>14.637</v>
      </c>
      <c r="G696" s="489">
        <v>16.047000000000001</v>
      </c>
      <c r="H696" s="489">
        <v>17.675000000000001</v>
      </c>
      <c r="I696" s="489">
        <v>19.486000000000001</v>
      </c>
      <c r="J696" s="489">
        <v>21.327999999999999</v>
      </c>
      <c r="K696" s="489">
        <v>22.994</v>
      </c>
      <c r="L696" s="489">
        <v>24.349</v>
      </c>
      <c r="M696" s="489">
        <v>25.277000000000001</v>
      </c>
      <c r="N696" s="489">
        <v>25.853999999999999</v>
      </c>
      <c r="O696" s="489">
        <v>26.367999999999999</v>
      </c>
      <c r="P696" s="489">
        <v>27.227</v>
      </c>
      <c r="Q696" s="489">
        <v>28.695</v>
      </c>
    </row>
    <row r="697" spans="1:17">
      <c r="A697" s="488" t="s">
        <v>180</v>
      </c>
      <c r="B697" s="489">
        <v>7.0350000000000001</v>
      </c>
      <c r="C697" s="489">
        <v>7.6340000000000003</v>
      </c>
      <c r="D697" s="489">
        <v>8.3040000000000003</v>
      </c>
      <c r="E697" s="489">
        <v>9.0820000000000007</v>
      </c>
      <c r="F697" s="489">
        <v>10.018000000000001</v>
      </c>
      <c r="G697" s="489">
        <v>11.135</v>
      </c>
      <c r="H697" s="489">
        <v>12.482000000000001</v>
      </c>
      <c r="I697" s="489">
        <v>14.023</v>
      </c>
      <c r="J697" s="489">
        <v>15.602</v>
      </c>
      <c r="K697" s="489">
        <v>17.006</v>
      </c>
      <c r="L697" s="489">
        <v>18.097999999999999</v>
      </c>
      <c r="M697" s="489">
        <v>18.763999999999999</v>
      </c>
      <c r="N697" s="489">
        <v>19.079999999999998</v>
      </c>
      <c r="O697" s="489">
        <v>19.335999999999999</v>
      </c>
      <c r="P697" s="489">
        <v>19.934000000000001</v>
      </c>
      <c r="Q697" s="489">
        <v>21.146000000000001</v>
      </c>
    </row>
    <row r="698" spans="1:17">
      <c r="A698" s="488" t="s">
        <v>181</v>
      </c>
      <c r="B698" s="489">
        <v>4.7270000000000003</v>
      </c>
      <c r="C698" s="489">
        <v>5.1870000000000003</v>
      </c>
      <c r="D698" s="489">
        <v>5.7270000000000003</v>
      </c>
      <c r="E698" s="489">
        <v>6.3550000000000004</v>
      </c>
      <c r="F698" s="489">
        <v>7.0890000000000004</v>
      </c>
      <c r="G698" s="489">
        <v>7.9349999999999996</v>
      </c>
      <c r="H698" s="489">
        <v>8.9179999999999993</v>
      </c>
      <c r="I698" s="489">
        <v>10.02</v>
      </c>
      <c r="J698" s="489">
        <v>11.155999999999999</v>
      </c>
      <c r="K698" s="489">
        <v>12.21</v>
      </c>
      <c r="L698" s="489">
        <v>13.109</v>
      </c>
      <c r="M698" s="489">
        <v>13.783000000000001</v>
      </c>
      <c r="N698" s="489">
        <v>14.276999999999999</v>
      </c>
      <c r="O698" s="489">
        <v>14.75</v>
      </c>
      <c r="P698" s="489">
        <v>15.433999999999999</v>
      </c>
      <c r="Q698" s="489">
        <v>16.475000000000001</v>
      </c>
    </row>
    <row r="699" spans="1:17">
      <c r="A699" s="488" t="s">
        <v>182</v>
      </c>
      <c r="B699" s="489">
        <v>3.1640000000000001</v>
      </c>
      <c r="C699" s="489">
        <v>3.3329999999999997</v>
      </c>
      <c r="D699" s="489">
        <v>3.6440000000000001</v>
      </c>
      <c r="E699" s="489">
        <v>4.032</v>
      </c>
      <c r="F699" s="489">
        <v>4.4969999999999999</v>
      </c>
      <c r="G699" s="489">
        <v>5.4169999999999998</v>
      </c>
      <c r="H699" s="489">
        <v>6.0940000000000003</v>
      </c>
      <c r="I699" s="489">
        <v>6.8439999999999994</v>
      </c>
      <c r="J699" s="489">
        <v>7.6289999999999996</v>
      </c>
      <c r="K699" s="489">
        <v>8.3930000000000007</v>
      </c>
      <c r="L699" s="489">
        <v>9.093</v>
      </c>
      <c r="M699" s="489">
        <v>9.7010000000000005</v>
      </c>
      <c r="N699" s="489">
        <v>10.234999999999999</v>
      </c>
      <c r="O699" s="489">
        <v>10.769</v>
      </c>
      <c r="P699" s="489">
        <v>11.413</v>
      </c>
      <c r="Q699" s="489">
        <v>12.234999999999999</v>
      </c>
    </row>
    <row r="700" spans="1:17">
      <c r="A700" s="488" t="s">
        <v>183</v>
      </c>
      <c r="B700" s="489">
        <v>2.3580000000000001</v>
      </c>
      <c r="C700" s="489">
        <v>2.4910000000000001</v>
      </c>
      <c r="D700" s="489">
        <v>2.7039999999999997</v>
      </c>
      <c r="E700" s="489">
        <v>2.9609999999999999</v>
      </c>
      <c r="F700" s="489">
        <v>3.2639999999999998</v>
      </c>
      <c r="G700" s="489">
        <v>3.6840000000000002</v>
      </c>
      <c r="H700" s="489">
        <v>4.0750000000000002</v>
      </c>
      <c r="I700" s="489">
        <v>4.5049999999999999</v>
      </c>
      <c r="J700" s="489">
        <v>4.9729999999999999</v>
      </c>
      <c r="K700" s="489">
        <v>5.4649999999999999</v>
      </c>
      <c r="L700" s="489">
        <v>5.98</v>
      </c>
      <c r="M700" s="489">
        <v>6.5139999999999993</v>
      </c>
      <c r="N700" s="489">
        <v>7.0650000000000004</v>
      </c>
      <c r="O700" s="489">
        <v>7.633</v>
      </c>
      <c r="P700" s="489">
        <v>8.2059999999999995</v>
      </c>
      <c r="Q700" s="489">
        <v>8.7839999999999989</v>
      </c>
    </row>
    <row r="701" spans="1:17">
      <c r="A701" s="488" t="s">
        <v>184</v>
      </c>
      <c r="B701" s="489">
        <v>1.7610000000000001</v>
      </c>
      <c r="C701" s="489">
        <v>1.825</v>
      </c>
      <c r="D701" s="489">
        <v>1.96</v>
      </c>
      <c r="E701" s="489">
        <v>2.1179999999999999</v>
      </c>
      <c r="F701" s="489">
        <v>2.2919999999999998</v>
      </c>
      <c r="G701" s="489">
        <v>2.415</v>
      </c>
      <c r="H701" s="489">
        <v>2.593</v>
      </c>
      <c r="I701" s="489">
        <v>2.786</v>
      </c>
      <c r="J701" s="489">
        <v>3.012</v>
      </c>
      <c r="K701" s="489">
        <v>3.298</v>
      </c>
      <c r="L701" s="489">
        <v>3.6589999999999998</v>
      </c>
      <c r="M701" s="489">
        <v>4.1159999999999997</v>
      </c>
      <c r="N701" s="489">
        <v>4.6550000000000002</v>
      </c>
      <c r="O701" s="489">
        <v>5.2130000000000001</v>
      </c>
      <c r="P701" s="489">
        <v>5.7129999999999992</v>
      </c>
      <c r="Q701" s="489">
        <v>6.0960000000000001</v>
      </c>
    </row>
    <row r="702" spans="1:17">
      <c r="A702" s="488" t="s">
        <v>185</v>
      </c>
      <c r="B702" s="489">
        <v>1.0449999999999999</v>
      </c>
      <c r="C702" s="489">
        <v>1.131</v>
      </c>
      <c r="D702" s="489">
        <v>1.2050000000000001</v>
      </c>
      <c r="E702" s="489">
        <v>1.2890000000000001</v>
      </c>
      <c r="F702" s="489">
        <v>1.3839999999999999</v>
      </c>
      <c r="G702" s="489">
        <v>1.31</v>
      </c>
      <c r="H702" s="489">
        <v>1.3879999999999999</v>
      </c>
      <c r="I702" s="489">
        <v>1.474</v>
      </c>
      <c r="J702" s="489">
        <v>1.587</v>
      </c>
      <c r="K702" s="489">
        <v>1.7589999999999999</v>
      </c>
      <c r="L702" s="489">
        <v>2.0060000000000002</v>
      </c>
      <c r="M702" s="489">
        <v>2.351</v>
      </c>
      <c r="N702" s="489">
        <v>2.7769999999999997</v>
      </c>
      <c r="O702" s="489">
        <v>3.2250000000000001</v>
      </c>
      <c r="P702" s="489">
        <v>3.6080000000000001</v>
      </c>
      <c r="Q702" s="489">
        <v>3.87</v>
      </c>
    </row>
    <row r="703" spans="1:17">
      <c r="A703" s="488" t="s">
        <v>186</v>
      </c>
      <c r="B703" s="489">
        <v>0.33400000000000002</v>
      </c>
      <c r="C703" s="489">
        <v>0.47800000000000004</v>
      </c>
      <c r="D703" s="489">
        <v>0.505</v>
      </c>
      <c r="E703" s="489">
        <v>0.54200000000000004</v>
      </c>
      <c r="F703" s="489">
        <v>0.58600000000000008</v>
      </c>
      <c r="G703" s="489">
        <v>0.42699999999999999</v>
      </c>
      <c r="H703" s="489">
        <v>0.48</v>
      </c>
      <c r="I703" s="489">
        <v>0.54699999999999993</v>
      </c>
      <c r="J703" s="489">
        <v>0.63500000000000001</v>
      </c>
      <c r="K703" s="489">
        <v>0.75700000000000001</v>
      </c>
      <c r="L703" s="489">
        <v>0.92300000000000004</v>
      </c>
      <c r="M703" s="489">
        <v>1.1399999999999999</v>
      </c>
      <c r="N703" s="489">
        <v>1.4039999999999999</v>
      </c>
      <c r="O703" s="489">
        <v>1.6830000000000001</v>
      </c>
      <c r="P703" s="489">
        <v>1.931</v>
      </c>
      <c r="Q703" s="489">
        <v>2.1240000000000001</v>
      </c>
    </row>
    <row r="704" spans="1:17">
      <c r="A704" s="490" t="s">
        <v>187</v>
      </c>
      <c r="B704" s="491">
        <v>0.79</v>
      </c>
      <c r="C704" s="491">
        <v>0.83499999999999996</v>
      </c>
      <c r="D704" s="491">
        <v>0.878</v>
      </c>
      <c r="E704" s="491">
        <v>0.92300000000000004</v>
      </c>
      <c r="F704" s="491">
        <v>0.97599999999999998</v>
      </c>
      <c r="G704" s="491">
        <v>1.0449999999999999</v>
      </c>
      <c r="H704" s="491">
        <v>1.1299999999999999</v>
      </c>
      <c r="I704" s="491">
        <v>1.2329999999999999</v>
      </c>
      <c r="J704" s="491">
        <v>1.3560000000000001</v>
      </c>
      <c r="K704" s="491">
        <v>1.5020000000000002</v>
      </c>
      <c r="L704" s="491">
        <v>1.6720000000000002</v>
      </c>
      <c r="M704" s="491">
        <v>1.8679999999999999</v>
      </c>
      <c r="N704" s="491">
        <v>2.0880000000000001</v>
      </c>
      <c r="O704" s="491">
        <v>2.3380000000000001</v>
      </c>
      <c r="P704" s="491">
        <v>2.617</v>
      </c>
      <c r="Q704" s="491">
        <v>2.9289999999999998</v>
      </c>
    </row>
    <row r="705" spans="1:17">
      <c r="C705" s="83"/>
    </row>
    <row r="706" spans="1:17">
      <c r="C706" s="83"/>
    </row>
    <row r="707" spans="1:17" ht="15.75">
      <c r="A707" s="80" t="s">
        <v>191</v>
      </c>
    </row>
    <row r="708" spans="1:17" ht="15.75">
      <c r="A708" s="80"/>
    </row>
    <row r="709" spans="1:17" ht="15.75">
      <c r="A709" s="851"/>
      <c r="B709" s="852">
        <v>2005</v>
      </c>
      <c r="C709" s="852">
        <v>2006</v>
      </c>
      <c r="D709" s="852">
        <v>2007</v>
      </c>
      <c r="E709" s="852">
        <v>2008</v>
      </c>
      <c r="F709" s="852">
        <v>2009</v>
      </c>
      <c r="G709" s="852">
        <v>2010</v>
      </c>
      <c r="H709" s="852">
        <v>2011</v>
      </c>
      <c r="I709" s="852">
        <v>2012</v>
      </c>
      <c r="J709" s="852">
        <v>2013</v>
      </c>
      <c r="K709" s="852">
        <v>2014</v>
      </c>
      <c r="L709" s="852">
        <v>2015</v>
      </c>
      <c r="M709" s="852">
        <v>2016</v>
      </c>
      <c r="N709" s="852">
        <v>2017</v>
      </c>
      <c r="O709" s="852">
        <v>2018</v>
      </c>
      <c r="P709" s="852">
        <v>2019</v>
      </c>
      <c r="Q709" s="852">
        <v>2020</v>
      </c>
    </row>
    <row r="710" spans="1:17">
      <c r="A710" s="853" t="s">
        <v>87</v>
      </c>
      <c r="B710" s="854"/>
      <c r="C710" s="855">
        <f t="shared" ref="C710:C741" si="368">C393/B393</f>
        <v>0.99557667258174132</v>
      </c>
      <c r="D710" s="855">
        <f t="shared" ref="D710:Q710" si="369">D393/C393</f>
        <v>0.97255402031042792</v>
      </c>
      <c r="E710" s="855">
        <f t="shared" si="369"/>
        <v>0.95807560891202526</v>
      </c>
      <c r="F710" s="855">
        <f t="shared" si="369"/>
        <v>0.9578003635027007</v>
      </c>
      <c r="G710" s="855">
        <f t="shared" si="369"/>
        <v>0.96949778238121809</v>
      </c>
      <c r="H710" s="855">
        <f t="shared" si="369"/>
        <v>0.9856976537139257</v>
      </c>
      <c r="I710" s="855">
        <f t="shared" si="369"/>
        <v>0.99844924185157191</v>
      </c>
      <c r="J710" s="855">
        <f t="shared" si="369"/>
        <v>1.0070922380631622</v>
      </c>
      <c r="K710" s="855">
        <f t="shared" si="369"/>
        <v>1.0085914309562372</v>
      </c>
      <c r="L710" s="855">
        <f t="shared" si="369"/>
        <v>1.0049654378669444</v>
      </c>
      <c r="M710" s="855">
        <f t="shared" si="369"/>
        <v>1.0003803841743824</v>
      </c>
      <c r="N710" s="855">
        <f t="shared" si="369"/>
        <v>0.99763815369854492</v>
      </c>
      <c r="O710" s="855">
        <f t="shared" si="369"/>
        <v>0.99594407218431324</v>
      </c>
      <c r="P710" s="855">
        <f t="shared" si="369"/>
        <v>0.99610861317392851</v>
      </c>
      <c r="Q710" s="855">
        <f t="shared" si="369"/>
        <v>0.9975406528974442</v>
      </c>
    </row>
    <row r="711" spans="1:17">
      <c r="A711" s="853" t="s">
        <v>88</v>
      </c>
      <c r="B711" s="854"/>
      <c r="C711" s="855">
        <f t="shared" si="368"/>
        <v>0.99579431675382057</v>
      </c>
      <c r="D711" s="855">
        <f t="shared" ref="D711:Q711" si="370">D394/C394</f>
        <v>0.98629924385056134</v>
      </c>
      <c r="E711" s="855">
        <f t="shared" si="370"/>
        <v>0.98058989988624023</v>
      </c>
      <c r="F711" s="855">
        <f t="shared" si="370"/>
        <v>0.98114351630804353</v>
      </c>
      <c r="G711" s="855">
        <f t="shared" si="370"/>
        <v>0.9865470491317585</v>
      </c>
      <c r="H711" s="855">
        <f t="shared" si="370"/>
        <v>0.99327216543597074</v>
      </c>
      <c r="I711" s="855">
        <f t="shared" si="370"/>
        <v>0.99824884704362971</v>
      </c>
      <c r="J711" s="855">
        <f t="shared" si="370"/>
        <v>1.0016116941015558</v>
      </c>
      <c r="K711" s="855">
        <f t="shared" si="370"/>
        <v>1.0022959787533028</v>
      </c>
      <c r="L711" s="855">
        <f t="shared" si="370"/>
        <v>1.0010184008376553</v>
      </c>
      <c r="M711" s="855">
        <f t="shared" si="370"/>
        <v>0.99927311606822611</v>
      </c>
      <c r="N711" s="855">
        <f t="shared" si="370"/>
        <v>0.99816167940889855</v>
      </c>
      <c r="O711" s="855">
        <f t="shared" si="370"/>
        <v>0.99749790466606603</v>
      </c>
      <c r="P711" s="855">
        <f t="shared" si="370"/>
        <v>0.99762595657364683</v>
      </c>
      <c r="Q711" s="855">
        <f t="shared" si="370"/>
        <v>0.99826194483564035</v>
      </c>
    </row>
    <row r="712" spans="1:17">
      <c r="A712" s="853" t="s">
        <v>89</v>
      </c>
      <c r="B712" s="854"/>
      <c r="C712" s="855">
        <f t="shared" si="368"/>
        <v>0.99450296720125919</v>
      </c>
      <c r="D712" s="855">
        <f t="shared" ref="D712:Q712" si="371">D395/C395</f>
        <v>0.99609404763336984</v>
      </c>
      <c r="E712" s="855">
        <f t="shared" si="371"/>
        <v>0.99721538930199538</v>
      </c>
      <c r="F712" s="855">
        <f t="shared" si="371"/>
        <v>0.99789662652807465</v>
      </c>
      <c r="G712" s="855">
        <f t="shared" si="371"/>
        <v>0.99821584860470736</v>
      </c>
      <c r="H712" s="855">
        <f t="shared" si="371"/>
        <v>0.99816942851044166</v>
      </c>
      <c r="I712" s="855">
        <f t="shared" si="371"/>
        <v>0.99794951891518047</v>
      </c>
      <c r="J712" s="855">
        <f t="shared" si="371"/>
        <v>0.99783545086636216</v>
      </c>
      <c r="K712" s="855">
        <f t="shared" si="371"/>
        <v>0.99798706064642406</v>
      </c>
      <c r="L712" s="855">
        <f t="shared" si="371"/>
        <v>0.9983153083584948</v>
      </c>
      <c r="M712" s="855">
        <f t="shared" si="371"/>
        <v>0.99853210408418847</v>
      </c>
      <c r="N712" s="855">
        <f t="shared" si="371"/>
        <v>0.99856683416536196</v>
      </c>
      <c r="O712" s="855">
        <f t="shared" si="371"/>
        <v>0.99862224089030316</v>
      </c>
      <c r="P712" s="855">
        <f t="shared" si="371"/>
        <v>0.9987189850525422</v>
      </c>
      <c r="Q712" s="855">
        <f t="shared" si="371"/>
        <v>0.99880102338278764</v>
      </c>
    </row>
    <row r="713" spans="1:17">
      <c r="A713" s="853" t="s">
        <v>90</v>
      </c>
      <c r="B713" s="854"/>
      <c r="C713" s="855">
        <f t="shared" si="368"/>
        <v>0.99190881807930564</v>
      </c>
      <c r="D713" s="855">
        <f t="shared" ref="D713:Q713" si="372">D396/C396</f>
        <v>1.0014145165968573</v>
      </c>
      <c r="E713" s="855">
        <f t="shared" si="372"/>
        <v>1.0073700798642664</v>
      </c>
      <c r="F713" s="855">
        <f t="shared" si="372"/>
        <v>1.0080669887103038</v>
      </c>
      <c r="G713" s="855">
        <f t="shared" si="372"/>
        <v>1.0050069277820961</v>
      </c>
      <c r="H713" s="855">
        <f t="shared" si="372"/>
        <v>1.000766665904484</v>
      </c>
      <c r="I713" s="855">
        <f t="shared" si="372"/>
        <v>0.9975216685997832</v>
      </c>
      <c r="J713" s="855">
        <f t="shared" si="372"/>
        <v>0.99541366603566406</v>
      </c>
      <c r="K713" s="855">
        <f t="shared" si="372"/>
        <v>0.99529237237090895</v>
      </c>
      <c r="L713" s="855">
        <f t="shared" si="372"/>
        <v>0.9966273324783802</v>
      </c>
      <c r="M713" s="855">
        <f t="shared" si="372"/>
        <v>0.99807735081047377</v>
      </c>
      <c r="N713" s="855">
        <f t="shared" si="372"/>
        <v>0.99884200078202545</v>
      </c>
      <c r="O713" s="855">
        <f t="shared" si="372"/>
        <v>0.99935120663247512</v>
      </c>
      <c r="P713" s="855">
        <f t="shared" si="372"/>
        <v>0.99943022518432068</v>
      </c>
      <c r="Q713" s="855">
        <f t="shared" si="372"/>
        <v>0.9991695183069137</v>
      </c>
    </row>
    <row r="714" spans="1:17">
      <c r="A714" s="853" t="s">
        <v>91</v>
      </c>
      <c r="B714" s="854"/>
      <c r="C714" s="855">
        <f t="shared" si="368"/>
        <v>0.98842387196424453</v>
      </c>
      <c r="D714" s="855">
        <f t="shared" ref="D714:Q714" si="373">D397/C397</f>
        <v>1.0023938756680826</v>
      </c>
      <c r="E714" s="855">
        <f t="shared" si="373"/>
        <v>1.0112290448747183</v>
      </c>
      <c r="F714" s="855">
        <f t="shared" si="373"/>
        <v>1.0121676381552422</v>
      </c>
      <c r="G714" s="855">
        <f t="shared" si="373"/>
        <v>1.0075371524092693</v>
      </c>
      <c r="H714" s="855">
        <f t="shared" si="373"/>
        <v>1.0014071671714602</v>
      </c>
      <c r="I714" s="855">
        <f t="shared" si="373"/>
        <v>0.9969366861608876</v>
      </c>
      <c r="J714" s="855">
        <f t="shared" si="373"/>
        <v>0.99403845405206581</v>
      </c>
      <c r="K714" s="855">
        <f t="shared" si="373"/>
        <v>0.99388656313301815</v>
      </c>
      <c r="L714" s="855">
        <f t="shared" si="373"/>
        <v>0.99574576784746183</v>
      </c>
      <c r="M714" s="855">
        <f t="shared" si="373"/>
        <v>0.99782354177298782</v>
      </c>
      <c r="N714" s="855">
        <f t="shared" si="373"/>
        <v>0.99897161971262793</v>
      </c>
      <c r="O714" s="855">
        <f t="shared" si="373"/>
        <v>0.99971936837350006</v>
      </c>
      <c r="P714" s="855">
        <f t="shared" si="373"/>
        <v>0.99980281805857951</v>
      </c>
      <c r="Q714" s="855">
        <f t="shared" si="373"/>
        <v>0.99938094572866254</v>
      </c>
    </row>
    <row r="715" spans="1:17">
      <c r="A715" s="853" t="s">
        <v>92</v>
      </c>
      <c r="B715" s="854"/>
      <c r="C715" s="855">
        <f t="shared" si="368"/>
        <v>0.98455686593392944</v>
      </c>
      <c r="D715" s="855">
        <f t="shared" ref="D715:Q715" si="374">D398/C398</f>
        <v>0.99975167925190989</v>
      </c>
      <c r="E715" s="855">
        <f t="shared" si="374"/>
        <v>1.0096635859012095</v>
      </c>
      <c r="F715" s="855">
        <f t="shared" si="374"/>
        <v>1.0111014913891407</v>
      </c>
      <c r="G715" s="855">
        <f t="shared" si="374"/>
        <v>1.006518130187855</v>
      </c>
      <c r="H715" s="855">
        <f t="shared" si="374"/>
        <v>1.000415345618304</v>
      </c>
      <c r="I715" s="855">
        <f t="shared" si="374"/>
        <v>0.99616465421147127</v>
      </c>
      <c r="J715" s="855">
        <f t="shared" si="374"/>
        <v>0.99344556238709647</v>
      </c>
      <c r="K715" s="855">
        <f t="shared" si="374"/>
        <v>0.99345627602617492</v>
      </c>
      <c r="L715" s="855">
        <f t="shared" si="374"/>
        <v>0.99546621043627026</v>
      </c>
      <c r="M715" s="855">
        <f t="shared" si="374"/>
        <v>0.99768390642327232</v>
      </c>
      <c r="N715" s="855">
        <f t="shared" si="374"/>
        <v>0.99894727199893907</v>
      </c>
      <c r="O715" s="855">
        <f t="shared" si="374"/>
        <v>0.9997673345988507</v>
      </c>
      <c r="P715" s="855">
        <f t="shared" si="374"/>
        <v>0.99987268871844071</v>
      </c>
      <c r="Q715" s="855">
        <f t="shared" si="374"/>
        <v>0.99944277108433743</v>
      </c>
    </row>
    <row r="716" spans="1:17">
      <c r="A716" s="853" t="s">
        <v>93</v>
      </c>
      <c r="B716" s="854"/>
      <c r="C716" s="855">
        <f t="shared" si="368"/>
        <v>0.98079460624540016</v>
      </c>
      <c r="D716" s="855">
        <f t="shared" ref="D716:Q716" si="375">D399/C399</f>
        <v>0.99457164794905839</v>
      </c>
      <c r="E716" s="855">
        <f t="shared" si="375"/>
        <v>1.0039961412850167</v>
      </c>
      <c r="F716" s="855">
        <f t="shared" si="375"/>
        <v>1.0060441610237498</v>
      </c>
      <c r="G716" s="855">
        <f t="shared" si="375"/>
        <v>1.0027158036831418</v>
      </c>
      <c r="H716" s="855">
        <f t="shared" si="375"/>
        <v>0.99811366435996285</v>
      </c>
      <c r="I716" s="855">
        <f t="shared" si="375"/>
        <v>0.99517262336333012</v>
      </c>
      <c r="J716" s="855">
        <f t="shared" si="375"/>
        <v>0.9933800466597561</v>
      </c>
      <c r="K716" s="855">
        <f t="shared" si="375"/>
        <v>0.99370937755733479</v>
      </c>
      <c r="L716" s="855">
        <f t="shared" si="375"/>
        <v>0.99558524053926811</v>
      </c>
      <c r="M716" s="855">
        <f t="shared" si="375"/>
        <v>0.99757842192693302</v>
      </c>
      <c r="N716" s="855">
        <f t="shared" si="375"/>
        <v>0.9987569019263921</v>
      </c>
      <c r="O716" s="855">
        <f t="shared" si="375"/>
        <v>0.99953086446770223</v>
      </c>
      <c r="P716" s="855">
        <f t="shared" si="375"/>
        <v>0.99968253490405579</v>
      </c>
      <c r="Q716" s="855">
        <f t="shared" si="375"/>
        <v>0.9993676058130988</v>
      </c>
    </row>
    <row r="717" spans="1:17">
      <c r="A717" s="853" t="s">
        <v>94</v>
      </c>
      <c r="B717" s="854"/>
      <c r="C717" s="855">
        <f t="shared" si="368"/>
        <v>0.97754312174171931</v>
      </c>
      <c r="D717" s="855">
        <f t="shared" ref="D717:Q717" si="376">D400/C400</f>
        <v>0.98802631902945659</v>
      </c>
      <c r="E717" s="855">
        <f t="shared" si="376"/>
        <v>0.99572517281634898</v>
      </c>
      <c r="F717" s="855">
        <f t="shared" si="376"/>
        <v>0.99827956649291072</v>
      </c>
      <c r="G717" s="855">
        <f t="shared" si="376"/>
        <v>0.99694776360673265</v>
      </c>
      <c r="H717" s="855">
        <f t="shared" si="376"/>
        <v>0.99481529916928313</v>
      </c>
      <c r="I717" s="855">
        <f t="shared" si="376"/>
        <v>0.9939393939393939</v>
      </c>
      <c r="J717" s="855">
        <f t="shared" si="376"/>
        <v>0.9935958876603036</v>
      </c>
      <c r="K717" s="855">
        <f t="shared" si="376"/>
        <v>0.99435624248891197</v>
      </c>
      <c r="L717" s="855">
        <f t="shared" si="376"/>
        <v>0.99589863518177024</v>
      </c>
      <c r="M717" s="855">
        <f t="shared" si="376"/>
        <v>0.99741639683273919</v>
      </c>
      <c r="N717" s="855">
        <f t="shared" si="376"/>
        <v>0.99839044305101077</v>
      </c>
      <c r="O717" s="855">
        <f t="shared" si="376"/>
        <v>0.99904773745424835</v>
      </c>
      <c r="P717" s="855">
        <f t="shared" si="376"/>
        <v>0.99927110513043527</v>
      </c>
      <c r="Q717" s="855">
        <f t="shared" si="376"/>
        <v>0.99916793369745349</v>
      </c>
    </row>
    <row r="718" spans="1:17">
      <c r="A718" s="853" t="s">
        <v>95</v>
      </c>
      <c r="B718" s="854"/>
      <c r="C718" s="855">
        <f t="shared" si="368"/>
        <v>0.9750791230553344</v>
      </c>
      <c r="D718" s="855">
        <f t="shared" ref="D718:Q718" si="377">D401/C401</f>
        <v>0.98118052812641354</v>
      </c>
      <c r="E718" s="855">
        <f t="shared" si="377"/>
        <v>0.98630803244318188</v>
      </c>
      <c r="F718" s="855">
        <f t="shared" si="377"/>
        <v>0.98908955602449888</v>
      </c>
      <c r="G718" s="855">
        <f t="shared" si="377"/>
        <v>0.9900183933362231</v>
      </c>
      <c r="H718" s="855">
        <f t="shared" si="377"/>
        <v>0.99085524196464392</v>
      </c>
      <c r="I718" s="855">
        <f t="shared" si="377"/>
        <v>0.99244151328971986</v>
      </c>
      <c r="J718" s="855">
        <f t="shared" si="377"/>
        <v>0.99384404741848442</v>
      </c>
      <c r="K718" s="855">
        <f t="shared" si="377"/>
        <v>0.99510150815966858</v>
      </c>
      <c r="L718" s="855">
        <f t="shared" si="377"/>
        <v>0.99620225269012741</v>
      </c>
      <c r="M718" s="855">
        <f t="shared" si="377"/>
        <v>0.99712420606916019</v>
      </c>
      <c r="N718" s="855">
        <f t="shared" si="377"/>
        <v>0.99783727428506863</v>
      </c>
      <c r="O718" s="855">
        <f t="shared" si="377"/>
        <v>0.99835500291898338</v>
      </c>
      <c r="P718" s="855">
        <f t="shared" si="377"/>
        <v>0.9986815607042242</v>
      </c>
      <c r="Q718" s="855">
        <f t="shared" si="377"/>
        <v>0.99884809175865741</v>
      </c>
    </row>
    <row r="719" spans="1:17">
      <c r="A719" s="853" t="s">
        <v>96</v>
      </c>
      <c r="B719" s="854"/>
      <c r="C719" s="855">
        <f t="shared" si="368"/>
        <v>0.97357475518284065</v>
      </c>
      <c r="D719" s="855">
        <f t="shared" ref="D719:Q719" si="378">D402/C402</f>
        <v>0.97491294278482699</v>
      </c>
      <c r="E719" s="855">
        <f t="shared" si="378"/>
        <v>0.97700208258510224</v>
      </c>
      <c r="F719" s="855">
        <f t="shared" si="378"/>
        <v>0.9796537486308905</v>
      </c>
      <c r="G719" s="855">
        <f t="shared" si="378"/>
        <v>0.98272488134481861</v>
      </c>
      <c r="H719" s="855">
        <f t="shared" si="378"/>
        <v>0.98656666818706062</v>
      </c>
      <c r="I719" s="855">
        <f t="shared" si="378"/>
        <v>0.99066095844720925</v>
      </c>
      <c r="J719" s="855">
        <f t="shared" si="378"/>
        <v>0.99388239749215634</v>
      </c>
      <c r="K719" s="855">
        <f t="shared" si="378"/>
        <v>0.99565724282546197</v>
      </c>
      <c r="L719" s="855">
        <f t="shared" si="378"/>
        <v>0.99629989948015329</v>
      </c>
      <c r="M719" s="855">
        <f t="shared" si="378"/>
        <v>0.99661074715037679</v>
      </c>
      <c r="N719" s="855">
        <f t="shared" si="378"/>
        <v>0.99708911777877296</v>
      </c>
      <c r="O719" s="855">
        <f t="shared" si="378"/>
        <v>0.99749709082742988</v>
      </c>
      <c r="P719" s="855">
        <f t="shared" si="378"/>
        <v>0.99795198838595944</v>
      </c>
      <c r="Q719" s="855">
        <f t="shared" si="378"/>
        <v>0.99842358200996706</v>
      </c>
    </row>
    <row r="720" spans="1:17">
      <c r="A720" s="853" t="s">
        <v>97</v>
      </c>
      <c r="B720" s="854"/>
      <c r="C720" s="855">
        <f t="shared" si="368"/>
        <v>0.97222370481070308</v>
      </c>
      <c r="D720" s="855">
        <f t="shared" ref="D720:Q720" si="379">D403/C403</f>
        <v>0.96823118483715875</v>
      </c>
      <c r="E720" s="855">
        <f t="shared" si="379"/>
        <v>0.96683089782191922</v>
      </c>
      <c r="F720" s="855">
        <f t="shared" si="379"/>
        <v>0.96922629570758878</v>
      </c>
      <c r="G720" s="855">
        <f t="shared" si="379"/>
        <v>0.97475491709977136</v>
      </c>
      <c r="H720" s="855">
        <f t="shared" si="379"/>
        <v>0.98222626849921646</v>
      </c>
      <c r="I720" s="855">
        <f t="shared" si="379"/>
        <v>0.98942506701495125</v>
      </c>
      <c r="J720" s="855">
        <f t="shared" si="379"/>
        <v>0.99484098469727222</v>
      </c>
      <c r="K720" s="855">
        <f t="shared" si="379"/>
        <v>0.99709345485625778</v>
      </c>
      <c r="L720" s="855">
        <f t="shared" si="379"/>
        <v>0.99692400563418071</v>
      </c>
      <c r="M720" s="855">
        <f t="shared" si="379"/>
        <v>0.99619999542492355</v>
      </c>
      <c r="N720" s="855">
        <f t="shared" si="379"/>
        <v>0.99612741833742391</v>
      </c>
      <c r="O720" s="855">
        <f t="shared" si="379"/>
        <v>0.99621541874472852</v>
      </c>
      <c r="P720" s="855">
        <f t="shared" si="379"/>
        <v>0.99679041753156161</v>
      </c>
      <c r="Q720" s="855">
        <f t="shared" si="379"/>
        <v>0.99768542857806108</v>
      </c>
    </row>
    <row r="721" spans="1:17">
      <c r="A721" s="853" t="s">
        <v>98</v>
      </c>
      <c r="B721" s="854"/>
      <c r="C721" s="855">
        <f t="shared" si="368"/>
        <v>0.97034167400862381</v>
      </c>
      <c r="D721" s="855">
        <f t="shared" ref="D721:Q721" si="380">D404/C404</f>
        <v>0.9603162029424136</v>
      </c>
      <c r="E721" s="855">
        <f t="shared" si="380"/>
        <v>0.95492055545758125</v>
      </c>
      <c r="F721" s="855">
        <f t="shared" si="380"/>
        <v>0.95706153028616903</v>
      </c>
      <c r="G721" s="855">
        <f t="shared" si="380"/>
        <v>0.9657157867479359</v>
      </c>
      <c r="H721" s="855">
        <f t="shared" si="380"/>
        <v>0.97804998472381044</v>
      </c>
      <c r="I721" s="855">
        <f t="shared" si="380"/>
        <v>0.98953459252131959</v>
      </c>
      <c r="J721" s="855">
        <f t="shared" si="380"/>
        <v>0.9978568098568098</v>
      </c>
      <c r="K721" s="855">
        <f t="shared" si="380"/>
        <v>1.0004725412172075</v>
      </c>
      <c r="L721" s="855">
        <f t="shared" si="380"/>
        <v>0.99880586261416027</v>
      </c>
      <c r="M721" s="855">
        <f t="shared" si="380"/>
        <v>0.99620491584290671</v>
      </c>
      <c r="N721" s="855">
        <f t="shared" si="380"/>
        <v>0.99492865657672247</v>
      </c>
      <c r="O721" s="855">
        <f t="shared" si="380"/>
        <v>0.99427745064873985</v>
      </c>
      <c r="P721" s="855">
        <f t="shared" si="380"/>
        <v>0.99490193580044761</v>
      </c>
      <c r="Q721" s="855">
        <f t="shared" si="380"/>
        <v>0.99643582162758693</v>
      </c>
    </row>
    <row r="722" spans="1:17">
      <c r="A722" s="853" t="s">
        <v>99</v>
      </c>
      <c r="B722" s="854"/>
      <c r="C722" s="855">
        <f t="shared" si="368"/>
        <v>0.9723916565931946</v>
      </c>
      <c r="D722" s="855">
        <f t="shared" ref="D722:Q722" si="381">D405/C405</f>
        <v>0.95934146504032536</v>
      </c>
      <c r="E722" s="855">
        <f t="shared" si="381"/>
        <v>0.95160125237246063</v>
      </c>
      <c r="F722" s="855">
        <f t="shared" si="381"/>
        <v>0.9527300077763472</v>
      </c>
      <c r="G722" s="855">
        <f t="shared" si="381"/>
        <v>0.9616353540084055</v>
      </c>
      <c r="H722" s="855">
        <f t="shared" si="381"/>
        <v>0.97473771292246114</v>
      </c>
      <c r="I722" s="855">
        <f t="shared" si="381"/>
        <v>0.98683450669954242</v>
      </c>
      <c r="J722" s="855">
        <f t="shared" si="381"/>
        <v>0.99576949883618482</v>
      </c>
      <c r="K722" s="855">
        <f t="shared" si="381"/>
        <v>0.99869521521685456</v>
      </c>
      <c r="L722" s="855">
        <f t="shared" si="381"/>
        <v>0.99708287877285195</v>
      </c>
      <c r="M722" s="855">
        <f t="shared" si="381"/>
        <v>0.99457440727620916</v>
      </c>
      <c r="N722" s="855">
        <f t="shared" si="381"/>
        <v>0.99356204862333453</v>
      </c>
      <c r="O722" s="855">
        <f t="shared" si="381"/>
        <v>0.99315930747550663</v>
      </c>
      <c r="P722" s="855">
        <f t="shared" si="381"/>
        <v>0.99401488912882774</v>
      </c>
      <c r="Q722" s="855">
        <f t="shared" si="381"/>
        <v>0.995762492964678</v>
      </c>
    </row>
    <row r="723" spans="1:17">
      <c r="A723" s="853" t="s">
        <v>100</v>
      </c>
      <c r="B723" s="854"/>
      <c r="C723" s="855">
        <f t="shared" si="368"/>
        <v>0.98007276614786909</v>
      </c>
      <c r="D723" s="855">
        <f t="shared" ref="D723:Q723" si="382">D406/C406</f>
        <v>0.96818386509983889</v>
      </c>
      <c r="E723" s="855">
        <f t="shared" si="382"/>
        <v>0.96054463320246652</v>
      </c>
      <c r="F723" s="855">
        <f t="shared" si="382"/>
        <v>0.95981152277152293</v>
      </c>
      <c r="G723" s="855">
        <f t="shared" si="382"/>
        <v>0.96497524317870575</v>
      </c>
      <c r="H723" s="855">
        <f t="shared" si="382"/>
        <v>0.97286835810322314</v>
      </c>
      <c r="I723" s="855">
        <f t="shared" si="382"/>
        <v>0.98005289138314344</v>
      </c>
      <c r="J723" s="855">
        <f t="shared" si="382"/>
        <v>0.98602330975047803</v>
      </c>
      <c r="K723" s="855">
        <f t="shared" si="382"/>
        <v>0.98908568236097105</v>
      </c>
      <c r="L723" s="855">
        <f t="shared" si="382"/>
        <v>0.9898536091565372</v>
      </c>
      <c r="M723" s="855">
        <f t="shared" si="382"/>
        <v>0.99047575118608333</v>
      </c>
      <c r="N723" s="855">
        <f t="shared" si="382"/>
        <v>0.99203404060550349</v>
      </c>
      <c r="O723" s="855">
        <f t="shared" si="382"/>
        <v>0.99345213027068635</v>
      </c>
      <c r="P723" s="855">
        <f t="shared" si="382"/>
        <v>0.99482384326262585</v>
      </c>
      <c r="Q723" s="855">
        <f t="shared" si="382"/>
        <v>0.99609836199058177</v>
      </c>
    </row>
    <row r="724" spans="1:17">
      <c r="A724" s="853" t="s">
        <v>101</v>
      </c>
      <c r="B724" s="854"/>
      <c r="C724" s="855">
        <f t="shared" si="368"/>
        <v>0.99134320369920903</v>
      </c>
      <c r="D724" s="855">
        <f t="shared" ref="D724:L724" si="383">D407/C407</f>
        <v>0.98298721844160408</v>
      </c>
      <c r="E724" s="855">
        <f t="shared" si="383"/>
        <v>0.97658628279964066</v>
      </c>
      <c r="F724" s="855">
        <f t="shared" si="383"/>
        <v>0.97327287887127445</v>
      </c>
      <c r="G724" s="855">
        <f t="shared" si="383"/>
        <v>0.97255236160555802</v>
      </c>
      <c r="H724" s="855">
        <f t="shared" si="383"/>
        <v>0.97240642376244013</v>
      </c>
      <c r="I724" s="855">
        <f t="shared" si="383"/>
        <v>0.9721408787932253</v>
      </c>
      <c r="J724" s="855">
        <f t="shared" si="383"/>
        <v>0.97325243735474543</v>
      </c>
      <c r="K724" s="855">
        <f t="shared" si="383"/>
        <v>0.97595533489442599</v>
      </c>
      <c r="L724" s="855">
        <f t="shared" si="383"/>
        <v>0.97992180056193823</v>
      </c>
      <c r="M724" s="855">
        <f t="shared" ref="D724:Q739" si="384">M407/L407</f>
        <v>0.98504732092380487</v>
      </c>
      <c r="N724" s="855">
        <f t="shared" si="384"/>
        <v>0.99028587067135365</v>
      </c>
      <c r="O724" s="855">
        <f t="shared" si="384"/>
        <v>0.9943386557124575</v>
      </c>
      <c r="P724" s="855">
        <f t="shared" si="384"/>
        <v>0.9963598880712804</v>
      </c>
      <c r="Q724" s="855">
        <f t="shared" si="384"/>
        <v>0.99680834353435654</v>
      </c>
    </row>
    <row r="725" spans="1:17">
      <c r="A725" s="853" t="s">
        <v>102</v>
      </c>
      <c r="B725" s="854"/>
      <c r="C725" s="855">
        <f t="shared" si="368"/>
        <v>1.0022684377486515</v>
      </c>
      <c r="D725" s="855">
        <f t="shared" si="384"/>
        <v>0.99664117788141793</v>
      </c>
      <c r="E725" s="855">
        <f t="shared" si="384"/>
        <v>0.99076705142540089</v>
      </c>
      <c r="F725" s="855">
        <f t="shared" si="384"/>
        <v>0.98474023287929857</v>
      </c>
      <c r="G725" s="855">
        <f t="shared" si="384"/>
        <v>0.97882421622133975</v>
      </c>
      <c r="H725" s="855">
        <f t="shared" si="384"/>
        <v>0.97198267087313572</v>
      </c>
      <c r="I725" s="855">
        <f t="shared" si="384"/>
        <v>0.96556994355245906</v>
      </c>
      <c r="J725" s="855">
        <f t="shared" si="384"/>
        <v>0.96254481841652939</v>
      </c>
      <c r="K725" s="855">
        <f t="shared" si="384"/>
        <v>0.964738026240619</v>
      </c>
      <c r="L725" s="855">
        <f t="shared" si="384"/>
        <v>0.97132550413955676</v>
      </c>
      <c r="M725" s="855">
        <f t="shared" si="384"/>
        <v>0.98044282793198345</v>
      </c>
      <c r="N725" s="855">
        <f t="shared" si="384"/>
        <v>0.98908036985672942</v>
      </c>
      <c r="O725" s="855">
        <f t="shared" si="384"/>
        <v>0.99554290739166929</v>
      </c>
      <c r="P725" s="855">
        <f t="shared" si="384"/>
        <v>0.9980624147509618</v>
      </c>
      <c r="Q725" s="855">
        <f t="shared" si="384"/>
        <v>0.99758512110819997</v>
      </c>
    </row>
    <row r="726" spans="1:17">
      <c r="A726" s="853" t="s">
        <v>103</v>
      </c>
      <c r="B726" s="854"/>
      <c r="C726" s="855">
        <f t="shared" si="368"/>
        <v>1.0140750406511847</v>
      </c>
      <c r="D726" s="855">
        <f t="shared" si="384"/>
        <v>1.0109202224944209</v>
      </c>
      <c r="E726" s="855">
        <f t="shared" si="384"/>
        <v>1.0050520506449923</v>
      </c>
      <c r="F726" s="855">
        <f t="shared" si="384"/>
        <v>0.9957887565994209</v>
      </c>
      <c r="G726" s="855">
        <f t="shared" si="384"/>
        <v>0.98445201113236003</v>
      </c>
      <c r="H726" s="855">
        <f t="shared" si="384"/>
        <v>0.97094303267684823</v>
      </c>
      <c r="I726" s="855">
        <f t="shared" si="384"/>
        <v>0.95844313013605043</v>
      </c>
      <c r="J726" s="855">
        <f t="shared" si="384"/>
        <v>0.95128734290071915</v>
      </c>
      <c r="K726" s="855">
        <f t="shared" si="384"/>
        <v>0.95302111605624285</v>
      </c>
      <c r="L726" s="855">
        <f t="shared" si="384"/>
        <v>0.96255130833925084</v>
      </c>
      <c r="M726" s="855">
        <f t="shared" si="384"/>
        <v>0.97639625763021287</v>
      </c>
      <c r="N726" s="855">
        <f t="shared" si="384"/>
        <v>0.9892108446613932</v>
      </c>
      <c r="O726" s="855">
        <f t="shared" si="384"/>
        <v>0.99851667100702601</v>
      </c>
      <c r="P726" s="855">
        <f t="shared" si="384"/>
        <v>1.0013739495402916</v>
      </c>
      <c r="Q726" s="855">
        <f t="shared" si="384"/>
        <v>0.99939988964413595</v>
      </c>
    </row>
    <row r="727" spans="1:17">
      <c r="A727" s="853" t="s">
        <v>104</v>
      </c>
      <c r="B727" s="854"/>
      <c r="C727" s="855">
        <f t="shared" si="368"/>
        <v>1.0223505492333322</v>
      </c>
      <c r="D727" s="855">
        <f t="shared" si="384"/>
        <v>1.0211968975382364</v>
      </c>
      <c r="E727" s="855">
        <f t="shared" si="384"/>
        <v>1.0156771770678374</v>
      </c>
      <c r="F727" s="855">
        <f t="shared" si="384"/>
        <v>1.0047872667308519</v>
      </c>
      <c r="G727" s="855">
        <f t="shared" si="384"/>
        <v>0.99063825796573757</v>
      </c>
      <c r="H727" s="855">
        <f t="shared" si="384"/>
        <v>0.97396355329635842</v>
      </c>
      <c r="I727" s="855">
        <f t="shared" si="384"/>
        <v>0.9587481392501217</v>
      </c>
      <c r="J727" s="855">
        <f t="shared" si="384"/>
        <v>0.94944356961743548</v>
      </c>
      <c r="K727" s="855">
        <f t="shared" si="384"/>
        <v>0.9501010907588423</v>
      </c>
      <c r="L727" s="855">
        <f t="shared" si="384"/>
        <v>0.95955944779497904</v>
      </c>
      <c r="M727" s="855">
        <f t="shared" si="384"/>
        <v>0.97368950380901942</v>
      </c>
      <c r="N727" s="855">
        <f t="shared" si="384"/>
        <v>0.98663898320818688</v>
      </c>
      <c r="O727" s="855">
        <f t="shared" si="384"/>
        <v>0.99621795398466506</v>
      </c>
      <c r="P727" s="855">
        <f t="shared" si="384"/>
        <v>0.9992910008992183</v>
      </c>
      <c r="Q727" s="855">
        <f t="shared" si="384"/>
        <v>0.99745484411585783</v>
      </c>
    </row>
    <row r="728" spans="1:17">
      <c r="A728" s="853" t="s">
        <v>105</v>
      </c>
      <c r="B728" s="854"/>
      <c r="C728" s="855">
        <f t="shared" si="368"/>
        <v>1.0243091596600078</v>
      </c>
      <c r="D728" s="855">
        <f t="shared" si="384"/>
        <v>1.0245215016796223</v>
      </c>
      <c r="E728" s="855">
        <f t="shared" si="384"/>
        <v>1.0203089772849734</v>
      </c>
      <c r="F728" s="855">
        <f t="shared" si="384"/>
        <v>1.0106812513398624</v>
      </c>
      <c r="G728" s="855">
        <f t="shared" si="384"/>
        <v>0.99778058064976727</v>
      </c>
      <c r="H728" s="855">
        <f t="shared" si="384"/>
        <v>0.98299637881044133</v>
      </c>
      <c r="I728" s="855">
        <f t="shared" si="384"/>
        <v>0.96977509871540735</v>
      </c>
      <c r="J728" s="855">
        <f t="shared" si="384"/>
        <v>0.96114224672459636</v>
      </c>
      <c r="K728" s="855">
        <f t="shared" si="384"/>
        <v>0.95994816395131044</v>
      </c>
      <c r="L728" s="855">
        <f t="shared" si="384"/>
        <v>0.96508352718273638</v>
      </c>
      <c r="M728" s="855">
        <f t="shared" si="384"/>
        <v>0.97302675944839168</v>
      </c>
      <c r="N728" s="855">
        <f t="shared" si="384"/>
        <v>0.9801223644743764</v>
      </c>
      <c r="O728" s="855">
        <f t="shared" si="384"/>
        <v>0.98604223964664939</v>
      </c>
      <c r="P728" s="855">
        <f t="shared" si="384"/>
        <v>0.98906131251258544</v>
      </c>
      <c r="Q728" s="855">
        <f t="shared" si="384"/>
        <v>0.98979542245427377</v>
      </c>
    </row>
    <row r="729" spans="1:17">
      <c r="A729" s="853" t="s">
        <v>106</v>
      </c>
      <c r="B729" s="854"/>
      <c r="C729" s="855">
        <f t="shared" si="368"/>
        <v>1.0217445885533751</v>
      </c>
      <c r="D729" s="855">
        <f t="shared" si="384"/>
        <v>1.0229405025864236</v>
      </c>
      <c r="E729" s="855">
        <f t="shared" si="384"/>
        <v>1.0208190147000928</v>
      </c>
      <c r="F729" s="855">
        <f t="shared" si="384"/>
        <v>1.0145953036176132</v>
      </c>
      <c r="G729" s="855">
        <f t="shared" si="384"/>
        <v>1.0057779758293559</v>
      </c>
      <c r="H729" s="855">
        <f t="shared" si="384"/>
        <v>0.99619932612771112</v>
      </c>
      <c r="I729" s="855">
        <f t="shared" si="384"/>
        <v>0.98774857573977937</v>
      </c>
      <c r="J729" s="855">
        <f t="shared" si="384"/>
        <v>0.98103688465895045</v>
      </c>
      <c r="K729" s="855">
        <f t="shared" si="384"/>
        <v>0.97707049057405049</v>
      </c>
      <c r="L729" s="855">
        <f t="shared" si="384"/>
        <v>0.97539030621196121</v>
      </c>
      <c r="M729" s="855">
        <f t="shared" si="384"/>
        <v>0.97401625333195629</v>
      </c>
      <c r="N729" s="855">
        <f t="shared" si="384"/>
        <v>0.97254390354326015</v>
      </c>
      <c r="O729" s="855">
        <f t="shared" si="384"/>
        <v>0.97277332336961531</v>
      </c>
      <c r="P729" s="855">
        <f t="shared" si="384"/>
        <v>0.97517473270618449</v>
      </c>
      <c r="Q729" s="855">
        <f t="shared" si="384"/>
        <v>0.97931703335799902</v>
      </c>
    </row>
    <row r="730" spans="1:17">
      <c r="A730" s="853" t="s">
        <v>107</v>
      </c>
      <c r="B730" s="854"/>
      <c r="C730" s="855">
        <f t="shared" si="368"/>
        <v>1.0198720487101331</v>
      </c>
      <c r="D730" s="855">
        <f t="shared" si="384"/>
        <v>1.0224331002513676</v>
      </c>
      <c r="E730" s="855">
        <f t="shared" si="384"/>
        <v>1.0225587223575809</v>
      </c>
      <c r="F730" s="855">
        <f t="shared" si="384"/>
        <v>1.0195795396082503</v>
      </c>
      <c r="G730" s="855">
        <f t="shared" si="384"/>
        <v>1.0144505547752105</v>
      </c>
      <c r="H730" s="855">
        <f t="shared" si="384"/>
        <v>1.0094463306116892</v>
      </c>
      <c r="I730" s="855">
        <f t="shared" si="384"/>
        <v>1.0049046748327852</v>
      </c>
      <c r="J730" s="855">
        <f t="shared" si="384"/>
        <v>0.99917084850557891</v>
      </c>
      <c r="K730" s="855">
        <f t="shared" si="384"/>
        <v>0.9920211901589262</v>
      </c>
      <c r="L730" s="855">
        <f t="shared" si="384"/>
        <v>0.98410514303187158</v>
      </c>
      <c r="M730" s="855">
        <f t="shared" si="384"/>
        <v>0.9748488043056095</v>
      </c>
      <c r="N730" s="855">
        <f t="shared" si="384"/>
        <v>0.96627034041560189</v>
      </c>
      <c r="O730" s="855">
        <f t="shared" si="384"/>
        <v>0.96165418316930817</v>
      </c>
      <c r="P730" s="855">
        <f t="shared" si="384"/>
        <v>0.96329308688919824</v>
      </c>
      <c r="Q730" s="855">
        <f t="shared" si="384"/>
        <v>0.97021517409771851</v>
      </c>
    </row>
    <row r="731" spans="1:17">
      <c r="A731" s="853" t="s">
        <v>108</v>
      </c>
      <c r="B731" s="854"/>
      <c r="C731" s="855">
        <f t="shared" si="368"/>
        <v>1.0180002359438962</v>
      </c>
      <c r="D731" s="855">
        <f t="shared" si="384"/>
        <v>1.0224532188263618</v>
      </c>
      <c r="E731" s="855">
        <f t="shared" si="384"/>
        <v>1.0252775028883701</v>
      </c>
      <c r="F731" s="855">
        <f t="shared" si="384"/>
        <v>1.0258619972351424</v>
      </c>
      <c r="G731" s="855">
        <f t="shared" si="384"/>
        <v>1.0245252192855405</v>
      </c>
      <c r="H731" s="855">
        <f t="shared" si="384"/>
        <v>1.0241032531248728</v>
      </c>
      <c r="I731" s="855">
        <f t="shared" si="384"/>
        <v>1.0231372886821539</v>
      </c>
      <c r="J731" s="855">
        <f t="shared" si="384"/>
        <v>1.017597108992411</v>
      </c>
      <c r="K731" s="855">
        <f t="shared" si="384"/>
        <v>1.0064661070344372</v>
      </c>
      <c r="L731" s="855">
        <f t="shared" si="384"/>
        <v>0.99198194039571785</v>
      </c>
      <c r="M731" s="855">
        <f t="shared" si="384"/>
        <v>0.97492377158034538</v>
      </c>
      <c r="N731" s="855">
        <f t="shared" si="384"/>
        <v>0.95941685637287533</v>
      </c>
      <c r="O731" s="855">
        <f t="shared" si="384"/>
        <v>0.95004691017553278</v>
      </c>
      <c r="P731" s="855">
        <f t="shared" si="384"/>
        <v>0.95096643221703747</v>
      </c>
      <c r="Q731" s="855">
        <f t="shared" si="384"/>
        <v>0.96095240968853957</v>
      </c>
    </row>
    <row r="732" spans="1:17">
      <c r="A732" s="853" t="s">
        <v>109</v>
      </c>
      <c r="B732" s="854"/>
      <c r="C732" s="855">
        <f t="shared" si="368"/>
        <v>1.0148467894180677</v>
      </c>
      <c r="D732" s="855">
        <f t="shared" si="384"/>
        <v>1.0199697632669191</v>
      </c>
      <c r="E732" s="855">
        <f t="shared" si="384"/>
        <v>1.0246945993308905</v>
      </c>
      <c r="F732" s="855">
        <f t="shared" si="384"/>
        <v>1.0285845415615154</v>
      </c>
      <c r="G732" s="855">
        <f t="shared" si="384"/>
        <v>1.031139696946612</v>
      </c>
      <c r="H732" s="855">
        <f t="shared" si="384"/>
        <v>1.0350460576849783</v>
      </c>
      <c r="I732" s="855">
        <f t="shared" si="384"/>
        <v>1.0372187351295008</v>
      </c>
      <c r="J732" s="855">
        <f t="shared" si="384"/>
        <v>1.0321638065693031</v>
      </c>
      <c r="K732" s="855">
        <f t="shared" si="384"/>
        <v>1.0186133144251071</v>
      </c>
      <c r="L732" s="855">
        <f t="shared" si="384"/>
        <v>1.0001828565729145</v>
      </c>
      <c r="M732" s="855">
        <f t="shared" si="384"/>
        <v>0.97891301254104435</v>
      </c>
      <c r="N732" s="855">
        <f t="shared" si="384"/>
        <v>0.95994499028522484</v>
      </c>
      <c r="O732" s="855">
        <f t="shared" si="384"/>
        <v>0.94790478338152973</v>
      </c>
      <c r="P732" s="855">
        <f t="shared" si="384"/>
        <v>0.94755599092716658</v>
      </c>
      <c r="Q732" s="855">
        <f t="shared" si="384"/>
        <v>0.95757839056581029</v>
      </c>
    </row>
    <row r="733" spans="1:17">
      <c r="A733" s="853" t="s">
        <v>110</v>
      </c>
      <c r="B733" s="854"/>
      <c r="C733" s="855">
        <f t="shared" si="368"/>
        <v>1.0105507667818405</v>
      </c>
      <c r="D733" s="855">
        <f t="shared" si="384"/>
        <v>1.0141646241420392</v>
      </c>
      <c r="E733" s="855">
        <f t="shared" si="384"/>
        <v>1.0190245265953097</v>
      </c>
      <c r="F733" s="855">
        <f t="shared" si="384"/>
        <v>1.0251516747296767</v>
      </c>
      <c r="G733" s="855">
        <f t="shared" si="384"/>
        <v>1.031221365374664</v>
      </c>
      <c r="H733" s="855">
        <f t="shared" si="384"/>
        <v>1.0386978962042575</v>
      </c>
      <c r="I733" s="855">
        <f t="shared" si="384"/>
        <v>1.043514225283239</v>
      </c>
      <c r="J733" s="855">
        <f t="shared" si="384"/>
        <v>1.0401346440919879</v>
      </c>
      <c r="K733" s="855">
        <f t="shared" si="384"/>
        <v>1.0272999564668448</v>
      </c>
      <c r="L733" s="855">
        <f t="shared" si="384"/>
        <v>1.0091346783840791</v>
      </c>
      <c r="M733" s="855">
        <f t="shared" si="384"/>
        <v>0.98878554194661805</v>
      </c>
      <c r="N733" s="855">
        <f t="shared" si="384"/>
        <v>0.97112322459090517</v>
      </c>
      <c r="O733" s="855">
        <f t="shared" si="384"/>
        <v>0.9593316124163398</v>
      </c>
      <c r="P733" s="855">
        <f t="shared" si="384"/>
        <v>0.95705964336301896</v>
      </c>
      <c r="Q733" s="855">
        <f t="shared" si="384"/>
        <v>0.96289653386610352</v>
      </c>
    </row>
    <row r="734" spans="1:17">
      <c r="A734" s="853" t="s">
        <v>111</v>
      </c>
      <c r="B734" s="854"/>
      <c r="C734" s="855">
        <f t="shared" si="368"/>
        <v>1.0057282380361579</v>
      </c>
      <c r="D734" s="855">
        <f t="shared" si="384"/>
        <v>1.0063873098001839</v>
      </c>
      <c r="E734" s="855">
        <f t="shared" si="384"/>
        <v>1.0100281958447659</v>
      </c>
      <c r="F734" s="855">
        <f t="shared" si="384"/>
        <v>1.0173670645977111</v>
      </c>
      <c r="G734" s="855">
        <f t="shared" si="384"/>
        <v>1.0264386900208426</v>
      </c>
      <c r="H734" s="855">
        <f t="shared" si="384"/>
        <v>1.0368522255131976</v>
      </c>
      <c r="I734" s="855">
        <f t="shared" si="384"/>
        <v>1.0440293355701209</v>
      </c>
      <c r="J734" s="855">
        <f t="shared" si="384"/>
        <v>1.0434048947079659</v>
      </c>
      <c r="K734" s="855">
        <f t="shared" si="384"/>
        <v>1.033709626130014</v>
      </c>
      <c r="L734" s="855">
        <f t="shared" si="384"/>
        <v>1.0187969263965582</v>
      </c>
      <c r="M734" s="855">
        <f t="shared" si="384"/>
        <v>1.0027315539231174</v>
      </c>
      <c r="N734" s="855">
        <f t="shared" si="384"/>
        <v>0.98917990544650491</v>
      </c>
      <c r="O734" s="855">
        <f t="shared" si="384"/>
        <v>0.9789765629501741</v>
      </c>
      <c r="P734" s="855">
        <f t="shared" si="384"/>
        <v>0.97395846058508773</v>
      </c>
      <c r="Q734" s="855">
        <f t="shared" si="384"/>
        <v>0.97312647591724943</v>
      </c>
    </row>
    <row r="735" spans="1:17">
      <c r="A735" s="853" t="s">
        <v>112</v>
      </c>
      <c r="B735" s="854"/>
      <c r="C735" s="855">
        <f t="shared" si="368"/>
        <v>1.0003684588132566</v>
      </c>
      <c r="D735" s="855">
        <f t="shared" si="384"/>
        <v>0.9980555320044977</v>
      </c>
      <c r="E735" s="855">
        <f t="shared" si="384"/>
        <v>1.0004888048373575</v>
      </c>
      <c r="F735" s="855">
        <f t="shared" si="384"/>
        <v>1.009243780526677</v>
      </c>
      <c r="G735" s="855">
        <f t="shared" si="384"/>
        <v>1.0217744493635097</v>
      </c>
      <c r="H735" s="855">
        <f t="shared" si="384"/>
        <v>1.0357477411325788</v>
      </c>
      <c r="I735" s="855">
        <f t="shared" si="384"/>
        <v>1.0457918372772506</v>
      </c>
      <c r="J735" s="855">
        <f t="shared" si="384"/>
        <v>1.0480909181537235</v>
      </c>
      <c r="K735" s="855">
        <f t="shared" si="384"/>
        <v>1.0413222649190557</v>
      </c>
      <c r="L735" s="855">
        <f t="shared" si="384"/>
        <v>1.0291735696661555</v>
      </c>
      <c r="M735" s="855">
        <f t="shared" si="384"/>
        <v>1.0167110801461763</v>
      </c>
      <c r="N735" s="855">
        <f t="shared" si="384"/>
        <v>1.0064019396775132</v>
      </c>
      <c r="O735" s="855">
        <f t="shared" si="384"/>
        <v>0.99686764074474032</v>
      </c>
      <c r="P735" s="855">
        <f t="shared" si="384"/>
        <v>0.98870917394572011</v>
      </c>
      <c r="Q735" s="855">
        <f t="shared" si="384"/>
        <v>0.98177963957502323</v>
      </c>
    </row>
    <row r="736" spans="1:17">
      <c r="A736" s="853" t="s">
        <v>113</v>
      </c>
      <c r="B736" s="854"/>
      <c r="C736" s="855">
        <f t="shared" si="368"/>
        <v>0.99404918941720699</v>
      </c>
      <c r="D736" s="855">
        <f t="shared" si="384"/>
        <v>0.98819886090267728</v>
      </c>
      <c r="E736" s="855">
        <f t="shared" si="384"/>
        <v>0.9890618402419723</v>
      </c>
      <c r="F736" s="855">
        <f t="shared" si="384"/>
        <v>0.99939593007890659</v>
      </c>
      <c r="G736" s="855">
        <f t="shared" si="384"/>
        <v>1.0161424839374293</v>
      </c>
      <c r="H736" s="855">
        <f t="shared" si="384"/>
        <v>1.0346976361109363</v>
      </c>
      <c r="I736" s="855">
        <f t="shared" si="384"/>
        <v>1.0484341272100628</v>
      </c>
      <c r="J736" s="855">
        <f t="shared" si="384"/>
        <v>1.0542396562405263</v>
      </c>
      <c r="K736" s="855">
        <f t="shared" si="384"/>
        <v>1.0506176389687678</v>
      </c>
      <c r="L736" s="855">
        <f t="shared" si="384"/>
        <v>1.0411576748918547</v>
      </c>
      <c r="M736" s="855">
        <f t="shared" si="384"/>
        <v>1.0321526134714079</v>
      </c>
      <c r="N736" s="855">
        <f t="shared" si="384"/>
        <v>1.0246882682554097</v>
      </c>
      <c r="O736" s="855">
        <f t="shared" si="384"/>
        <v>1.0150413805475762</v>
      </c>
      <c r="P736" s="855">
        <f t="shared" si="384"/>
        <v>1.0029609297809274</v>
      </c>
      <c r="Q736" s="855">
        <f t="shared" si="384"/>
        <v>0.98960311588056638</v>
      </c>
    </row>
    <row r="737" spans="1:17">
      <c r="A737" s="853" t="s">
        <v>114</v>
      </c>
      <c r="B737" s="854"/>
      <c r="C737" s="855">
        <f t="shared" si="368"/>
        <v>0.99086399072224718</v>
      </c>
      <c r="D737" s="855">
        <f t="shared" si="384"/>
        <v>0.98307815462153791</v>
      </c>
      <c r="E737" s="855">
        <f t="shared" si="384"/>
        <v>0.98267957957119323</v>
      </c>
      <c r="F737" s="855">
        <f t="shared" si="384"/>
        <v>0.99298800871712567</v>
      </c>
      <c r="G737" s="855">
        <f t="shared" si="384"/>
        <v>1.0110049843270106</v>
      </c>
      <c r="H737" s="855">
        <f t="shared" si="384"/>
        <v>1.0309407065393101</v>
      </c>
      <c r="I737" s="855">
        <f t="shared" si="384"/>
        <v>1.0461143370802106</v>
      </c>
      <c r="J737" s="855">
        <f t="shared" si="384"/>
        <v>1.0544094669847748</v>
      </c>
      <c r="K737" s="855">
        <f t="shared" si="384"/>
        <v>1.0542235289185167</v>
      </c>
      <c r="L737" s="855">
        <f t="shared" si="384"/>
        <v>1.0483735462334427</v>
      </c>
      <c r="M737" s="855">
        <f t="shared" si="384"/>
        <v>1.0433011639995873</v>
      </c>
      <c r="N737" s="855">
        <f t="shared" si="384"/>
        <v>1.0387349389376468</v>
      </c>
      <c r="O737" s="855">
        <f t="shared" si="384"/>
        <v>1.0295490792781243</v>
      </c>
      <c r="P737" s="855">
        <f t="shared" si="384"/>
        <v>1.0151521429854002</v>
      </c>
      <c r="Q737" s="855">
        <f t="shared" si="384"/>
        <v>0.99789627483651644</v>
      </c>
    </row>
    <row r="738" spans="1:17">
      <c r="A738" s="853" t="s">
        <v>115</v>
      </c>
      <c r="B738" s="854"/>
      <c r="C738" s="855">
        <f t="shared" si="368"/>
        <v>0.99287350063257673</v>
      </c>
      <c r="D738" s="855">
        <f t="shared" si="384"/>
        <v>0.98611685420937334</v>
      </c>
      <c r="E738" s="855">
        <f t="shared" si="384"/>
        <v>0.98550653521880727</v>
      </c>
      <c r="F738" s="855">
        <f t="shared" si="384"/>
        <v>0.99367043724528969</v>
      </c>
      <c r="G738" s="855">
        <f t="shared" si="384"/>
        <v>1.0082239039856173</v>
      </c>
      <c r="H738" s="855">
        <f t="shared" si="384"/>
        <v>1.0241044964938915</v>
      </c>
      <c r="I738" s="855">
        <f t="shared" si="384"/>
        <v>1.036605003904475</v>
      </c>
      <c r="J738" s="855">
        <f t="shared" si="384"/>
        <v>1.0450104982408353</v>
      </c>
      <c r="K738" s="855">
        <f t="shared" si="384"/>
        <v>1.0479916699135361</v>
      </c>
      <c r="L738" s="855">
        <f t="shared" si="384"/>
        <v>1.0467862241210015</v>
      </c>
      <c r="M738" s="855">
        <f t="shared" si="384"/>
        <v>1.0462073446152893</v>
      </c>
      <c r="N738" s="855">
        <f t="shared" si="384"/>
        <v>1.0448951637895754</v>
      </c>
      <c r="O738" s="855">
        <f t="shared" si="384"/>
        <v>1.0377894175593665</v>
      </c>
      <c r="P738" s="855">
        <f t="shared" si="384"/>
        <v>1.0242323160814659</v>
      </c>
      <c r="Q738" s="855">
        <f t="shared" si="384"/>
        <v>1.0071504186520066</v>
      </c>
    </row>
    <row r="739" spans="1:17">
      <c r="A739" s="853" t="s">
        <v>116</v>
      </c>
      <c r="B739" s="854"/>
      <c r="C739" s="855">
        <f t="shared" si="368"/>
        <v>0.99843235105853345</v>
      </c>
      <c r="D739" s="855">
        <f t="shared" si="384"/>
        <v>0.99463075694751568</v>
      </c>
      <c r="E739" s="855">
        <f t="shared" si="384"/>
        <v>0.99440780639193094</v>
      </c>
      <c r="F739" s="855">
        <f t="shared" si="384"/>
        <v>0.99905472397940198</v>
      </c>
      <c r="G739" s="855">
        <f t="shared" si="384"/>
        <v>1.0072434601602183</v>
      </c>
      <c r="H739" s="855">
        <f t="shared" si="384"/>
        <v>1.0157604765419397</v>
      </c>
      <c r="I739" s="855">
        <f t="shared" si="384"/>
        <v>1.0228540811907785</v>
      </c>
      <c r="J739" s="855">
        <f t="shared" si="384"/>
        <v>1.0293683733158823</v>
      </c>
      <c r="K739" s="855">
        <f t="shared" si="384"/>
        <v>1.0347694306730537</v>
      </c>
      <c r="L739" s="855">
        <f t="shared" si="384"/>
        <v>1.038601091070281</v>
      </c>
      <c r="M739" s="855">
        <f t="shared" si="384"/>
        <v>1.0428510086825442</v>
      </c>
      <c r="N739" s="855">
        <f t="shared" si="384"/>
        <v>1.0451940504223842</v>
      </c>
      <c r="O739" s="855">
        <f t="shared" si="384"/>
        <v>1.0415986289305181</v>
      </c>
      <c r="P739" s="855">
        <f t="shared" si="384"/>
        <v>1.0313298414483096</v>
      </c>
      <c r="Q739" s="855">
        <f t="shared" si="384"/>
        <v>1.0172913312895875</v>
      </c>
    </row>
    <row r="740" spans="1:17">
      <c r="A740" s="853" t="s">
        <v>117</v>
      </c>
      <c r="B740" s="854"/>
      <c r="C740" s="855">
        <f t="shared" si="368"/>
        <v>1.0038511046708569</v>
      </c>
      <c r="D740" s="855">
        <f t="shared" ref="D740:Q755" si="385">D423/C423</f>
        <v>1.0025900480366177</v>
      </c>
      <c r="E740" s="855">
        <f t="shared" si="385"/>
        <v>1.0023799195225203</v>
      </c>
      <c r="F740" s="855">
        <f t="shared" si="385"/>
        <v>1.0034278414746434</v>
      </c>
      <c r="G740" s="855">
        <f t="shared" si="385"/>
        <v>1.0055696179941047</v>
      </c>
      <c r="H740" s="855">
        <f t="shared" si="385"/>
        <v>1.0071138797562054</v>
      </c>
      <c r="I740" s="855">
        <f t="shared" si="385"/>
        <v>1.0088890128981001</v>
      </c>
      <c r="J740" s="855">
        <f t="shared" si="385"/>
        <v>1.0133477727996554</v>
      </c>
      <c r="K740" s="855">
        <f t="shared" si="385"/>
        <v>1.0211096044678356</v>
      </c>
      <c r="L740" s="855">
        <f t="shared" si="385"/>
        <v>1.0303191010477273</v>
      </c>
      <c r="M740" s="855">
        <f t="shared" si="385"/>
        <v>1.0401010342355874</v>
      </c>
      <c r="N740" s="855">
        <f t="shared" si="385"/>
        <v>1.0467185440721662</v>
      </c>
      <c r="O740" s="855">
        <f t="shared" si="385"/>
        <v>1.0468932236081396</v>
      </c>
      <c r="P740" s="855">
        <f t="shared" si="385"/>
        <v>1.0397183442783591</v>
      </c>
      <c r="Q740" s="855">
        <f t="shared" si="385"/>
        <v>1.028200300944542</v>
      </c>
    </row>
    <row r="741" spans="1:17">
      <c r="A741" s="853" t="s">
        <v>118</v>
      </c>
      <c r="B741" s="854"/>
      <c r="C741" s="855">
        <f t="shared" si="368"/>
        <v>1.0099690426141792</v>
      </c>
      <c r="D741" s="855">
        <f t="shared" si="385"/>
        <v>1.0112738138125412</v>
      </c>
      <c r="E741" s="855">
        <f t="shared" si="385"/>
        <v>1.0108038689166494</v>
      </c>
      <c r="F741" s="855">
        <f t="shared" si="385"/>
        <v>1.0078156466936765</v>
      </c>
      <c r="G741" s="855">
        <f t="shared" si="385"/>
        <v>1.0035292907624267</v>
      </c>
      <c r="H741" s="855">
        <f t="shared" si="385"/>
        <v>0.99765443811933374</v>
      </c>
      <c r="I741" s="855">
        <f t="shared" si="385"/>
        <v>0.99348390789415764</v>
      </c>
      <c r="J741" s="855">
        <f t="shared" si="385"/>
        <v>0.99525666592805961</v>
      </c>
      <c r="K741" s="855">
        <f t="shared" si="385"/>
        <v>1.0052735554866201</v>
      </c>
      <c r="L741" s="855">
        <f t="shared" si="385"/>
        <v>1.0206026352001796</v>
      </c>
      <c r="M741" s="855">
        <f t="shared" si="385"/>
        <v>1.0371372854237131</v>
      </c>
      <c r="N741" s="855">
        <f t="shared" si="385"/>
        <v>1.0490907594603001</v>
      </c>
      <c r="O741" s="855">
        <f t="shared" si="385"/>
        <v>1.0537726479203202</v>
      </c>
      <c r="P741" s="855">
        <f t="shared" si="385"/>
        <v>1.0499360295954598</v>
      </c>
      <c r="Q741" s="855">
        <f t="shared" si="385"/>
        <v>1.0408060750050172</v>
      </c>
    </row>
    <row r="742" spans="1:17">
      <c r="A742" s="853" t="s">
        <v>119</v>
      </c>
      <c r="B742" s="854"/>
      <c r="C742" s="855">
        <f t="shared" ref="C742:C773" si="386">C425/B425</f>
        <v>1.0149381089029332</v>
      </c>
      <c r="D742" s="855">
        <f t="shared" si="385"/>
        <v>1.0181590138195269</v>
      </c>
      <c r="E742" s="855">
        <f t="shared" si="385"/>
        <v>1.0174979543758373</v>
      </c>
      <c r="F742" s="855">
        <f t="shared" si="385"/>
        <v>1.0116429095343722</v>
      </c>
      <c r="G742" s="855">
        <f t="shared" si="385"/>
        <v>1.0028637609756879</v>
      </c>
      <c r="H742" s="855">
        <f t="shared" si="385"/>
        <v>0.99196313727995156</v>
      </c>
      <c r="I742" s="855">
        <f t="shared" si="385"/>
        <v>0.98359993560567249</v>
      </c>
      <c r="J742" s="855">
        <f t="shared" si="385"/>
        <v>0.98278488998399016</v>
      </c>
      <c r="K742" s="855">
        <f t="shared" si="385"/>
        <v>0.99302967083210947</v>
      </c>
      <c r="L742" s="855">
        <f t="shared" si="385"/>
        <v>1.0112515436569041</v>
      </c>
      <c r="M742" s="855">
        <f t="shared" si="385"/>
        <v>1.0313362179438859</v>
      </c>
      <c r="N742" s="855">
        <f t="shared" si="385"/>
        <v>1.0464744362825713</v>
      </c>
      <c r="O742" s="855">
        <f t="shared" si="385"/>
        <v>1.0547308368733299</v>
      </c>
      <c r="P742" s="855">
        <f t="shared" si="385"/>
        <v>1.0545197848610748</v>
      </c>
      <c r="Q742" s="855">
        <f t="shared" si="385"/>
        <v>1.0486566391865484</v>
      </c>
    </row>
    <row r="743" spans="1:17">
      <c r="A743" s="853" t="s">
        <v>120</v>
      </c>
      <c r="B743" s="854"/>
      <c r="C743" s="855">
        <f t="shared" si="386"/>
        <v>1.0173532129239227</v>
      </c>
      <c r="D743" s="855">
        <f t="shared" si="385"/>
        <v>1.0213215192907887</v>
      </c>
      <c r="E743" s="855">
        <f t="shared" si="385"/>
        <v>1.0207334651367836</v>
      </c>
      <c r="F743" s="855">
        <f t="shared" si="385"/>
        <v>1.0141287075880816</v>
      </c>
      <c r="G743" s="855">
        <f t="shared" si="385"/>
        <v>1.0040785417251099</v>
      </c>
      <c r="H743" s="855">
        <f t="shared" si="385"/>
        <v>0.99208016247899167</v>
      </c>
      <c r="I743" s="855">
        <f t="shared" si="385"/>
        <v>0.98277316196963194</v>
      </c>
      <c r="J743" s="855">
        <f t="shared" si="385"/>
        <v>0.98053064496971143</v>
      </c>
      <c r="K743" s="855">
        <f t="shared" si="385"/>
        <v>0.98874784791802628</v>
      </c>
      <c r="L743" s="855">
        <f t="shared" si="385"/>
        <v>1.0048056896424984</v>
      </c>
      <c r="M743" s="855">
        <f t="shared" si="385"/>
        <v>1.0226728891625541</v>
      </c>
      <c r="N743" s="855">
        <f t="shared" si="385"/>
        <v>1.0366488323223892</v>
      </c>
      <c r="O743" s="855">
        <f t="shared" si="385"/>
        <v>1.0460018315623916</v>
      </c>
      <c r="P743" s="855">
        <f t="shared" si="385"/>
        <v>1.0491534252637857</v>
      </c>
      <c r="Q743" s="855">
        <f t="shared" si="385"/>
        <v>1.047631336936786</v>
      </c>
    </row>
    <row r="744" spans="1:17">
      <c r="A744" s="853" t="s">
        <v>121</v>
      </c>
      <c r="B744" s="854"/>
      <c r="C744" s="855">
        <f t="shared" si="386"/>
        <v>1.0181421288297468</v>
      </c>
      <c r="D744" s="855">
        <f t="shared" si="385"/>
        <v>1.0220496558125143</v>
      </c>
      <c r="E744" s="855">
        <f t="shared" si="385"/>
        <v>1.0217237976461473</v>
      </c>
      <c r="F744" s="855">
        <f t="shared" si="385"/>
        <v>1.0157705201190417</v>
      </c>
      <c r="G744" s="855">
        <f t="shared" si="385"/>
        <v>1.0065436493642292</v>
      </c>
      <c r="H744" s="855">
        <f t="shared" si="385"/>
        <v>0.99596343035975587</v>
      </c>
      <c r="I744" s="855">
        <f t="shared" si="385"/>
        <v>0.9878324827903241</v>
      </c>
      <c r="J744" s="855">
        <f t="shared" si="385"/>
        <v>0.98501561027332707</v>
      </c>
      <c r="K744" s="855">
        <f t="shared" si="385"/>
        <v>0.98996509011534461</v>
      </c>
      <c r="L744" s="855">
        <f t="shared" si="385"/>
        <v>1.0008245828381053</v>
      </c>
      <c r="M744" s="855">
        <f t="shared" si="385"/>
        <v>1.0127961563243646</v>
      </c>
      <c r="N744" s="855">
        <f t="shared" si="385"/>
        <v>1.0225677501828871</v>
      </c>
      <c r="O744" s="855">
        <f t="shared" si="385"/>
        <v>1.0308585133012591</v>
      </c>
      <c r="P744" s="855">
        <f t="shared" si="385"/>
        <v>1.0366499176684263</v>
      </c>
      <c r="Q744" s="855">
        <f t="shared" si="385"/>
        <v>1.0399285553593707</v>
      </c>
    </row>
    <row r="745" spans="1:17">
      <c r="A745" s="853" t="s">
        <v>122</v>
      </c>
      <c r="B745" s="854"/>
      <c r="C745" s="855">
        <f t="shared" si="386"/>
        <v>1.0196525622659367</v>
      </c>
      <c r="D745" s="855">
        <f t="shared" si="385"/>
        <v>1.0237191828190129</v>
      </c>
      <c r="E745" s="855">
        <f t="shared" si="385"/>
        <v>1.023642809323839</v>
      </c>
      <c r="F745" s="855">
        <f t="shared" si="385"/>
        <v>1.0180460448379036</v>
      </c>
      <c r="G745" s="855">
        <f t="shared" si="385"/>
        <v>1.009173334112013</v>
      </c>
      <c r="H745" s="855">
        <f t="shared" si="385"/>
        <v>0.99948350918615814</v>
      </c>
      <c r="I745" s="855">
        <f t="shared" si="385"/>
        <v>0.9920561167032883</v>
      </c>
      <c r="J745" s="855">
        <f t="shared" si="385"/>
        <v>0.98835936838849192</v>
      </c>
      <c r="K745" s="855">
        <f t="shared" si="385"/>
        <v>0.99010304408160865</v>
      </c>
      <c r="L745" s="855">
        <f t="shared" si="385"/>
        <v>0.99613971574948257</v>
      </c>
      <c r="M745" s="855">
        <f t="shared" si="385"/>
        <v>1.0025954703504185</v>
      </c>
      <c r="N745" s="855">
        <f t="shared" si="385"/>
        <v>1.0082126418849215</v>
      </c>
      <c r="O745" s="855">
        <f t="shared" si="385"/>
        <v>1.0153082529519251</v>
      </c>
      <c r="P745" s="855">
        <f t="shared" si="385"/>
        <v>1.0237377125689118</v>
      </c>
      <c r="Q745" s="855">
        <f t="shared" si="385"/>
        <v>1.0321838458207016</v>
      </c>
    </row>
    <row r="746" spans="1:17">
      <c r="A746" s="853" t="s">
        <v>123</v>
      </c>
      <c r="B746" s="854"/>
      <c r="C746" s="855">
        <f t="shared" si="386"/>
        <v>1.0214231088038042</v>
      </c>
      <c r="D746" s="855">
        <f t="shared" si="385"/>
        <v>1.0258617036138262</v>
      </c>
      <c r="E746" s="855">
        <f t="shared" si="385"/>
        <v>1.0261354403670988</v>
      </c>
      <c r="F746" s="855">
        <f t="shared" si="385"/>
        <v>1.0208995016685602</v>
      </c>
      <c r="G746" s="855">
        <f t="shared" si="385"/>
        <v>1.0123054856905824</v>
      </c>
      <c r="H746" s="855">
        <f t="shared" si="385"/>
        <v>1.0034613658760401</v>
      </c>
      <c r="I746" s="855">
        <f t="shared" si="385"/>
        <v>0.99668860841033069</v>
      </c>
      <c r="J746" s="855">
        <f t="shared" si="385"/>
        <v>0.99195152739207282</v>
      </c>
      <c r="K746" s="855">
        <f t="shared" si="385"/>
        <v>0.99022100186737549</v>
      </c>
      <c r="L746" s="855">
        <f t="shared" si="385"/>
        <v>0.99112167925836292</v>
      </c>
      <c r="M746" s="855">
        <f t="shared" si="385"/>
        <v>0.9915667274723744</v>
      </c>
      <c r="N746" s="855">
        <f t="shared" si="385"/>
        <v>0.99234834174218689</v>
      </c>
      <c r="O746" s="855">
        <f t="shared" si="385"/>
        <v>0.99763258716657433</v>
      </c>
      <c r="P746" s="855">
        <f t="shared" si="385"/>
        <v>1.0086724311790884</v>
      </c>
      <c r="Q746" s="855">
        <f t="shared" si="385"/>
        <v>1.0230533576577885</v>
      </c>
    </row>
    <row r="747" spans="1:17">
      <c r="A747" s="853" t="s">
        <v>124</v>
      </c>
      <c r="B747" s="854"/>
      <c r="C747" s="855">
        <f t="shared" si="386"/>
        <v>1.0234873727024896</v>
      </c>
      <c r="D747" s="855">
        <f t="shared" si="385"/>
        <v>1.0275079804954634</v>
      </c>
      <c r="E747" s="855">
        <f t="shared" si="385"/>
        <v>1.0276818527680311</v>
      </c>
      <c r="F747" s="855">
        <f t="shared" si="385"/>
        <v>1.0227665818352951</v>
      </c>
      <c r="G747" s="855">
        <f t="shared" si="385"/>
        <v>1.0147099338214174</v>
      </c>
      <c r="H747" s="855">
        <f t="shared" si="385"/>
        <v>1.0068093132341855</v>
      </c>
      <c r="I747" s="855">
        <f t="shared" si="385"/>
        <v>1.0007114691407433</v>
      </c>
      <c r="J747" s="855">
        <f t="shared" si="385"/>
        <v>0.99539163901411176</v>
      </c>
      <c r="K747" s="855">
        <f t="shared" si="385"/>
        <v>0.99130077905620451</v>
      </c>
      <c r="L747" s="855">
        <f t="shared" si="385"/>
        <v>0.98859946919546948</v>
      </c>
      <c r="M747" s="855">
        <f t="shared" si="385"/>
        <v>0.984894370802053</v>
      </c>
      <c r="N747" s="855">
        <f t="shared" si="385"/>
        <v>0.9821442691727551</v>
      </c>
      <c r="O747" s="855">
        <f t="shared" si="385"/>
        <v>0.9853849273803611</v>
      </c>
      <c r="P747" s="855">
        <f t="shared" si="385"/>
        <v>0.99690598638449002</v>
      </c>
      <c r="Q747" s="855">
        <f t="shared" si="385"/>
        <v>1.014089211570133</v>
      </c>
    </row>
    <row r="748" spans="1:17">
      <c r="A748" s="853" t="s">
        <v>125</v>
      </c>
      <c r="B748" s="854"/>
      <c r="C748" s="855">
        <f t="shared" si="386"/>
        <v>1.0261103664791069</v>
      </c>
      <c r="D748" s="855">
        <f t="shared" si="385"/>
        <v>1.0285837928297794</v>
      </c>
      <c r="E748" s="855">
        <f t="shared" si="385"/>
        <v>1.0279027958685294</v>
      </c>
      <c r="F748" s="855">
        <f t="shared" si="385"/>
        <v>1.023081035852482</v>
      </c>
      <c r="G748" s="855">
        <f t="shared" si="385"/>
        <v>1.0157045339128177</v>
      </c>
      <c r="H748" s="855">
        <f t="shared" si="385"/>
        <v>1.0086130966742342</v>
      </c>
      <c r="I748" s="855">
        <f t="shared" si="385"/>
        <v>1.0029987837705419</v>
      </c>
      <c r="J748" s="855">
        <f t="shared" si="385"/>
        <v>0.9977558406330771</v>
      </c>
      <c r="K748" s="855">
        <f t="shared" si="385"/>
        <v>0.99312998313814771</v>
      </c>
      <c r="L748" s="855">
        <f t="shared" si="385"/>
        <v>0.98941417668074039</v>
      </c>
      <c r="M748" s="855">
        <f t="shared" si="385"/>
        <v>0.98481231544779779</v>
      </c>
      <c r="N748" s="855">
        <f t="shared" si="385"/>
        <v>0.98127318531436802</v>
      </c>
      <c r="O748" s="855">
        <f t="shared" si="385"/>
        <v>0.98317830421293018</v>
      </c>
      <c r="P748" s="855">
        <f t="shared" si="385"/>
        <v>0.99270304911059259</v>
      </c>
      <c r="Q748" s="855">
        <f t="shared" si="385"/>
        <v>1.0077048329609617</v>
      </c>
    </row>
    <row r="749" spans="1:17">
      <c r="A749" s="853" t="s">
        <v>126</v>
      </c>
      <c r="B749" s="854"/>
      <c r="C749" s="855">
        <f t="shared" si="386"/>
        <v>1.0291649296703334</v>
      </c>
      <c r="D749" s="855">
        <f t="shared" si="385"/>
        <v>1.0294035532790127</v>
      </c>
      <c r="E749" s="855">
        <f t="shared" si="385"/>
        <v>1.0274067094860575</v>
      </c>
      <c r="F749" s="855">
        <f t="shared" si="385"/>
        <v>1.0225328257204109</v>
      </c>
      <c r="G749" s="855">
        <f t="shared" si="385"/>
        <v>1.0159194892870254</v>
      </c>
      <c r="H749" s="855">
        <f t="shared" si="385"/>
        <v>1.0095242292043067</v>
      </c>
      <c r="I749" s="855">
        <f t="shared" si="385"/>
        <v>1.0042835899510238</v>
      </c>
      <c r="J749" s="855">
        <f t="shared" si="385"/>
        <v>0.99954507126733882</v>
      </c>
      <c r="K749" s="855">
        <f t="shared" si="385"/>
        <v>0.99555590343004241</v>
      </c>
      <c r="L749" s="855">
        <f t="shared" si="385"/>
        <v>0.99246547220742021</v>
      </c>
      <c r="M749" s="855">
        <f t="shared" si="385"/>
        <v>0.9890371048450628</v>
      </c>
      <c r="N749" s="855">
        <f t="shared" si="385"/>
        <v>0.98647710586036563</v>
      </c>
      <c r="O749" s="855">
        <f t="shared" si="385"/>
        <v>0.98759985745925638</v>
      </c>
      <c r="P749" s="855">
        <f t="shared" si="385"/>
        <v>0.9937304552499443</v>
      </c>
      <c r="Q749" s="855">
        <f t="shared" si="385"/>
        <v>1.0035544224982689</v>
      </c>
    </row>
    <row r="750" spans="1:17">
      <c r="A750" s="853" t="s">
        <v>127</v>
      </c>
      <c r="B750" s="854"/>
      <c r="C750" s="855">
        <f t="shared" si="386"/>
        <v>1.0320723157287721</v>
      </c>
      <c r="D750" s="855">
        <f t="shared" si="385"/>
        <v>1.0300137072017539</v>
      </c>
      <c r="E750" s="855">
        <f t="shared" si="385"/>
        <v>1.0267884617214786</v>
      </c>
      <c r="F750" s="855">
        <f t="shared" si="385"/>
        <v>1.0220778037126921</v>
      </c>
      <c r="G750" s="855">
        <f t="shared" si="385"/>
        <v>1.016522605227322</v>
      </c>
      <c r="H750" s="855">
        <f t="shared" si="385"/>
        <v>1.011183949352559</v>
      </c>
      <c r="I750" s="855">
        <f t="shared" si="385"/>
        <v>1.0065873343792688</v>
      </c>
      <c r="J750" s="855">
        <f t="shared" si="385"/>
        <v>1.0023985754623685</v>
      </c>
      <c r="K750" s="855">
        <f t="shared" si="385"/>
        <v>0.99877589385250976</v>
      </c>
      <c r="L750" s="855">
        <f t="shared" si="385"/>
        <v>0.99581251139886917</v>
      </c>
      <c r="M750" s="855">
        <f t="shared" si="385"/>
        <v>0.99296122372729878</v>
      </c>
      <c r="N750" s="855">
        <f t="shared" si="385"/>
        <v>0.99083814248466495</v>
      </c>
      <c r="O750" s="855">
        <f t="shared" si="385"/>
        <v>0.99084724762171406</v>
      </c>
      <c r="P750" s="855">
        <f t="shared" si="385"/>
        <v>0.99364390858290264</v>
      </c>
      <c r="Q750" s="855">
        <f t="shared" si="385"/>
        <v>0.99868555792696312</v>
      </c>
    </row>
    <row r="751" spans="1:17">
      <c r="A751" s="853" t="s">
        <v>128</v>
      </c>
      <c r="B751" s="854"/>
      <c r="C751" s="855">
        <f t="shared" si="386"/>
        <v>1.0346946361551204</v>
      </c>
      <c r="D751" s="855">
        <f t="shared" si="385"/>
        <v>1.029975183475075</v>
      </c>
      <c r="E751" s="855">
        <f t="shared" si="385"/>
        <v>1.0254300084064816</v>
      </c>
      <c r="F751" s="855">
        <f t="shared" si="385"/>
        <v>1.0211392563797104</v>
      </c>
      <c r="G751" s="855">
        <f t="shared" si="385"/>
        <v>1.0170896743552036</v>
      </c>
      <c r="H751" s="855">
        <f t="shared" si="385"/>
        <v>1.0132965276593433</v>
      </c>
      <c r="I751" s="855">
        <f t="shared" si="385"/>
        <v>1.0097022739425281</v>
      </c>
      <c r="J751" s="855">
        <f t="shared" si="385"/>
        <v>1.0062663832436203</v>
      </c>
      <c r="K751" s="855">
        <f t="shared" si="385"/>
        <v>1.0029788126089385</v>
      </c>
      <c r="L751" s="855">
        <f t="shared" si="385"/>
        <v>0.99995907527664374</v>
      </c>
      <c r="M751" s="855">
        <f t="shared" si="385"/>
        <v>0.99749471976379633</v>
      </c>
      <c r="N751" s="855">
        <f t="shared" si="385"/>
        <v>0.9956465101012395</v>
      </c>
      <c r="O751" s="855">
        <f t="shared" si="385"/>
        <v>0.994285251740327</v>
      </c>
      <c r="P751" s="855">
        <f t="shared" si="385"/>
        <v>0.9934649423390326</v>
      </c>
      <c r="Q751" s="855">
        <f t="shared" si="385"/>
        <v>0.99342791415613274</v>
      </c>
    </row>
    <row r="752" spans="1:17">
      <c r="A752" s="853" t="s">
        <v>129</v>
      </c>
      <c r="B752" s="854"/>
      <c r="C752" s="855">
        <f t="shared" si="386"/>
        <v>1.0383617116927271</v>
      </c>
      <c r="D752" s="855">
        <f t="shared" si="385"/>
        <v>1.0320433355375422</v>
      </c>
      <c r="E752" s="855">
        <f t="shared" si="385"/>
        <v>1.0266059255374935</v>
      </c>
      <c r="F752" s="855">
        <f t="shared" si="385"/>
        <v>1.0223232813387904</v>
      </c>
      <c r="G752" s="855">
        <f t="shared" si="385"/>
        <v>1.0188551683865217</v>
      </c>
      <c r="H752" s="855">
        <f t="shared" si="385"/>
        <v>1.015596050492156</v>
      </c>
      <c r="I752" s="855">
        <f t="shared" si="385"/>
        <v>1.0122616996170293</v>
      </c>
      <c r="J752" s="855">
        <f t="shared" si="385"/>
        <v>1.0091050026832031</v>
      </c>
      <c r="K752" s="855">
        <f t="shared" si="385"/>
        <v>1.0060964800841425</v>
      </c>
      <c r="L752" s="855">
        <f t="shared" si="385"/>
        <v>1.0032712990492969</v>
      </c>
      <c r="M752" s="855">
        <f t="shared" si="385"/>
        <v>1.0013244490365181</v>
      </c>
      <c r="N752" s="855">
        <f t="shared" si="385"/>
        <v>0.99981292238617503</v>
      </c>
      <c r="O752" s="855">
        <f t="shared" si="385"/>
        <v>0.99759384867266976</v>
      </c>
      <c r="P752" s="855">
        <f t="shared" si="385"/>
        <v>0.99430421110319833</v>
      </c>
      <c r="Q752" s="855">
        <f t="shared" si="385"/>
        <v>0.99071250775554232</v>
      </c>
    </row>
    <row r="753" spans="1:17">
      <c r="A753" s="853" t="s">
        <v>130</v>
      </c>
      <c r="B753" s="854"/>
      <c r="C753" s="855">
        <f t="shared" si="386"/>
        <v>1.0438108204787526</v>
      </c>
      <c r="D753" s="855">
        <f t="shared" si="385"/>
        <v>1.0377319562393235</v>
      </c>
      <c r="E753" s="855">
        <f t="shared" si="385"/>
        <v>1.0321022933097896</v>
      </c>
      <c r="F753" s="855">
        <f t="shared" si="385"/>
        <v>1.0270846053134213</v>
      </c>
      <c r="G753" s="855">
        <f t="shared" si="385"/>
        <v>1.0225684372481734</v>
      </c>
      <c r="H753" s="855">
        <f t="shared" si="385"/>
        <v>1.0181067285094318</v>
      </c>
      <c r="I753" s="855">
        <f t="shared" si="385"/>
        <v>1.0137816583486132</v>
      </c>
      <c r="J753" s="855">
        <f t="shared" si="385"/>
        <v>1.0100839121241876</v>
      </c>
      <c r="K753" s="855">
        <f t="shared" si="385"/>
        <v>1.0071385547557563</v>
      </c>
      <c r="L753" s="855">
        <f t="shared" si="385"/>
        <v>1.0047608332642499</v>
      </c>
      <c r="M753" s="855">
        <f t="shared" si="385"/>
        <v>1.0033710116570997</v>
      </c>
      <c r="N753" s="855">
        <f t="shared" si="385"/>
        <v>1.0021790971137243</v>
      </c>
      <c r="O753" s="855">
        <f t="shared" si="385"/>
        <v>0.99990036630036627</v>
      </c>
      <c r="P753" s="855">
        <f t="shared" si="385"/>
        <v>0.99602011628997467</v>
      </c>
      <c r="Q753" s="855">
        <f t="shared" si="385"/>
        <v>0.99144348522029779</v>
      </c>
    </row>
    <row r="754" spans="1:17">
      <c r="A754" s="853" t="s">
        <v>131</v>
      </c>
      <c r="B754" s="854"/>
      <c r="C754" s="855">
        <f t="shared" si="386"/>
        <v>1.0506433241932083</v>
      </c>
      <c r="D754" s="855">
        <f t="shared" si="385"/>
        <v>1.0460084574236066</v>
      </c>
      <c r="E754" s="855">
        <f t="shared" si="385"/>
        <v>1.0405736918325685</v>
      </c>
      <c r="F754" s="855">
        <f t="shared" si="385"/>
        <v>1.0342598057627301</v>
      </c>
      <c r="G754" s="855">
        <f t="shared" si="385"/>
        <v>1.0275884542554019</v>
      </c>
      <c r="H754" s="855">
        <f t="shared" si="385"/>
        <v>1.0208367188202572</v>
      </c>
      <c r="I754" s="855">
        <f t="shared" si="385"/>
        <v>1.0147687932739862</v>
      </c>
      <c r="J754" s="855">
        <f t="shared" si="385"/>
        <v>1.0100335670640699</v>
      </c>
      <c r="K754" s="855">
        <f t="shared" si="385"/>
        <v>1.0070161523800334</v>
      </c>
      <c r="L754" s="855">
        <f t="shared" si="385"/>
        <v>1.0052378050332642</v>
      </c>
      <c r="M754" s="855">
        <f t="shared" si="385"/>
        <v>1.0044016772550215</v>
      </c>
      <c r="N754" s="855">
        <f t="shared" si="385"/>
        <v>1.0034999777543787</v>
      </c>
      <c r="O754" s="855">
        <f t="shared" si="385"/>
        <v>1.0016685140028079</v>
      </c>
      <c r="P754" s="855">
        <f t="shared" si="385"/>
        <v>0.99840656025046504</v>
      </c>
      <c r="Q754" s="855">
        <f t="shared" si="385"/>
        <v>0.99447612601762392</v>
      </c>
    </row>
    <row r="755" spans="1:17">
      <c r="A755" s="853" t="s">
        <v>132</v>
      </c>
      <c r="B755" s="854"/>
      <c r="C755" s="855">
        <f t="shared" si="386"/>
        <v>1.0577789096671435</v>
      </c>
      <c r="D755" s="855">
        <f t="shared" si="385"/>
        <v>1.0544719051313312</v>
      </c>
      <c r="E755" s="855">
        <f t="shared" si="385"/>
        <v>1.0490775422630794</v>
      </c>
      <c r="F755" s="855">
        <f t="shared" si="385"/>
        <v>1.041376761025627</v>
      </c>
      <c r="G755" s="855">
        <f t="shared" si="385"/>
        <v>1.0325803893988501</v>
      </c>
      <c r="H755" s="855">
        <f t="shared" si="385"/>
        <v>1.0236008481655208</v>
      </c>
      <c r="I755" s="855">
        <f t="shared" si="385"/>
        <v>1.0158738379063796</v>
      </c>
      <c r="J755" s="855">
        <f t="shared" si="385"/>
        <v>1.0102405739294051</v>
      </c>
      <c r="K755" s="855">
        <f t="shared" si="385"/>
        <v>1.0073307684309036</v>
      </c>
      <c r="L755" s="855">
        <f t="shared" si="385"/>
        <v>1.0063423149905124</v>
      </c>
      <c r="M755" s="855">
        <f t="shared" si="385"/>
        <v>1.0063008350831464</v>
      </c>
      <c r="N755" s="855">
        <f t="shared" si="385"/>
        <v>1.0058701403826982</v>
      </c>
      <c r="O755" s="855">
        <f t="shared" si="385"/>
        <v>1.0044648379111834</v>
      </c>
      <c r="P755" s="855">
        <f t="shared" si="385"/>
        <v>1.0015251840828938</v>
      </c>
      <c r="Q755" s="855">
        <f t="shared" si="385"/>
        <v>0.99775570517521062</v>
      </c>
    </row>
    <row r="756" spans="1:17">
      <c r="A756" s="853" t="s">
        <v>133</v>
      </c>
      <c r="B756" s="854"/>
      <c r="C756" s="855">
        <f t="shared" si="386"/>
        <v>1.0657482954581967</v>
      </c>
      <c r="D756" s="855">
        <f t="shared" ref="D756:Q771" si="387">D439/C439</f>
        <v>1.0641482508768227</v>
      </c>
      <c r="E756" s="855">
        <f t="shared" si="387"/>
        <v>1.0587533123934036</v>
      </c>
      <c r="F756" s="855">
        <f t="shared" si="387"/>
        <v>1.0492812518954329</v>
      </c>
      <c r="G756" s="855">
        <f t="shared" si="387"/>
        <v>1.0378708667200514</v>
      </c>
      <c r="H756" s="855">
        <f t="shared" si="387"/>
        <v>1.0262196580272518</v>
      </c>
      <c r="I756" s="855">
        <f t="shared" si="387"/>
        <v>1.0165420518976349</v>
      </c>
      <c r="J756" s="855">
        <f t="shared" si="387"/>
        <v>1.0099430457565399</v>
      </c>
      <c r="K756" s="855">
        <f t="shared" si="387"/>
        <v>1.0073465503864518</v>
      </c>
      <c r="L756" s="855">
        <f t="shared" si="387"/>
        <v>1.007535299528928</v>
      </c>
      <c r="M756" s="855">
        <f t="shared" si="387"/>
        <v>1.0087106252470257</v>
      </c>
      <c r="N756" s="855">
        <f t="shared" si="387"/>
        <v>1.0090636826982073</v>
      </c>
      <c r="O756" s="855">
        <f t="shared" si="387"/>
        <v>1.0082493001414767</v>
      </c>
      <c r="P756" s="855">
        <f t="shared" si="387"/>
        <v>1.0055978420692013</v>
      </c>
      <c r="Q756" s="855">
        <f t="shared" si="387"/>
        <v>1.0018139956743182</v>
      </c>
    </row>
    <row r="757" spans="1:17">
      <c r="A757" s="853" t="s">
        <v>134</v>
      </c>
      <c r="B757" s="854"/>
      <c r="C757" s="855">
        <f t="shared" si="386"/>
        <v>1.0725930475930476</v>
      </c>
      <c r="D757" s="855">
        <f t="shared" si="387"/>
        <v>1.0716399169404562</v>
      </c>
      <c r="E757" s="855">
        <f t="shared" si="387"/>
        <v>1.0660214351453254</v>
      </c>
      <c r="F757" s="855">
        <f t="shared" si="387"/>
        <v>1.0555140901816182</v>
      </c>
      <c r="G757" s="855">
        <f t="shared" si="387"/>
        <v>1.0427685390728618</v>
      </c>
      <c r="H757" s="855">
        <f t="shared" si="387"/>
        <v>1.0298608674529701</v>
      </c>
      <c r="I757" s="855">
        <f t="shared" si="387"/>
        <v>1.0193065560720567</v>
      </c>
      <c r="J757" s="855">
        <f t="shared" si="387"/>
        <v>1.0122158748523635</v>
      </c>
      <c r="K757" s="855">
        <f t="shared" si="387"/>
        <v>1.0095982422802094</v>
      </c>
      <c r="L757" s="855">
        <f t="shared" si="387"/>
        <v>1.010051057232217</v>
      </c>
      <c r="M757" s="855">
        <f t="shared" si="387"/>
        <v>1.0113817341148448</v>
      </c>
      <c r="N757" s="855">
        <f t="shared" si="387"/>
        <v>1.0117215880404398</v>
      </c>
      <c r="O757" s="855">
        <f t="shared" si="387"/>
        <v>1.010984814482915</v>
      </c>
      <c r="P757" s="855">
        <f t="shared" si="387"/>
        <v>1.0085554206151777</v>
      </c>
      <c r="Q757" s="855">
        <f t="shared" si="387"/>
        <v>1.0050165926562573</v>
      </c>
    </row>
    <row r="758" spans="1:17">
      <c r="A758" s="853" t="s">
        <v>135</v>
      </c>
      <c r="B758" s="854"/>
      <c r="C758" s="855">
        <f t="shared" si="386"/>
        <v>1.0767451964854688</v>
      </c>
      <c r="D758" s="855">
        <f t="shared" si="387"/>
        <v>1.0743957280630567</v>
      </c>
      <c r="E758" s="855">
        <f t="shared" si="387"/>
        <v>1.0683136502107415</v>
      </c>
      <c r="F758" s="855">
        <f t="shared" si="387"/>
        <v>1.0584082031249999</v>
      </c>
      <c r="G758" s="855">
        <f t="shared" si="387"/>
        <v>1.0468310866295754</v>
      </c>
      <c r="H758" s="855">
        <f t="shared" si="387"/>
        <v>1.0352610601763139</v>
      </c>
      <c r="I758" s="855">
        <f t="shared" si="387"/>
        <v>1.0256723300061641</v>
      </c>
      <c r="J758" s="855">
        <f t="shared" si="387"/>
        <v>1.0188823018678104</v>
      </c>
      <c r="K758" s="855">
        <f t="shared" si="387"/>
        <v>1.0155995157534907</v>
      </c>
      <c r="L758" s="855">
        <f t="shared" si="387"/>
        <v>1.0146925050255811</v>
      </c>
      <c r="M758" s="855">
        <f t="shared" si="387"/>
        <v>1.0143754081227696</v>
      </c>
      <c r="N758" s="855">
        <f t="shared" si="387"/>
        <v>1.0133611612925348</v>
      </c>
      <c r="O758" s="855">
        <f t="shared" si="387"/>
        <v>1.0118268108217856</v>
      </c>
      <c r="P758" s="855">
        <f t="shared" si="387"/>
        <v>1.0093961588393214</v>
      </c>
      <c r="Q758" s="855">
        <f t="shared" si="387"/>
        <v>1.0063779832320034</v>
      </c>
    </row>
    <row r="759" spans="1:17">
      <c r="A759" s="853" t="s">
        <v>136</v>
      </c>
      <c r="B759" s="854"/>
      <c r="C759" s="855">
        <f t="shared" si="386"/>
        <v>1.0787568643831089</v>
      </c>
      <c r="D759" s="855">
        <f t="shared" si="387"/>
        <v>1.0736294251650342</v>
      </c>
      <c r="E759" s="855">
        <f t="shared" si="387"/>
        <v>1.0670023829067923</v>
      </c>
      <c r="F759" s="855">
        <f t="shared" si="387"/>
        <v>1.0589691696457453</v>
      </c>
      <c r="G759" s="855">
        <f t="shared" si="387"/>
        <v>1.050435685053555</v>
      </c>
      <c r="H759" s="855">
        <f t="shared" si="387"/>
        <v>1.042086170674829</v>
      </c>
      <c r="I759" s="855">
        <f t="shared" si="387"/>
        <v>1.0347230172586508</v>
      </c>
      <c r="J759" s="855">
        <f t="shared" si="387"/>
        <v>1.02867046426997</v>
      </c>
      <c r="K759" s="855">
        <f t="shared" si="387"/>
        <v>1.0241773792097395</v>
      </c>
      <c r="L759" s="855">
        <f t="shared" si="387"/>
        <v>1.0207858484915615</v>
      </c>
      <c r="M759" s="855">
        <f t="shared" si="387"/>
        <v>1.0176571200761326</v>
      </c>
      <c r="N759" s="855">
        <f t="shared" si="387"/>
        <v>1.0144773922054289</v>
      </c>
      <c r="O759" s="855">
        <f t="shared" si="387"/>
        <v>1.0116159390614758</v>
      </c>
      <c r="P759" s="855">
        <f t="shared" si="387"/>
        <v>1.0090428995153007</v>
      </c>
      <c r="Q759" s="855">
        <f t="shared" si="387"/>
        <v>1.0067057581655876</v>
      </c>
    </row>
    <row r="760" spans="1:17">
      <c r="A760" s="853" t="s">
        <v>137</v>
      </c>
      <c r="B760" s="854"/>
      <c r="C760" s="855">
        <f t="shared" si="386"/>
        <v>1.0807903582848239</v>
      </c>
      <c r="D760" s="855">
        <f t="shared" si="387"/>
        <v>1.0729229882267266</v>
      </c>
      <c r="E760" s="855">
        <f t="shared" si="387"/>
        <v>1.065829073486193</v>
      </c>
      <c r="F760" s="855">
        <f t="shared" si="387"/>
        <v>1.0597709638402364</v>
      </c>
      <c r="G760" s="855">
        <f t="shared" si="387"/>
        <v>1.0543759936904569</v>
      </c>
      <c r="H760" s="855">
        <f t="shared" si="387"/>
        <v>1.049321737065511</v>
      </c>
      <c r="I760" s="855">
        <f t="shared" si="387"/>
        <v>1.0441406935101525</v>
      </c>
      <c r="J760" s="855">
        <f t="shared" si="387"/>
        <v>1.0386732049163303</v>
      </c>
      <c r="K760" s="855">
        <f t="shared" si="387"/>
        <v>1.0328095194208777</v>
      </c>
      <c r="L760" s="855">
        <f t="shared" si="387"/>
        <v>1.026879593228329</v>
      </c>
      <c r="M760" s="855">
        <f t="shared" si="387"/>
        <v>1.0209817841976685</v>
      </c>
      <c r="N760" s="855">
        <f t="shared" si="387"/>
        <v>1.015712044348305</v>
      </c>
      <c r="O760" s="855">
        <f t="shared" si="387"/>
        <v>1.0116570828675824</v>
      </c>
      <c r="P760" s="855">
        <f t="shared" si="387"/>
        <v>1.0091206881462311</v>
      </c>
      <c r="Q760" s="855">
        <f t="shared" si="387"/>
        <v>1.0076645501006658</v>
      </c>
    </row>
    <row r="761" spans="1:17">
      <c r="A761" s="853" t="s">
        <v>138</v>
      </c>
      <c r="B761" s="854"/>
      <c r="C761" s="855">
        <f t="shared" si="386"/>
        <v>1.0821510050155843</v>
      </c>
      <c r="D761" s="855">
        <f t="shared" si="387"/>
        <v>1.070877513118967</v>
      </c>
      <c r="E761" s="855">
        <f t="shared" si="387"/>
        <v>1.0632321098627975</v>
      </c>
      <c r="F761" s="855">
        <f t="shared" si="387"/>
        <v>1.0597276421414989</v>
      </c>
      <c r="G761" s="855">
        <f t="shared" si="387"/>
        <v>1.058392674572866</v>
      </c>
      <c r="H761" s="855">
        <f t="shared" si="387"/>
        <v>1.0575088989033845</v>
      </c>
      <c r="I761" s="855">
        <f t="shared" si="387"/>
        <v>1.0549751248753245</v>
      </c>
      <c r="J761" s="855">
        <f t="shared" si="387"/>
        <v>1.0500641337771857</v>
      </c>
      <c r="K761" s="855">
        <f t="shared" si="387"/>
        <v>1.0423779426119624</v>
      </c>
      <c r="L761" s="855">
        <f t="shared" si="387"/>
        <v>1.0333538740622521</v>
      </c>
      <c r="M761" s="855">
        <f t="shared" si="387"/>
        <v>1.0241782429315409</v>
      </c>
      <c r="N761" s="855">
        <f t="shared" si="387"/>
        <v>1.0165091909449686</v>
      </c>
      <c r="O761" s="855">
        <f t="shared" si="387"/>
        <v>1.0111872517139682</v>
      </c>
      <c r="P761" s="855">
        <f t="shared" si="387"/>
        <v>1.0088994755467298</v>
      </c>
      <c r="Q761" s="855">
        <f t="shared" si="387"/>
        <v>1.0087058419038035</v>
      </c>
    </row>
    <row r="762" spans="1:17">
      <c r="A762" s="853" t="s">
        <v>139</v>
      </c>
      <c r="B762" s="854"/>
      <c r="C762" s="855">
        <f t="shared" si="386"/>
        <v>1.08361055456848</v>
      </c>
      <c r="D762" s="855">
        <f t="shared" si="387"/>
        <v>1.0707721737209175</v>
      </c>
      <c r="E762" s="855">
        <f t="shared" si="387"/>
        <v>1.0632138813697833</v>
      </c>
      <c r="F762" s="855">
        <f t="shared" si="387"/>
        <v>1.0615877263766458</v>
      </c>
      <c r="G762" s="855">
        <f t="shared" si="387"/>
        <v>1.0629531273302832</v>
      </c>
      <c r="H762" s="855">
        <f t="shared" si="387"/>
        <v>1.0647306022046061</v>
      </c>
      <c r="I762" s="855">
        <f t="shared" si="387"/>
        <v>1.0637963685209468</v>
      </c>
      <c r="J762" s="855">
        <f t="shared" si="387"/>
        <v>1.0591073558528949</v>
      </c>
      <c r="K762" s="855">
        <f t="shared" si="387"/>
        <v>1.0502323159723599</v>
      </c>
      <c r="L762" s="855">
        <f t="shared" si="387"/>
        <v>1.039349768736809</v>
      </c>
      <c r="M762" s="855">
        <f t="shared" si="387"/>
        <v>1.0283444399894925</v>
      </c>
      <c r="N762" s="855">
        <f t="shared" si="387"/>
        <v>1.0193770765655015</v>
      </c>
      <c r="O762" s="855">
        <f t="shared" si="387"/>
        <v>1.013289633558262</v>
      </c>
      <c r="P762" s="855">
        <f t="shared" si="387"/>
        <v>1.0109123626802727</v>
      </c>
      <c r="Q762" s="855">
        <f t="shared" si="387"/>
        <v>1.0110730029565562</v>
      </c>
    </row>
    <row r="763" spans="1:17">
      <c r="A763" s="853" t="s">
        <v>140</v>
      </c>
      <c r="B763" s="854"/>
      <c r="C763" s="855">
        <f t="shared" si="386"/>
        <v>1.0859830920703601</v>
      </c>
      <c r="D763" s="855">
        <f t="shared" si="387"/>
        <v>1.0754035852390422</v>
      </c>
      <c r="E763" s="855">
        <f t="shared" si="387"/>
        <v>1.0690752698321864</v>
      </c>
      <c r="F763" s="855">
        <f t="shared" si="387"/>
        <v>1.0675921020682957</v>
      </c>
      <c r="G763" s="855">
        <f t="shared" si="387"/>
        <v>1.0683886374737996</v>
      </c>
      <c r="H763" s="855">
        <f t="shared" si="387"/>
        <v>1.0693668326148695</v>
      </c>
      <c r="I763" s="855">
        <f t="shared" si="387"/>
        <v>1.0678826486177122</v>
      </c>
      <c r="J763" s="855">
        <f t="shared" si="387"/>
        <v>1.0630379290987471</v>
      </c>
      <c r="K763" s="855">
        <f t="shared" si="387"/>
        <v>1.0545411429926488</v>
      </c>
      <c r="L763" s="855">
        <f t="shared" si="387"/>
        <v>1.0443354314966373</v>
      </c>
      <c r="M763" s="855">
        <f t="shared" si="387"/>
        <v>1.0341714089260026</v>
      </c>
      <c r="N763" s="855">
        <f t="shared" si="387"/>
        <v>1.0258214648143613</v>
      </c>
      <c r="O763" s="855">
        <f t="shared" si="387"/>
        <v>1.019802216620217</v>
      </c>
      <c r="P763" s="855">
        <f t="shared" si="387"/>
        <v>1.0167065836215605</v>
      </c>
      <c r="Q763" s="855">
        <f t="shared" si="387"/>
        <v>1.0155848770433147</v>
      </c>
    </row>
    <row r="764" spans="1:17">
      <c r="A764" s="853" t="s">
        <v>141</v>
      </c>
      <c r="B764" s="854"/>
      <c r="C764" s="855">
        <f t="shared" si="386"/>
        <v>1.088764699832002</v>
      </c>
      <c r="D764" s="855">
        <f t="shared" si="387"/>
        <v>1.0836237421449666</v>
      </c>
      <c r="E764" s="855">
        <f t="shared" si="387"/>
        <v>1.0794371399788183</v>
      </c>
      <c r="F764" s="855">
        <f t="shared" si="387"/>
        <v>1.0766303925146423</v>
      </c>
      <c r="G764" s="855">
        <f t="shared" si="387"/>
        <v>1.0743129105033284</v>
      </c>
      <c r="H764" s="855">
        <f t="shared" si="387"/>
        <v>1.0719009183517771</v>
      </c>
      <c r="I764" s="855">
        <f t="shared" si="387"/>
        <v>1.0683542715689562</v>
      </c>
      <c r="J764" s="855">
        <f t="shared" si="387"/>
        <v>1.063204036097235</v>
      </c>
      <c r="K764" s="855">
        <f t="shared" si="387"/>
        <v>1.0563498452604234</v>
      </c>
      <c r="L764" s="855">
        <f t="shared" si="387"/>
        <v>1.0487412531167055</v>
      </c>
      <c r="M764" s="855">
        <f t="shared" si="387"/>
        <v>1.0413682030830587</v>
      </c>
      <c r="N764" s="855">
        <f t="shared" si="387"/>
        <v>1.0349488894125967</v>
      </c>
      <c r="O764" s="855">
        <f t="shared" si="387"/>
        <v>1.0294724595191755</v>
      </c>
      <c r="P764" s="855">
        <f t="shared" si="387"/>
        <v>1.0251138356791691</v>
      </c>
      <c r="Q764" s="855">
        <f t="shared" si="387"/>
        <v>1.0215637421656121</v>
      </c>
    </row>
    <row r="765" spans="1:17">
      <c r="A765" s="853" t="s">
        <v>142</v>
      </c>
      <c r="B765" s="854"/>
      <c r="C765" s="855">
        <f t="shared" si="386"/>
        <v>1.0909094759131817</v>
      </c>
      <c r="D765" s="855">
        <f t="shared" si="387"/>
        <v>1.0919364418787925</v>
      </c>
      <c r="E765" s="855">
        <f t="shared" si="387"/>
        <v>1.090136628826798</v>
      </c>
      <c r="F765" s="855">
        <f t="shared" si="387"/>
        <v>1.0859157410004372</v>
      </c>
      <c r="G765" s="855">
        <f t="shared" si="387"/>
        <v>1.0803736072318828</v>
      </c>
      <c r="H765" s="855">
        <f t="shared" si="387"/>
        <v>1.0745582822768061</v>
      </c>
      <c r="I765" s="855">
        <f t="shared" si="387"/>
        <v>1.0690151156503764</v>
      </c>
      <c r="J765" s="855">
        <f t="shared" si="387"/>
        <v>1.0636351096602144</v>
      </c>
      <c r="K765" s="855">
        <f t="shared" si="387"/>
        <v>1.0585197268882229</v>
      </c>
      <c r="L765" s="855">
        <f t="shared" si="387"/>
        <v>1.0535864743104753</v>
      </c>
      <c r="M765" s="855">
        <f t="shared" si="387"/>
        <v>1.0490331083134938</v>
      </c>
      <c r="N765" s="855">
        <f t="shared" si="387"/>
        <v>1.0444737016106134</v>
      </c>
      <c r="O765" s="855">
        <f t="shared" si="387"/>
        <v>1.0393682168305458</v>
      </c>
      <c r="P765" s="855">
        <f t="shared" si="387"/>
        <v>1.0335866950183348</v>
      </c>
      <c r="Q765" s="855">
        <f t="shared" si="387"/>
        <v>1.0275678711072904</v>
      </c>
    </row>
    <row r="766" spans="1:17">
      <c r="A766" s="853" t="s">
        <v>143</v>
      </c>
      <c r="B766" s="854"/>
      <c r="C766" s="855">
        <f t="shared" si="386"/>
        <v>1.0934774328699297</v>
      </c>
      <c r="D766" s="855">
        <f t="shared" si="387"/>
        <v>1.1028588346961345</v>
      </c>
      <c r="E766" s="855">
        <f t="shared" si="387"/>
        <v>1.103921073202315</v>
      </c>
      <c r="F766" s="855">
        <f t="shared" si="387"/>
        <v>1.0973138641232241</v>
      </c>
      <c r="G766" s="855">
        <f t="shared" si="387"/>
        <v>1.0871421494498619</v>
      </c>
      <c r="H766" s="855">
        <f t="shared" si="387"/>
        <v>1.0767095362292773</v>
      </c>
      <c r="I766" s="855">
        <f t="shared" si="387"/>
        <v>1.0684963163844325</v>
      </c>
      <c r="J766" s="855">
        <f t="shared" si="387"/>
        <v>1.0628128591120989</v>
      </c>
      <c r="K766" s="855">
        <f t="shared" si="387"/>
        <v>1.0600077476805996</v>
      </c>
      <c r="L766" s="855">
        <f t="shared" si="387"/>
        <v>1.0586206657275887</v>
      </c>
      <c r="M766" s="855">
        <f t="shared" si="387"/>
        <v>1.0577342833358461</v>
      </c>
      <c r="N766" s="855">
        <f t="shared" si="387"/>
        <v>1.0554608795163052</v>
      </c>
      <c r="O766" s="855">
        <f t="shared" si="387"/>
        <v>1.0506814676801917</v>
      </c>
      <c r="P766" s="855">
        <f t="shared" si="387"/>
        <v>1.0430211678451418</v>
      </c>
      <c r="Q766" s="855">
        <f t="shared" si="387"/>
        <v>1.0339567245529941</v>
      </c>
    </row>
    <row r="767" spans="1:17">
      <c r="A767" s="853" t="s">
        <v>144</v>
      </c>
      <c r="B767" s="854"/>
      <c r="C767" s="855">
        <f t="shared" si="386"/>
        <v>1.0906181856395976</v>
      </c>
      <c r="D767" s="855">
        <f t="shared" si="387"/>
        <v>1.1063542765741154</v>
      </c>
      <c r="E767" s="855">
        <f t="shared" si="387"/>
        <v>1.1103093591597137</v>
      </c>
      <c r="F767" s="855">
        <f t="shared" si="387"/>
        <v>1.1032290453274345</v>
      </c>
      <c r="G767" s="855">
        <f t="shared" si="387"/>
        <v>1.0911666731843277</v>
      </c>
      <c r="H767" s="855">
        <f t="shared" si="387"/>
        <v>1.0787310503012078</v>
      </c>
      <c r="I767" s="855">
        <f t="shared" si="387"/>
        <v>1.0695629062265928</v>
      </c>
      <c r="J767" s="855">
        <f t="shared" si="387"/>
        <v>1.0641914787873312</v>
      </c>
      <c r="K767" s="855">
        <f t="shared" si="387"/>
        <v>1.0631056625802684</v>
      </c>
      <c r="L767" s="855">
        <f t="shared" si="387"/>
        <v>1.0640272362857612</v>
      </c>
      <c r="M767" s="855">
        <f t="shared" si="387"/>
        <v>1.0653914903798787</v>
      </c>
      <c r="N767" s="855">
        <f t="shared" si="387"/>
        <v>1.0644340225025872</v>
      </c>
      <c r="O767" s="855">
        <f t="shared" si="387"/>
        <v>1.0596979111936686</v>
      </c>
      <c r="P767" s="855">
        <f t="shared" si="387"/>
        <v>1.050797003283271</v>
      </c>
      <c r="Q767" s="855">
        <f t="shared" si="387"/>
        <v>1.0399095700117218</v>
      </c>
    </row>
    <row r="768" spans="1:17">
      <c r="A768" s="853" t="s">
        <v>145</v>
      </c>
      <c r="B768" s="854"/>
      <c r="C768" s="855">
        <f t="shared" si="386"/>
        <v>1.0781905582261246</v>
      </c>
      <c r="D768" s="855">
        <f t="shared" si="387"/>
        <v>1.0938226425791819</v>
      </c>
      <c r="E768" s="855">
        <f t="shared" si="387"/>
        <v>1.1001470186317843</v>
      </c>
      <c r="F768" s="855">
        <f t="shared" si="387"/>
        <v>1.0972968805547585</v>
      </c>
      <c r="G768" s="855">
        <f t="shared" si="387"/>
        <v>1.0897469426629764</v>
      </c>
      <c r="H768" s="855">
        <f t="shared" si="387"/>
        <v>1.0812453658763732</v>
      </c>
      <c r="I768" s="855">
        <f t="shared" si="387"/>
        <v>1.0747728259033131</v>
      </c>
      <c r="J768" s="855">
        <f t="shared" si="387"/>
        <v>1.0708222370173102</v>
      </c>
      <c r="K768" s="855">
        <f t="shared" si="387"/>
        <v>1.0697938165102228</v>
      </c>
      <c r="L768" s="855">
        <f t="shared" si="387"/>
        <v>1.0699302580881245</v>
      </c>
      <c r="M768" s="855">
        <f t="shared" si="387"/>
        <v>1.0702785894992026</v>
      </c>
      <c r="N768" s="855">
        <f t="shared" si="387"/>
        <v>1.0686173612285945</v>
      </c>
      <c r="O768" s="855">
        <f t="shared" si="387"/>
        <v>1.0636374630327949</v>
      </c>
      <c r="P768" s="855">
        <f t="shared" si="387"/>
        <v>1.0550857180658084</v>
      </c>
      <c r="Q768" s="855">
        <f t="shared" si="387"/>
        <v>1.0448799335402363</v>
      </c>
    </row>
    <row r="769" spans="1:17">
      <c r="A769" s="853" t="s">
        <v>146</v>
      </c>
      <c r="B769" s="854"/>
      <c r="C769" s="855">
        <f t="shared" si="386"/>
        <v>1.059569341281974</v>
      </c>
      <c r="D769" s="855">
        <f t="shared" si="387"/>
        <v>1.0695862050470648</v>
      </c>
      <c r="E769" s="855">
        <f t="shared" si="387"/>
        <v>1.0769034043897521</v>
      </c>
      <c r="F769" s="855">
        <f t="shared" si="387"/>
        <v>1.0813019487322764</v>
      </c>
      <c r="G769" s="855">
        <f t="shared" si="387"/>
        <v>1.0833580948689792</v>
      </c>
      <c r="H769" s="855">
        <f t="shared" si="387"/>
        <v>1.0837970839362092</v>
      </c>
      <c r="I769" s="855">
        <f t="shared" si="387"/>
        <v>1.0831313060923591</v>
      </c>
      <c r="J769" s="855">
        <f t="shared" si="387"/>
        <v>1.0814915396571165</v>
      </c>
      <c r="K769" s="855">
        <f t="shared" si="387"/>
        <v>1.0790988931853407</v>
      </c>
      <c r="L769" s="855">
        <f t="shared" si="387"/>
        <v>1.0760108864696734</v>
      </c>
      <c r="M769" s="855">
        <f t="shared" si="387"/>
        <v>1.0728848980032089</v>
      </c>
      <c r="N769" s="855">
        <f t="shared" si="387"/>
        <v>1.0691248988373203</v>
      </c>
      <c r="O769" s="855">
        <f t="shared" si="387"/>
        <v>1.0638069289124705</v>
      </c>
      <c r="P769" s="855">
        <f t="shared" si="387"/>
        <v>1.0568992683180154</v>
      </c>
      <c r="Q769" s="855">
        <f t="shared" si="387"/>
        <v>1.0492967317418931</v>
      </c>
    </row>
    <row r="770" spans="1:17">
      <c r="A770" s="853" t="s">
        <v>147</v>
      </c>
      <c r="B770" s="854"/>
      <c r="C770" s="855">
        <f t="shared" si="386"/>
        <v>1.0407396018867159</v>
      </c>
      <c r="D770" s="855">
        <f t="shared" si="387"/>
        <v>1.0447807787719152</v>
      </c>
      <c r="E770" s="855">
        <f t="shared" si="387"/>
        <v>1.0520814436180088</v>
      </c>
      <c r="F770" s="855">
        <f t="shared" si="387"/>
        <v>1.0631963850105741</v>
      </c>
      <c r="G770" s="855">
        <f t="shared" si="387"/>
        <v>1.0752957450868157</v>
      </c>
      <c r="H770" s="855">
        <f t="shared" si="387"/>
        <v>1.0856515470777419</v>
      </c>
      <c r="I770" s="855">
        <f t="shared" si="387"/>
        <v>1.0915446629592249</v>
      </c>
      <c r="J770" s="855">
        <f t="shared" si="387"/>
        <v>1.0924581768905095</v>
      </c>
      <c r="K770" s="855">
        <f t="shared" si="387"/>
        <v>1.0886182650529748</v>
      </c>
      <c r="L770" s="855">
        <f t="shared" si="387"/>
        <v>1.0822195921913265</v>
      </c>
      <c r="M770" s="855">
        <f t="shared" si="387"/>
        <v>1.0756270014164431</v>
      </c>
      <c r="N770" s="855">
        <f t="shared" si="387"/>
        <v>1.0698337844524783</v>
      </c>
      <c r="O770" s="855">
        <f t="shared" si="387"/>
        <v>1.0642795218970447</v>
      </c>
      <c r="P770" s="855">
        <f t="shared" si="387"/>
        <v>1.0591100482332294</v>
      </c>
      <c r="Q770" s="855">
        <f t="shared" si="387"/>
        <v>1.0541898652148469</v>
      </c>
    </row>
    <row r="771" spans="1:17">
      <c r="A771" s="853" t="s">
        <v>148</v>
      </c>
      <c r="B771" s="854"/>
      <c r="C771" s="855">
        <f t="shared" si="386"/>
        <v>1.0205337482751533</v>
      </c>
      <c r="D771" s="855">
        <f t="shared" si="387"/>
        <v>1.0164785215360008</v>
      </c>
      <c r="E771" s="855">
        <f t="shared" si="387"/>
        <v>1.0219623470277246</v>
      </c>
      <c r="F771" s="855">
        <f t="shared" si="387"/>
        <v>1.0397959522780897</v>
      </c>
      <c r="G771" s="855">
        <f t="shared" si="387"/>
        <v>1.0641982411002977</v>
      </c>
      <c r="H771" s="855">
        <f t="shared" si="387"/>
        <v>1.0877301872531697</v>
      </c>
      <c r="I771" s="855">
        <f t="shared" si="387"/>
        <v>1.1023652846164467</v>
      </c>
      <c r="J771" s="855">
        <f t="shared" si="387"/>
        <v>1.1063555342196991</v>
      </c>
      <c r="K771" s="855">
        <f t="shared" si="387"/>
        <v>1.1001196077469597</v>
      </c>
      <c r="L771" s="855">
        <f t="shared" si="387"/>
        <v>1.0890667014212807</v>
      </c>
      <c r="M771" s="855">
        <f t="shared" si="387"/>
        <v>1.0778491955268206</v>
      </c>
      <c r="N771" s="855">
        <f t="shared" si="387"/>
        <v>1.0693952205506387</v>
      </c>
      <c r="O771" s="855">
        <f t="shared" si="387"/>
        <v>1.0635505234858253</v>
      </c>
      <c r="P771" s="855">
        <f t="shared" si="387"/>
        <v>1.0607113864997895</v>
      </c>
      <c r="Q771" s="855">
        <f t="shared" si="387"/>
        <v>1.0593532105759007</v>
      </c>
    </row>
    <row r="772" spans="1:17">
      <c r="A772" s="853" t="s">
        <v>149</v>
      </c>
      <c r="B772" s="854"/>
      <c r="C772" s="855">
        <f t="shared" si="386"/>
        <v>1.0056124822559673</v>
      </c>
      <c r="D772" s="855">
        <f t="shared" ref="D772:Q774" si="388">D455/C455</f>
        <v>0.9962218940351002</v>
      </c>
      <c r="E772" s="855">
        <f t="shared" si="388"/>
        <v>0.99939273424383501</v>
      </c>
      <c r="F772" s="855">
        <f t="shared" si="388"/>
        <v>1.0201651336796453</v>
      </c>
      <c r="G772" s="855">
        <f t="shared" si="388"/>
        <v>1.0520119825517229</v>
      </c>
      <c r="H772" s="855">
        <f t="shared" si="388"/>
        <v>1.0846211061524458</v>
      </c>
      <c r="I772" s="855">
        <f t="shared" si="388"/>
        <v>1.1059667043669172</v>
      </c>
      <c r="J772" s="855">
        <f t="shared" si="388"/>
        <v>1.1130042062496819</v>
      </c>
      <c r="K772" s="855">
        <f t="shared" si="388"/>
        <v>1.1062703718485998</v>
      </c>
      <c r="L772" s="855">
        <f t="shared" si="388"/>
        <v>1.0932169311771625</v>
      </c>
      <c r="M772" s="855">
        <f t="shared" si="388"/>
        <v>1.0799125451626543</v>
      </c>
      <c r="N772" s="855">
        <f t="shared" si="388"/>
        <v>1.0704560719936078</v>
      </c>
      <c r="O772" s="855">
        <f t="shared" si="388"/>
        <v>1.0649117381167628</v>
      </c>
      <c r="P772" s="855">
        <f t="shared" si="388"/>
        <v>1.0638285395141021</v>
      </c>
      <c r="Q772" s="855">
        <f t="shared" si="388"/>
        <v>1.0648262139821556</v>
      </c>
    </row>
    <row r="773" spans="1:17">
      <c r="A773" s="853" t="s">
        <v>150</v>
      </c>
      <c r="B773" s="854"/>
      <c r="C773" s="855">
        <f t="shared" si="386"/>
        <v>0.99937944297326686</v>
      </c>
      <c r="D773" s="855">
        <f t="shared" si="388"/>
        <v>0.99125762345071811</v>
      </c>
      <c r="E773" s="855">
        <f t="shared" si="388"/>
        <v>0.99421958147785194</v>
      </c>
      <c r="F773" s="855">
        <f t="shared" si="388"/>
        <v>1.012913126473781</v>
      </c>
      <c r="G773" s="855">
        <f t="shared" si="388"/>
        <v>1.0420454265513759</v>
      </c>
      <c r="H773" s="855">
        <f t="shared" si="388"/>
        <v>1.0725063386899449</v>
      </c>
      <c r="I773" s="855">
        <f t="shared" si="388"/>
        <v>1.0938848385656894</v>
      </c>
      <c r="J773" s="855">
        <f t="shared" si="388"/>
        <v>1.1034084955466894</v>
      </c>
      <c r="K773" s="855">
        <f t="shared" si="388"/>
        <v>1.1008122137962206</v>
      </c>
      <c r="L773" s="855">
        <f t="shared" si="388"/>
        <v>1.0920650983775175</v>
      </c>
      <c r="M773" s="855">
        <f t="shared" si="388"/>
        <v>1.0824617371159471</v>
      </c>
      <c r="N773" s="855">
        <f t="shared" si="388"/>
        <v>1.0755447805966536</v>
      </c>
      <c r="O773" s="855">
        <f t="shared" si="388"/>
        <v>1.0713705534080344</v>
      </c>
      <c r="P773" s="855">
        <f t="shared" si="388"/>
        <v>1.0703794369645041</v>
      </c>
      <c r="Q773" s="855">
        <f t="shared" si="388"/>
        <v>1.0706843142776683</v>
      </c>
    </row>
    <row r="774" spans="1:17">
      <c r="A774" s="853" t="s">
        <v>151</v>
      </c>
      <c r="B774" s="854"/>
      <c r="C774" s="855">
        <f t="shared" ref="C774:C805" si="389">C457/B457</f>
        <v>0.99927226765229715</v>
      </c>
      <c r="D774" s="855">
        <f t="shared" si="388"/>
        <v>0.99713805681723799</v>
      </c>
      <c r="E774" s="855">
        <f t="shared" si="388"/>
        <v>1.0016593097527693</v>
      </c>
      <c r="F774" s="855">
        <f t="shared" si="388"/>
        <v>1.015113720674393</v>
      </c>
      <c r="G774" s="855">
        <f t="shared" si="388"/>
        <v>1.0344651599448054</v>
      </c>
      <c r="H774" s="855">
        <f t="shared" si="388"/>
        <v>1.0544155535658815</v>
      </c>
      <c r="I774" s="855">
        <f t="shared" si="388"/>
        <v>1.0700690292580077</v>
      </c>
      <c r="J774" s="855">
        <f t="shared" si="388"/>
        <v>1.0806283570406758</v>
      </c>
      <c r="K774" s="855">
        <f t="shared" si="388"/>
        <v>1.0853177874024007</v>
      </c>
      <c r="L774" s="855">
        <f t="shared" si="388"/>
        <v>1.0860029457792506</v>
      </c>
      <c r="M774" s="855">
        <f t="shared" si="388"/>
        <v>1.0850791498018606</v>
      </c>
      <c r="N774" s="855">
        <f t="shared" si="388"/>
        <v>1.083782844242029</v>
      </c>
      <c r="O774" s="855">
        <f t="shared" si="388"/>
        <v>1.0818181490544889</v>
      </c>
      <c r="P774" s="855">
        <f t="shared" si="388"/>
        <v>1.0794880251589927</v>
      </c>
      <c r="Q774" s="855">
        <f t="shared" si="388"/>
        <v>1.0766624181019717</v>
      </c>
    </row>
    <row r="775" spans="1:17">
      <c r="A775" s="853" t="s">
        <v>152</v>
      </c>
      <c r="B775" s="854"/>
      <c r="C775" s="855">
        <f t="shared" si="389"/>
        <v>0.99916953375252104</v>
      </c>
      <c r="D775" s="855">
        <f t="shared" ref="D775:Q775" si="390">D458/C458</f>
        <v>1.0023879258027917</v>
      </c>
      <c r="E775" s="855">
        <f t="shared" si="390"/>
        <v>1.0079232419484332</v>
      </c>
      <c r="F775" s="855">
        <f t="shared" si="390"/>
        <v>1.0160418380538254</v>
      </c>
      <c r="G775" s="855">
        <f t="shared" si="390"/>
        <v>1.0260572295156762</v>
      </c>
      <c r="H775" s="855">
        <f t="shared" si="390"/>
        <v>1.0357728872577876</v>
      </c>
      <c r="I775" s="855">
        <f t="shared" si="390"/>
        <v>1.0451428778735807</v>
      </c>
      <c r="J775" s="855">
        <f t="shared" si="390"/>
        <v>1.0557297572489761</v>
      </c>
      <c r="K775" s="855">
        <f t="shared" si="390"/>
        <v>1.0673151217908321</v>
      </c>
      <c r="L775" s="855">
        <f t="shared" si="390"/>
        <v>1.0780771067264296</v>
      </c>
      <c r="M775" s="855">
        <f t="shared" si="390"/>
        <v>1.0869623195031812</v>
      </c>
      <c r="N775" s="855">
        <f t="shared" si="390"/>
        <v>1.0921327047442122</v>
      </c>
      <c r="O775" s="855">
        <f t="shared" si="390"/>
        <v>1.0926888760510944</v>
      </c>
      <c r="P775" s="855">
        <f t="shared" si="390"/>
        <v>1.088942166480644</v>
      </c>
      <c r="Q775" s="855">
        <f t="shared" si="390"/>
        <v>1.0828542817935689</v>
      </c>
    </row>
    <row r="776" spans="1:17">
      <c r="A776" s="853" t="s">
        <v>153</v>
      </c>
      <c r="B776" s="854"/>
      <c r="C776" s="855">
        <f t="shared" si="389"/>
        <v>1.0004419844421477</v>
      </c>
      <c r="D776" s="855">
        <f t="shared" ref="D776:Q776" si="391">D459/C459</f>
        <v>1.0101067770459937</v>
      </c>
      <c r="E776" s="855">
        <f t="shared" si="391"/>
        <v>1.0168420627657855</v>
      </c>
      <c r="F776" s="855">
        <f t="shared" si="391"/>
        <v>1.0187203462172196</v>
      </c>
      <c r="G776" s="855">
        <f t="shared" si="391"/>
        <v>1.0179346272767427</v>
      </c>
      <c r="H776" s="855">
        <f t="shared" si="391"/>
        <v>1.0154362544589015</v>
      </c>
      <c r="I776" s="855">
        <f t="shared" si="391"/>
        <v>1.0161882258307779</v>
      </c>
      <c r="J776" s="855">
        <f t="shared" si="391"/>
        <v>1.0248911591549994</v>
      </c>
      <c r="K776" s="855">
        <f t="shared" si="391"/>
        <v>1.0435047577671981</v>
      </c>
      <c r="L776" s="855">
        <f t="shared" si="391"/>
        <v>1.0668443786537449</v>
      </c>
      <c r="M776" s="855">
        <f t="shared" si="391"/>
        <v>1.0890140325963826</v>
      </c>
      <c r="N776" s="855">
        <f t="shared" si="391"/>
        <v>1.1029653298294861</v>
      </c>
      <c r="O776" s="855">
        <f t="shared" si="391"/>
        <v>1.1066287622399711</v>
      </c>
      <c r="P776" s="855">
        <f t="shared" si="391"/>
        <v>1.1005178600554559</v>
      </c>
      <c r="Q776" s="855">
        <f t="shared" si="391"/>
        <v>1.0897955100392378</v>
      </c>
    </row>
    <row r="777" spans="1:17">
      <c r="A777" s="853" t="s">
        <v>154</v>
      </c>
      <c r="B777" s="854"/>
      <c r="C777" s="855">
        <f t="shared" si="389"/>
        <v>1.0017186673717609</v>
      </c>
      <c r="D777" s="855">
        <f t="shared" ref="D777:Q777" si="392">D460/C460</f>
        <v>1.0138924584789146</v>
      </c>
      <c r="E777" s="855">
        <f t="shared" si="392"/>
        <v>1.0202174523680658</v>
      </c>
      <c r="F777" s="855">
        <f t="shared" si="392"/>
        <v>1.0177753602750583</v>
      </c>
      <c r="G777" s="855">
        <f t="shared" si="392"/>
        <v>1.0103984534279926</v>
      </c>
      <c r="H777" s="855">
        <f t="shared" si="392"/>
        <v>1.0004244565323861</v>
      </c>
      <c r="I777" s="855">
        <f t="shared" si="392"/>
        <v>0.99521546716100306</v>
      </c>
      <c r="J777" s="855">
        <f t="shared" si="392"/>
        <v>1.0013773291619936</v>
      </c>
      <c r="K777" s="855">
        <f t="shared" si="392"/>
        <v>1.0232055488967049</v>
      </c>
      <c r="L777" s="855">
        <f t="shared" si="392"/>
        <v>1.0544609594039251</v>
      </c>
      <c r="M777" s="855">
        <f t="shared" si="392"/>
        <v>1.0861045346931342</v>
      </c>
      <c r="N777" s="855">
        <f t="shared" si="392"/>
        <v>1.1069564148138213</v>
      </c>
      <c r="O777" s="855">
        <f t="shared" si="392"/>
        <v>1.1137187578894219</v>
      </c>
      <c r="P777" s="855">
        <f t="shared" si="392"/>
        <v>1.1070081424659521</v>
      </c>
      <c r="Q777" s="855">
        <f t="shared" si="392"/>
        <v>1.0941537831473329</v>
      </c>
    </row>
    <row r="778" spans="1:17">
      <c r="A778" s="853" t="s">
        <v>155</v>
      </c>
      <c r="B778" s="854"/>
      <c r="C778" s="855">
        <f t="shared" si="389"/>
        <v>1.0014617828128074</v>
      </c>
      <c r="D778" s="855">
        <f t="shared" ref="D778:Q778" si="393">D461/C461</f>
        <v>1.0089614035087719</v>
      </c>
      <c r="E778" s="855">
        <f t="shared" si="393"/>
        <v>1.0122898655556871</v>
      </c>
      <c r="F778" s="855">
        <f t="shared" si="393"/>
        <v>1.0093236409608091</v>
      </c>
      <c r="G778" s="855">
        <f t="shared" si="393"/>
        <v>1.0028726829633563</v>
      </c>
      <c r="H778" s="855">
        <f t="shared" si="393"/>
        <v>0.99437969631354228</v>
      </c>
      <c r="I778" s="855">
        <f t="shared" si="393"/>
        <v>0.9899655278337145</v>
      </c>
      <c r="J778" s="855">
        <f t="shared" si="393"/>
        <v>0.99571108429581101</v>
      </c>
      <c r="K778" s="855">
        <f t="shared" si="393"/>
        <v>1.0155744686744734</v>
      </c>
      <c r="L778" s="855">
        <f t="shared" si="393"/>
        <v>1.0444589913536808</v>
      </c>
      <c r="M778" s="855">
        <f t="shared" si="393"/>
        <v>1.0743739064580993</v>
      </c>
      <c r="N778" s="855">
        <f t="shared" si="393"/>
        <v>1.0955251452322501</v>
      </c>
      <c r="O778" s="855">
        <f t="shared" si="393"/>
        <v>1.1047569390517185</v>
      </c>
      <c r="P778" s="855">
        <f t="shared" si="393"/>
        <v>1.1020133554250138</v>
      </c>
      <c r="Q778" s="855">
        <f t="shared" si="393"/>
        <v>1.0932214973028138</v>
      </c>
    </row>
    <row r="779" spans="1:17">
      <c r="A779" s="853" t="s">
        <v>156</v>
      </c>
      <c r="B779" s="854"/>
      <c r="C779" s="855">
        <f t="shared" si="389"/>
        <v>1.0006065564520681</v>
      </c>
      <c r="D779" s="855">
        <f t="shared" ref="D779:Q779" si="394">D462/C462</f>
        <v>0.99904842461408339</v>
      </c>
      <c r="E779" s="855">
        <f t="shared" si="394"/>
        <v>0.99771404381416018</v>
      </c>
      <c r="F779" s="855">
        <f t="shared" si="394"/>
        <v>0.99634399021292552</v>
      </c>
      <c r="G779" s="855">
        <f t="shared" si="394"/>
        <v>0.99564211392962076</v>
      </c>
      <c r="H779" s="855">
        <f t="shared" si="394"/>
        <v>0.99480325064157393</v>
      </c>
      <c r="I779" s="855">
        <f t="shared" si="394"/>
        <v>0.9961519444504161</v>
      </c>
      <c r="J779" s="855">
        <f t="shared" si="394"/>
        <v>1.0033162127555497</v>
      </c>
      <c r="K779" s="855">
        <f t="shared" si="394"/>
        <v>1.0178598315110237</v>
      </c>
      <c r="L779" s="855">
        <f t="shared" si="394"/>
        <v>1.0370863446177252</v>
      </c>
      <c r="M779" s="855">
        <f t="shared" si="394"/>
        <v>1.0566117189993955</v>
      </c>
      <c r="N779" s="855">
        <f t="shared" si="394"/>
        <v>1.0721301569751744</v>
      </c>
      <c r="O779" s="855">
        <f t="shared" si="394"/>
        <v>1.0824284866326512</v>
      </c>
      <c r="P779" s="855">
        <f t="shared" si="394"/>
        <v>1.0868474257069267</v>
      </c>
      <c r="Q779" s="855">
        <f t="shared" si="394"/>
        <v>1.0873026389554261</v>
      </c>
    </row>
    <row r="780" spans="1:17">
      <c r="A780" s="853" t="s">
        <v>157</v>
      </c>
      <c r="B780" s="854"/>
      <c r="C780" s="855">
        <f t="shared" si="389"/>
        <v>1.0010569324840042</v>
      </c>
      <c r="D780" s="855">
        <f t="shared" ref="D780:Q780" si="395">D463/C463</f>
        <v>0.99147552135371275</v>
      </c>
      <c r="E780" s="855">
        <f t="shared" si="395"/>
        <v>0.98563464837049752</v>
      </c>
      <c r="F780" s="855">
        <f t="shared" si="395"/>
        <v>0.98516423754622584</v>
      </c>
      <c r="G780" s="855">
        <f t="shared" si="395"/>
        <v>0.98923187893776132</v>
      </c>
      <c r="H780" s="855">
        <f t="shared" si="395"/>
        <v>0.99523069024784028</v>
      </c>
      <c r="I780" s="855">
        <f t="shared" si="395"/>
        <v>1.0017045454545455</v>
      </c>
      <c r="J780" s="855">
        <f t="shared" si="395"/>
        <v>1.0096948980505718</v>
      </c>
      <c r="K780" s="855">
        <f t="shared" si="395"/>
        <v>1.0187527256868731</v>
      </c>
      <c r="L780" s="855">
        <f t="shared" si="395"/>
        <v>1.0285654167634082</v>
      </c>
      <c r="M780" s="855">
        <f t="shared" si="395"/>
        <v>1.0379229830489345</v>
      </c>
      <c r="N780" s="855">
        <f t="shared" si="395"/>
        <v>1.0472280935454714</v>
      </c>
      <c r="O780" s="855">
        <f t="shared" si="395"/>
        <v>1.0576171748244485</v>
      </c>
      <c r="P780" s="855">
        <f t="shared" si="395"/>
        <v>1.06894160673523</v>
      </c>
      <c r="Q780" s="855">
        <f t="shared" si="395"/>
        <v>1.07942066257556</v>
      </c>
    </row>
    <row r="781" spans="1:17">
      <c r="A781" s="853" t="s">
        <v>158</v>
      </c>
      <c r="B781" s="854"/>
      <c r="C781" s="855">
        <f t="shared" si="389"/>
        <v>1.0018138105670469</v>
      </c>
      <c r="D781" s="855">
        <f t="shared" ref="D781:Q781" si="396">D464/C464</f>
        <v>0.98357035848426977</v>
      </c>
      <c r="E781" s="855">
        <f t="shared" si="396"/>
        <v>0.97279270044539401</v>
      </c>
      <c r="F781" s="855">
        <f t="shared" si="396"/>
        <v>0.97321905609973303</v>
      </c>
      <c r="G781" s="855">
        <f t="shared" si="396"/>
        <v>0.98282895288636751</v>
      </c>
      <c r="H781" s="855">
        <f t="shared" si="396"/>
        <v>0.99710626149155546</v>
      </c>
      <c r="I781" s="855">
        <f t="shared" si="396"/>
        <v>1.0098190249443693</v>
      </c>
      <c r="J781" s="855">
        <f t="shared" si="396"/>
        <v>1.0187305451967823</v>
      </c>
      <c r="K781" s="855">
        <f t="shared" si="396"/>
        <v>1.0212526187612976</v>
      </c>
      <c r="L781" s="855">
        <f t="shared" si="396"/>
        <v>1.0200845744247533</v>
      </c>
      <c r="M781" s="855">
        <f t="shared" si="396"/>
        <v>1.0170755258056785</v>
      </c>
      <c r="N781" s="855">
        <f t="shared" si="396"/>
        <v>1.0177168024098278</v>
      </c>
      <c r="O781" s="855">
        <f t="shared" si="396"/>
        <v>1.0262809047869543</v>
      </c>
      <c r="P781" s="855">
        <f t="shared" si="396"/>
        <v>1.0447779554680772</v>
      </c>
      <c r="Q781" s="855">
        <f t="shared" si="396"/>
        <v>1.0679644674699427</v>
      </c>
    </row>
    <row r="782" spans="1:17">
      <c r="A782" s="853" t="s">
        <v>159</v>
      </c>
      <c r="B782" s="854"/>
      <c r="C782" s="855">
        <f t="shared" si="389"/>
        <v>1.0049712326463773</v>
      </c>
      <c r="D782" s="855">
        <f t="shared" ref="D782:Q782" si="397">D465/C465</f>
        <v>0.98203205132868254</v>
      </c>
      <c r="E782" s="855">
        <f t="shared" si="397"/>
        <v>0.96842152047823282</v>
      </c>
      <c r="F782" s="855">
        <f t="shared" si="397"/>
        <v>0.96894457447947735</v>
      </c>
      <c r="G782" s="855">
        <f t="shared" si="397"/>
        <v>0.98094320855108386</v>
      </c>
      <c r="H782" s="855">
        <f t="shared" si="397"/>
        <v>0.99903428295509411</v>
      </c>
      <c r="I782" s="855">
        <f t="shared" si="397"/>
        <v>1.014362816175286</v>
      </c>
      <c r="J782" s="855">
        <f t="shared" si="397"/>
        <v>1.0227361165156486</v>
      </c>
      <c r="K782" s="855">
        <f t="shared" si="397"/>
        <v>1.0206311245011104</v>
      </c>
      <c r="L782" s="855">
        <f t="shared" si="397"/>
        <v>1.0124236361008192</v>
      </c>
      <c r="M782" s="855">
        <f t="shared" si="397"/>
        <v>1.0015780456280623</v>
      </c>
      <c r="N782" s="855">
        <f t="shared" si="397"/>
        <v>0.9959035457587444</v>
      </c>
      <c r="O782" s="855">
        <f t="shared" si="397"/>
        <v>1.00184571342474</v>
      </c>
      <c r="P782" s="855">
        <f t="shared" si="397"/>
        <v>1.023762078429898</v>
      </c>
      <c r="Q782" s="855">
        <f t="shared" si="397"/>
        <v>1.0553380586874288</v>
      </c>
    </row>
    <row r="783" spans="1:17">
      <c r="A783" s="853" t="s">
        <v>160</v>
      </c>
      <c r="B783" s="854"/>
      <c r="C783" s="855">
        <f t="shared" si="389"/>
        <v>1.012217566667972</v>
      </c>
      <c r="D783" s="855">
        <f t="shared" ref="D783:Q783" si="398">D466/C466</f>
        <v>0.9912801268907887</v>
      </c>
      <c r="E783" s="855">
        <f t="shared" si="398"/>
        <v>0.97851199675299338</v>
      </c>
      <c r="F783" s="855">
        <f t="shared" si="398"/>
        <v>0.97764926414868591</v>
      </c>
      <c r="G783" s="855">
        <f t="shared" si="398"/>
        <v>0.98613774140646038</v>
      </c>
      <c r="H783" s="855">
        <f t="shared" si="398"/>
        <v>0.99933809902038662</v>
      </c>
      <c r="I783" s="855">
        <f t="shared" si="398"/>
        <v>1.0102579811895613</v>
      </c>
      <c r="J783" s="855">
        <f t="shared" si="398"/>
        <v>1.0157101530039419</v>
      </c>
      <c r="K783" s="855">
        <f t="shared" si="398"/>
        <v>1.0128610618040987</v>
      </c>
      <c r="L783" s="855">
        <f t="shared" si="398"/>
        <v>1.005257539790017</v>
      </c>
      <c r="M783" s="855">
        <f t="shared" si="398"/>
        <v>0.99538805331473756</v>
      </c>
      <c r="N783" s="855">
        <f t="shared" si="398"/>
        <v>0.99013629271088754</v>
      </c>
      <c r="O783" s="855">
        <f t="shared" si="398"/>
        <v>0.99548937470351273</v>
      </c>
      <c r="P783" s="855">
        <f t="shared" si="398"/>
        <v>1.0156689173908828</v>
      </c>
      <c r="Q783" s="855">
        <f t="shared" si="398"/>
        <v>1.0454068324957058</v>
      </c>
    </row>
    <row r="784" spans="1:17">
      <c r="A784" s="853" t="s">
        <v>161</v>
      </c>
      <c r="B784" s="854"/>
      <c r="C784" s="855">
        <f t="shared" si="389"/>
        <v>1.0232790271762244</v>
      </c>
      <c r="D784" s="855">
        <f t="shared" ref="D784:Q784" si="399">D467/C467</f>
        <v>1.0093474591366749</v>
      </c>
      <c r="E784" s="855">
        <f t="shared" si="399"/>
        <v>0.99966385142232861</v>
      </c>
      <c r="F784" s="855">
        <f t="shared" si="399"/>
        <v>0.99583876255726955</v>
      </c>
      <c r="G784" s="855">
        <f t="shared" si="399"/>
        <v>0.99634475772412634</v>
      </c>
      <c r="H784" s="855">
        <f t="shared" si="399"/>
        <v>0.99886466655934658</v>
      </c>
      <c r="I784" s="855">
        <f t="shared" si="399"/>
        <v>1.0007888509071785</v>
      </c>
      <c r="J784" s="855">
        <f t="shared" si="399"/>
        <v>1.0016442628786466</v>
      </c>
      <c r="K784" s="855">
        <f t="shared" si="399"/>
        <v>1.0004907767811813</v>
      </c>
      <c r="L784" s="855">
        <f t="shared" si="399"/>
        <v>0.99857067947698708</v>
      </c>
      <c r="M784" s="855">
        <f t="shared" si="399"/>
        <v>0.99613785159525359</v>
      </c>
      <c r="N784" s="855">
        <f t="shared" si="399"/>
        <v>0.99647998095448631</v>
      </c>
      <c r="O784" s="855">
        <f t="shared" si="399"/>
        <v>1.0031655560201025</v>
      </c>
      <c r="P784" s="855">
        <f t="shared" si="399"/>
        <v>1.0181593944033343</v>
      </c>
      <c r="Q784" s="855">
        <f t="shared" si="399"/>
        <v>1.0384027400693372</v>
      </c>
    </row>
    <row r="785" spans="1:17">
      <c r="A785" s="853" t="s">
        <v>162</v>
      </c>
      <c r="B785" s="854"/>
      <c r="C785" s="855">
        <f t="shared" si="389"/>
        <v>1.0365210478351075</v>
      </c>
      <c r="D785" s="855">
        <f t="shared" ref="D785:Q785" si="400">D468/C468</f>
        <v>1.0296596297924481</v>
      </c>
      <c r="E785" s="855">
        <f t="shared" si="400"/>
        <v>1.022419243486792</v>
      </c>
      <c r="F785" s="855">
        <f t="shared" si="400"/>
        <v>1.0148020470538062</v>
      </c>
      <c r="G785" s="855">
        <f t="shared" si="400"/>
        <v>1.0072930711446533</v>
      </c>
      <c r="H785" s="855">
        <f t="shared" si="400"/>
        <v>0.99986093123918951</v>
      </c>
      <c r="I785" s="855">
        <f t="shared" si="400"/>
        <v>0.99356717520754556</v>
      </c>
      <c r="J785" s="855">
        <f t="shared" si="400"/>
        <v>0.98985957390961976</v>
      </c>
      <c r="K785" s="855">
        <f t="shared" si="400"/>
        <v>0.98966730306887285</v>
      </c>
      <c r="L785" s="855">
        <f t="shared" si="400"/>
        <v>0.99256030794787753</v>
      </c>
      <c r="M785" s="855">
        <f t="shared" si="400"/>
        <v>0.99694063023017254</v>
      </c>
      <c r="N785" s="855">
        <f t="shared" si="400"/>
        <v>1.0023015686770043</v>
      </c>
      <c r="O785" s="855">
        <f t="shared" si="400"/>
        <v>1.009725436519014</v>
      </c>
      <c r="P785" s="855">
        <f t="shared" si="400"/>
        <v>1.0191475889377413</v>
      </c>
      <c r="Q785" s="855">
        <f t="shared" si="400"/>
        <v>1.0299275438412265</v>
      </c>
    </row>
    <row r="786" spans="1:17">
      <c r="A786" s="853" t="s">
        <v>163</v>
      </c>
      <c r="B786" s="854"/>
      <c r="C786" s="855">
        <f t="shared" si="389"/>
        <v>1.054640470992922</v>
      </c>
      <c r="D786" s="855">
        <f t="shared" ref="D786:Q786" si="401">D469/C469</f>
        <v>1.0566183696083966</v>
      </c>
      <c r="E786" s="855">
        <f t="shared" si="401"/>
        <v>1.0512792607396562</v>
      </c>
      <c r="F786" s="855">
        <f t="shared" si="401"/>
        <v>1.037813979314304</v>
      </c>
      <c r="G786" s="855">
        <f t="shared" si="401"/>
        <v>1.0202675130355929</v>
      </c>
      <c r="H786" s="855">
        <f t="shared" si="401"/>
        <v>1.001457648209048</v>
      </c>
      <c r="I786" s="855">
        <f t="shared" si="401"/>
        <v>0.98607487086639334</v>
      </c>
      <c r="J786" s="855">
        <f t="shared" si="401"/>
        <v>0.97718374510598072</v>
      </c>
      <c r="K786" s="855">
        <f t="shared" si="401"/>
        <v>0.97798655245463773</v>
      </c>
      <c r="L786" s="855">
        <f t="shared" si="401"/>
        <v>0.98661706536070815</v>
      </c>
      <c r="M786" s="855">
        <f t="shared" si="401"/>
        <v>0.99937952825055609</v>
      </c>
      <c r="N786" s="855">
        <f t="shared" si="401"/>
        <v>1.0109652893193497</v>
      </c>
      <c r="O786" s="855">
        <f t="shared" si="401"/>
        <v>1.0191417395740821</v>
      </c>
      <c r="P786" s="855">
        <f t="shared" si="401"/>
        <v>1.0217024511439909</v>
      </c>
      <c r="Q786" s="855">
        <f t="shared" si="401"/>
        <v>1.0210509123574298</v>
      </c>
    </row>
    <row r="787" spans="1:17">
      <c r="A787" s="853" t="s">
        <v>164</v>
      </c>
      <c r="B787" s="854"/>
      <c r="C787" s="855">
        <f t="shared" si="389"/>
        <v>1.069420906614444</v>
      </c>
      <c r="D787" s="855">
        <f t="shared" ref="D787:Q787" si="402">D470/C470</f>
        <v>1.0780265057695244</v>
      </c>
      <c r="E787" s="855">
        <f t="shared" si="402"/>
        <v>1.0735223659567055</v>
      </c>
      <c r="F787" s="855">
        <f t="shared" si="402"/>
        <v>1.0553414208625798</v>
      </c>
      <c r="G787" s="855">
        <f t="shared" si="402"/>
        <v>1.03083310906924</v>
      </c>
      <c r="H787" s="855">
        <f t="shared" si="402"/>
        <v>1.0049229851191586</v>
      </c>
      <c r="I787" s="855">
        <f t="shared" si="402"/>
        <v>0.9840601224717016</v>
      </c>
      <c r="J787" s="855">
        <f t="shared" si="402"/>
        <v>0.97198808244234502</v>
      </c>
      <c r="K787" s="855">
        <f t="shared" si="402"/>
        <v>0.97301413314450347</v>
      </c>
      <c r="L787" s="855">
        <f t="shared" si="402"/>
        <v>0.98457765504590822</v>
      </c>
      <c r="M787" s="855">
        <f t="shared" si="402"/>
        <v>1.0018731900933557</v>
      </c>
      <c r="N787" s="855">
        <f t="shared" si="402"/>
        <v>1.0165745297987812</v>
      </c>
      <c r="O787" s="855">
        <f t="shared" si="402"/>
        <v>1.0242973744122004</v>
      </c>
      <c r="P787" s="855">
        <f t="shared" si="402"/>
        <v>1.0217507352156148</v>
      </c>
      <c r="Q787" s="855">
        <f t="shared" si="402"/>
        <v>1.0133843757124401</v>
      </c>
    </row>
    <row r="788" spans="1:17">
      <c r="A788" s="853" t="s">
        <v>165</v>
      </c>
      <c r="B788" s="854"/>
      <c r="C788" s="855">
        <f t="shared" si="389"/>
        <v>1.0718454502090407</v>
      </c>
      <c r="D788" s="855">
        <f t="shared" ref="D788:L788" si="403">D471/C471</f>
        <v>1.081296875613555</v>
      </c>
      <c r="E788" s="855">
        <f t="shared" si="403"/>
        <v>1.0774724609611428</v>
      </c>
      <c r="F788" s="855">
        <f t="shared" si="403"/>
        <v>1.0600157285698235</v>
      </c>
      <c r="G788" s="855">
        <f t="shared" si="403"/>
        <v>1.0363108360183144</v>
      </c>
      <c r="H788" s="855">
        <f t="shared" si="403"/>
        <v>1.011618155413283</v>
      </c>
      <c r="I788" s="855">
        <f t="shared" si="403"/>
        <v>0.99204359342459103</v>
      </c>
      <c r="J788" s="855">
        <f t="shared" si="403"/>
        <v>0.98036218370071448</v>
      </c>
      <c r="K788" s="855">
        <f t="shared" si="403"/>
        <v>0.98018711018711013</v>
      </c>
      <c r="L788" s="855">
        <f t="shared" si="403"/>
        <v>0.98889643031369978</v>
      </c>
      <c r="M788" s="855">
        <f t="shared" ref="D788:Q803" si="404">M471/L471</f>
        <v>1.0023700494385879</v>
      </c>
      <c r="N788" s="855">
        <f t="shared" si="404"/>
        <v>1.01352334488809</v>
      </c>
      <c r="O788" s="855">
        <f t="shared" si="404"/>
        <v>1.0187687370687837</v>
      </c>
      <c r="P788" s="855">
        <f t="shared" si="404"/>
        <v>1.0152108589783442</v>
      </c>
      <c r="Q788" s="855">
        <f t="shared" si="404"/>
        <v>1.006695380595644</v>
      </c>
    </row>
    <row r="789" spans="1:17">
      <c r="A789" s="853" t="s">
        <v>166</v>
      </c>
      <c r="B789" s="854"/>
      <c r="C789" s="855">
        <f t="shared" si="389"/>
        <v>1.0633494657739706</v>
      </c>
      <c r="D789" s="855">
        <f t="shared" si="404"/>
        <v>1.0685909553584412</v>
      </c>
      <c r="E789" s="855">
        <f t="shared" si="404"/>
        <v>1.0656850871582728</v>
      </c>
      <c r="F789" s="855">
        <f t="shared" si="404"/>
        <v>1.0540516382766811</v>
      </c>
      <c r="G789" s="855">
        <f t="shared" si="404"/>
        <v>1.0380873926369221</v>
      </c>
      <c r="H789" s="855">
        <f t="shared" si="404"/>
        <v>1.0218342649753183</v>
      </c>
      <c r="I789" s="855">
        <f t="shared" si="404"/>
        <v>1.0088851328201731</v>
      </c>
      <c r="J789" s="855">
        <f t="shared" si="404"/>
        <v>1.0001471587050033</v>
      </c>
      <c r="K789" s="855">
        <f t="shared" si="404"/>
        <v>0.99707989541951048</v>
      </c>
      <c r="L789" s="855">
        <f t="shared" si="404"/>
        <v>0.99828594131335491</v>
      </c>
      <c r="M789" s="855">
        <f t="shared" si="404"/>
        <v>1.0016828891112526</v>
      </c>
      <c r="N789" s="855">
        <f t="shared" si="404"/>
        <v>1.0044725968305863</v>
      </c>
      <c r="O789" s="855">
        <f t="shared" si="404"/>
        <v>1.0055602016138145</v>
      </c>
      <c r="P789" s="855">
        <f t="shared" si="404"/>
        <v>1.0037874530782891</v>
      </c>
      <c r="Q789" s="855">
        <f t="shared" si="404"/>
        <v>1.0007501539495047</v>
      </c>
    </row>
    <row r="790" spans="1:17">
      <c r="A790" s="853" t="s">
        <v>167</v>
      </c>
      <c r="B790" s="854"/>
      <c r="C790" s="855">
        <f t="shared" si="389"/>
        <v>1.0545010564234008</v>
      </c>
      <c r="D790" s="855">
        <f t="shared" si="404"/>
        <v>1.0560035474387821</v>
      </c>
      <c r="E790" s="855">
        <f t="shared" si="404"/>
        <v>1.0542932238448499</v>
      </c>
      <c r="F790" s="855">
        <f t="shared" si="404"/>
        <v>1.0490190293553621</v>
      </c>
      <c r="G790" s="855">
        <f t="shared" si="404"/>
        <v>1.0417082671241544</v>
      </c>
      <c r="H790" s="855">
        <f t="shared" si="404"/>
        <v>1.0348951794705654</v>
      </c>
      <c r="I790" s="855">
        <f t="shared" si="404"/>
        <v>1.0290879682771574</v>
      </c>
      <c r="J790" s="855">
        <f t="shared" si="404"/>
        <v>1.0228154232261009</v>
      </c>
      <c r="K790" s="855">
        <f t="shared" si="404"/>
        <v>1.0160358886658238</v>
      </c>
      <c r="L790" s="855">
        <f t="shared" si="404"/>
        <v>1.0093184368444161</v>
      </c>
      <c r="M790" s="855">
        <f t="shared" si="404"/>
        <v>1.0028518948182521</v>
      </c>
      <c r="N790" s="855">
        <f t="shared" si="404"/>
        <v>0.99759001301392969</v>
      </c>
      <c r="O790" s="855">
        <f t="shared" si="404"/>
        <v>0.99428661158622023</v>
      </c>
      <c r="P790" s="855">
        <f t="shared" si="404"/>
        <v>0.99363421004677155</v>
      </c>
      <c r="Q790" s="855">
        <f t="shared" si="404"/>
        <v>0.99542736975950907</v>
      </c>
    </row>
    <row r="791" spans="1:17">
      <c r="A791" s="853" t="s">
        <v>168</v>
      </c>
      <c r="B791" s="854"/>
      <c r="C791" s="855">
        <f t="shared" si="389"/>
        <v>1.0414965452261307</v>
      </c>
      <c r="D791" s="855">
        <f t="shared" si="404"/>
        <v>1.0378265294583287</v>
      </c>
      <c r="E791" s="855">
        <f t="shared" si="404"/>
        <v>1.0376100971579043</v>
      </c>
      <c r="F791" s="855">
        <f t="shared" si="404"/>
        <v>1.0414449733968074</v>
      </c>
      <c r="G791" s="855">
        <f t="shared" si="404"/>
        <v>1.0469884377520839</v>
      </c>
      <c r="H791" s="855">
        <f t="shared" si="404"/>
        <v>1.0540770465489566</v>
      </c>
      <c r="I791" s="855">
        <f t="shared" si="404"/>
        <v>1.0579116478094686</v>
      </c>
      <c r="J791" s="855">
        <f t="shared" si="404"/>
        <v>1.0538634269921696</v>
      </c>
      <c r="K791" s="855">
        <f t="shared" si="404"/>
        <v>1.04097576966154</v>
      </c>
      <c r="L791" s="855">
        <f t="shared" si="404"/>
        <v>1.023604587083738</v>
      </c>
      <c r="M791" s="855">
        <f t="shared" si="404"/>
        <v>1.0052298975811724</v>
      </c>
      <c r="N791" s="855">
        <f t="shared" si="404"/>
        <v>0.99046173856492514</v>
      </c>
      <c r="O791" s="855">
        <f t="shared" si="404"/>
        <v>0.98196284423158631</v>
      </c>
      <c r="P791" s="855">
        <f t="shared" si="404"/>
        <v>0.98252307530941874</v>
      </c>
      <c r="Q791" s="855">
        <f t="shared" si="404"/>
        <v>0.99037884145771904</v>
      </c>
    </row>
    <row r="792" spans="1:17">
      <c r="A792" s="853" t="s">
        <v>169</v>
      </c>
      <c r="B792" s="854"/>
      <c r="C792" s="855">
        <f t="shared" si="389"/>
        <v>1.0307692307692307</v>
      </c>
      <c r="D792" s="855">
        <f t="shared" si="404"/>
        <v>1.022114901335198</v>
      </c>
      <c r="E792" s="855">
        <f t="shared" si="404"/>
        <v>1.0225129882624591</v>
      </c>
      <c r="F792" s="855">
        <f t="shared" si="404"/>
        <v>1.0341864257935014</v>
      </c>
      <c r="G792" s="855">
        <f t="shared" si="404"/>
        <v>1.0516366430116657</v>
      </c>
      <c r="H792" s="855">
        <f t="shared" si="404"/>
        <v>1.0716139575122561</v>
      </c>
      <c r="I792" s="855">
        <f t="shared" si="404"/>
        <v>1.0835127377108003</v>
      </c>
      <c r="J792" s="855">
        <f t="shared" si="404"/>
        <v>1.080271545657753</v>
      </c>
      <c r="K792" s="855">
        <f t="shared" si="404"/>
        <v>1.061554496267799</v>
      </c>
      <c r="L792" s="855">
        <f t="shared" si="404"/>
        <v>1.035778743556794</v>
      </c>
      <c r="M792" s="855">
        <f t="shared" si="404"/>
        <v>1.0088796576383177</v>
      </c>
      <c r="N792" s="855">
        <f t="shared" si="404"/>
        <v>0.98768894907010818</v>
      </c>
      <c r="O792" s="855">
        <f t="shared" si="404"/>
        <v>0.97550466544493086</v>
      </c>
      <c r="P792" s="855">
        <f t="shared" si="404"/>
        <v>0.97665347329776864</v>
      </c>
      <c r="Q792" s="855">
        <f t="shared" si="404"/>
        <v>0.98831199342182552</v>
      </c>
    </row>
    <row r="793" spans="1:17">
      <c r="A793" s="853" t="s">
        <v>170</v>
      </c>
      <c r="B793" s="854"/>
      <c r="C793" s="855">
        <f t="shared" si="389"/>
        <v>1.0302966436587808</v>
      </c>
      <c r="D793" s="855">
        <f t="shared" si="404"/>
        <v>1.0201237598445332</v>
      </c>
      <c r="E793" s="855">
        <f t="shared" si="404"/>
        <v>1.0203784935455569</v>
      </c>
      <c r="F793" s="855">
        <f t="shared" si="404"/>
        <v>1.0337771445416135</v>
      </c>
      <c r="G793" s="855">
        <f t="shared" si="404"/>
        <v>1.0541548843951241</v>
      </c>
      <c r="H793" s="855">
        <f t="shared" si="404"/>
        <v>1.0767999639330958</v>
      </c>
      <c r="I793" s="855">
        <f t="shared" si="404"/>
        <v>1.0902468127865352</v>
      </c>
      <c r="J793" s="855">
        <f t="shared" si="404"/>
        <v>1.0873847926267282</v>
      </c>
      <c r="K793" s="855">
        <f t="shared" si="404"/>
        <v>1.0682135226289489</v>
      </c>
      <c r="L793" s="855">
        <f t="shared" si="404"/>
        <v>1.0418553906172514</v>
      </c>
      <c r="M793" s="855">
        <f t="shared" si="404"/>
        <v>1.0147875479960651</v>
      </c>
      <c r="N793" s="855">
        <f t="shared" si="404"/>
        <v>0.99371462522280241</v>
      </c>
      <c r="O793" s="855">
        <f t="shared" si="404"/>
        <v>0.9813707596450375</v>
      </c>
      <c r="P793" s="855">
        <f t="shared" si="404"/>
        <v>0.9815301737959341</v>
      </c>
      <c r="Q793" s="855">
        <f t="shared" si="404"/>
        <v>0.99135903299575312</v>
      </c>
    </row>
    <row r="794" spans="1:17">
      <c r="A794" s="853" t="s">
        <v>171</v>
      </c>
      <c r="B794" s="854"/>
      <c r="C794" s="855">
        <f t="shared" si="389"/>
        <v>1.039963497907423</v>
      </c>
      <c r="D794" s="855">
        <f t="shared" si="404"/>
        <v>1.0316499742806136</v>
      </c>
      <c r="E794" s="855">
        <f t="shared" si="404"/>
        <v>1.0312069218360465</v>
      </c>
      <c r="F794" s="855">
        <f t="shared" si="404"/>
        <v>1.0401888563383488</v>
      </c>
      <c r="G794" s="855">
        <f t="shared" si="404"/>
        <v>1.0539757191293886</v>
      </c>
      <c r="H794" s="855">
        <f t="shared" si="404"/>
        <v>1.0691122295439215</v>
      </c>
      <c r="I794" s="855">
        <f t="shared" si="404"/>
        <v>1.0778937151176899</v>
      </c>
      <c r="J794" s="855">
        <f t="shared" si="404"/>
        <v>1.0757316524088247</v>
      </c>
      <c r="K794" s="855">
        <f t="shared" si="404"/>
        <v>1.0620709861041353</v>
      </c>
      <c r="L794" s="855">
        <f t="shared" si="404"/>
        <v>1.042935960591133</v>
      </c>
      <c r="M794" s="855">
        <f t="shared" si="404"/>
        <v>1.0236165429159818</v>
      </c>
      <c r="N794" s="855">
        <f t="shared" si="404"/>
        <v>1.0085642038428173</v>
      </c>
      <c r="O794" s="855">
        <f t="shared" si="404"/>
        <v>0.99882876123199682</v>
      </c>
      <c r="P794" s="855">
        <f t="shared" si="404"/>
        <v>0.99635390901262388</v>
      </c>
      <c r="Q794" s="855">
        <f t="shared" si="404"/>
        <v>0.99915410077234279</v>
      </c>
    </row>
    <row r="795" spans="1:17">
      <c r="A795" s="853" t="s">
        <v>172</v>
      </c>
      <c r="B795" s="854"/>
      <c r="C795" s="855">
        <f t="shared" si="389"/>
        <v>1.0493259803921569</v>
      </c>
      <c r="D795" s="855">
        <f t="shared" si="404"/>
        <v>1.0418613138686132</v>
      </c>
      <c r="E795" s="855">
        <f t="shared" si="404"/>
        <v>1.0398640837916417</v>
      </c>
      <c r="F795" s="855">
        <f t="shared" si="404"/>
        <v>1.0443658413340071</v>
      </c>
      <c r="G795" s="855">
        <f t="shared" si="404"/>
        <v>1.0521579252951423</v>
      </c>
      <c r="H795" s="855">
        <f t="shared" si="404"/>
        <v>1.0603942487507281</v>
      </c>
      <c r="I795" s="855">
        <f t="shared" si="404"/>
        <v>1.0649628494608112</v>
      </c>
      <c r="J795" s="855">
        <f t="shared" si="404"/>
        <v>1.0638777283092626</v>
      </c>
      <c r="K795" s="855">
        <f t="shared" si="404"/>
        <v>1.0567251014315242</v>
      </c>
      <c r="L795" s="855">
        <f t="shared" si="404"/>
        <v>1.0462426349850285</v>
      </c>
      <c r="M795" s="855">
        <f t="shared" si="404"/>
        <v>1.036236065271078</v>
      </c>
      <c r="N795" s="855">
        <f t="shared" si="404"/>
        <v>1.0281756019333141</v>
      </c>
      <c r="O795" s="855">
        <f t="shared" si="404"/>
        <v>1.02096962869893</v>
      </c>
      <c r="P795" s="855">
        <f t="shared" si="404"/>
        <v>1.0150010608953957</v>
      </c>
      <c r="Q795" s="855">
        <f t="shared" si="404"/>
        <v>1.0100340740431046</v>
      </c>
    </row>
    <row r="796" spans="1:17">
      <c r="A796" s="853" t="s">
        <v>173</v>
      </c>
      <c r="B796" s="854"/>
      <c r="C796" s="855">
        <f t="shared" si="389"/>
        <v>1.0620418722751879</v>
      </c>
      <c r="D796" s="855">
        <f t="shared" si="404"/>
        <v>1.0549891735835439</v>
      </c>
      <c r="E796" s="855">
        <f t="shared" si="404"/>
        <v>1.0501560696113224</v>
      </c>
      <c r="F796" s="855">
        <f t="shared" si="404"/>
        <v>1.0477605863192183</v>
      </c>
      <c r="G796" s="855">
        <f t="shared" si="404"/>
        <v>1.0469047526522364</v>
      </c>
      <c r="H796" s="855">
        <f t="shared" si="404"/>
        <v>1.0452115812917595</v>
      </c>
      <c r="I796" s="855">
        <f t="shared" si="404"/>
        <v>1.0432914269479365</v>
      </c>
      <c r="J796" s="855">
        <f t="shared" si="404"/>
        <v>1.0438778636348165</v>
      </c>
      <c r="K796" s="855">
        <f t="shared" si="404"/>
        <v>1.0472510271962434</v>
      </c>
      <c r="L796" s="855">
        <f t="shared" si="404"/>
        <v>1.0515024132025532</v>
      </c>
      <c r="M796" s="855">
        <f t="shared" si="404"/>
        <v>1.0570937842399835</v>
      </c>
      <c r="N796" s="855">
        <f t="shared" si="404"/>
        <v>1.0599490153234166</v>
      </c>
      <c r="O796" s="855">
        <f t="shared" si="404"/>
        <v>1.0555012289557839</v>
      </c>
      <c r="P796" s="855">
        <f t="shared" si="404"/>
        <v>1.0429927135238002</v>
      </c>
      <c r="Q796" s="855">
        <f t="shared" si="404"/>
        <v>1.0265520718298362</v>
      </c>
    </row>
    <row r="797" spans="1:17">
      <c r="A797" s="853" t="s">
        <v>174</v>
      </c>
      <c r="B797" s="854"/>
      <c r="C797" s="855">
        <f t="shared" si="389"/>
        <v>1.0765699596033784</v>
      </c>
      <c r="D797" s="855">
        <f t="shared" si="404"/>
        <v>1.0697595087838991</v>
      </c>
      <c r="E797" s="855">
        <f t="shared" si="404"/>
        <v>1.0615965136054424</v>
      </c>
      <c r="F797" s="855">
        <f t="shared" si="404"/>
        <v>1.0517647058823529</v>
      </c>
      <c r="G797" s="855">
        <f t="shared" si="404"/>
        <v>1.0422675996001713</v>
      </c>
      <c r="H797" s="855">
        <f t="shared" si="404"/>
        <v>1.0302781202904507</v>
      </c>
      <c r="I797" s="855">
        <f t="shared" si="404"/>
        <v>1.0211879432624114</v>
      </c>
      <c r="J797" s="855">
        <f t="shared" si="404"/>
        <v>1.0223977775848596</v>
      </c>
      <c r="K797" s="855">
        <f t="shared" si="404"/>
        <v>1.0363420225863973</v>
      </c>
      <c r="L797" s="855">
        <f t="shared" si="404"/>
        <v>1.0569438754608766</v>
      </c>
      <c r="M797" s="855">
        <f t="shared" si="404"/>
        <v>1.07984496124031</v>
      </c>
      <c r="N797" s="855">
        <f t="shared" si="404"/>
        <v>1.0933237616654703</v>
      </c>
      <c r="O797" s="855">
        <f t="shared" si="404"/>
        <v>1.0898555482600132</v>
      </c>
      <c r="P797" s="855">
        <f t="shared" si="404"/>
        <v>1.0694942314064522</v>
      </c>
      <c r="Q797" s="855">
        <f t="shared" si="404"/>
        <v>1.0419671022983326</v>
      </c>
    </row>
    <row r="798" spans="1:17">
      <c r="A798" s="853" t="s">
        <v>175</v>
      </c>
      <c r="B798" s="854"/>
      <c r="C798" s="855">
        <f t="shared" si="389"/>
        <v>1.0862627379729834</v>
      </c>
      <c r="D798" s="855">
        <f t="shared" si="404"/>
        <v>1.0789760744673116</v>
      </c>
      <c r="E798" s="855">
        <f t="shared" si="404"/>
        <v>1.0690166475702636</v>
      </c>
      <c r="F798" s="855">
        <f t="shared" si="404"/>
        <v>1.0563646680537166</v>
      </c>
      <c r="G798" s="855">
        <f t="shared" si="404"/>
        <v>1.0432109817964788</v>
      </c>
      <c r="H798" s="855">
        <f t="shared" si="404"/>
        <v>1.0274615252588821</v>
      </c>
      <c r="I798" s="855">
        <f t="shared" si="404"/>
        <v>1.0155353861573584</v>
      </c>
      <c r="J798" s="855">
        <f t="shared" si="404"/>
        <v>1.0166684943524511</v>
      </c>
      <c r="K798" s="855">
        <f t="shared" si="404"/>
        <v>1.0345162334160283</v>
      </c>
      <c r="L798" s="855">
        <f t="shared" si="404"/>
        <v>1.061098946929413</v>
      </c>
      <c r="M798" s="855">
        <f t="shared" si="404"/>
        <v>1.0903016606072518</v>
      </c>
      <c r="N798" s="855">
        <f t="shared" si="404"/>
        <v>1.1070205479452055</v>
      </c>
      <c r="O798" s="855">
        <f t="shared" si="404"/>
        <v>1.1033500223877559</v>
      </c>
      <c r="P798" s="855">
        <f t="shared" si="404"/>
        <v>1.0803881059544012</v>
      </c>
      <c r="Q798" s="855">
        <f t="shared" si="404"/>
        <v>1.0497524329861705</v>
      </c>
    </row>
    <row r="799" spans="1:17">
      <c r="A799" s="853" t="s">
        <v>176</v>
      </c>
      <c r="B799" s="854"/>
      <c r="C799" s="855">
        <f t="shared" si="389"/>
        <v>1.0895013936203159</v>
      </c>
      <c r="D799" s="855">
        <f t="shared" si="404"/>
        <v>1.0812961910176238</v>
      </c>
      <c r="E799" s="855">
        <f t="shared" si="404"/>
        <v>1.0720294426919033</v>
      </c>
      <c r="F799" s="855">
        <f t="shared" si="404"/>
        <v>1.0613863004740887</v>
      </c>
      <c r="G799" s="855">
        <f t="shared" si="404"/>
        <v>1.051212938005391</v>
      </c>
      <c r="H799" s="855">
        <f t="shared" si="404"/>
        <v>1.039047619047619</v>
      </c>
      <c r="I799" s="855">
        <f t="shared" si="404"/>
        <v>1.0298949446520482</v>
      </c>
      <c r="J799" s="855">
        <f t="shared" si="404"/>
        <v>1.0308071472581639</v>
      </c>
      <c r="K799" s="855">
        <f t="shared" si="404"/>
        <v>1.0437670186624162</v>
      </c>
      <c r="L799" s="855">
        <f t="shared" si="404"/>
        <v>1.0629294986001527</v>
      </c>
      <c r="M799" s="855">
        <f t="shared" si="404"/>
        <v>1.0833283448069442</v>
      </c>
      <c r="N799" s="855">
        <f t="shared" si="404"/>
        <v>1.0948776040227661</v>
      </c>
      <c r="O799" s="855">
        <f t="shared" si="404"/>
        <v>1.0916018976481277</v>
      </c>
      <c r="P799" s="855">
        <f t="shared" si="404"/>
        <v>1.0737435850016182</v>
      </c>
      <c r="Q799" s="855">
        <f t="shared" si="404"/>
        <v>1.0496469169824318</v>
      </c>
    </row>
    <row r="800" spans="1:17">
      <c r="A800" s="853" t="s">
        <v>177</v>
      </c>
      <c r="B800" s="854"/>
      <c r="C800" s="855">
        <f t="shared" si="389"/>
        <v>1.0969842842984567</v>
      </c>
      <c r="D800" s="855">
        <f t="shared" si="404"/>
        <v>1.0884099122354156</v>
      </c>
      <c r="E800" s="855">
        <f t="shared" si="404"/>
        <v>1.0793311988616152</v>
      </c>
      <c r="F800" s="855">
        <f t="shared" si="404"/>
        <v>1.0697648868380576</v>
      </c>
      <c r="G800" s="855">
        <f t="shared" si="404"/>
        <v>1.0604909109582008</v>
      </c>
      <c r="H800" s="855">
        <f t="shared" si="404"/>
        <v>1.0502614758861126</v>
      </c>
      <c r="I800" s="855">
        <f t="shared" si="404"/>
        <v>1.0423236514522822</v>
      </c>
      <c r="J800" s="855">
        <f t="shared" si="404"/>
        <v>1.0417551309271054</v>
      </c>
      <c r="K800" s="855">
        <f t="shared" si="404"/>
        <v>1.0495923913043479</v>
      </c>
      <c r="L800" s="855">
        <f t="shared" si="404"/>
        <v>1.061569579288026</v>
      </c>
      <c r="M800" s="855">
        <f t="shared" si="404"/>
        <v>1.0741559332367958</v>
      </c>
      <c r="N800" s="855">
        <f t="shared" si="404"/>
        <v>1.0809564353625656</v>
      </c>
      <c r="O800" s="855">
        <f t="shared" si="404"/>
        <v>1.0788972760091895</v>
      </c>
      <c r="P800" s="855">
        <f t="shared" si="404"/>
        <v>1.0677130863296223</v>
      </c>
      <c r="Q800" s="855">
        <f t="shared" si="404"/>
        <v>1.0521367521367522</v>
      </c>
    </row>
    <row r="801" spans="1:17">
      <c r="A801" s="853" t="s">
        <v>178</v>
      </c>
      <c r="B801" s="854"/>
      <c r="C801" s="855">
        <f t="shared" si="389"/>
        <v>1.109486000835771</v>
      </c>
      <c r="D801" s="855">
        <f t="shared" si="404"/>
        <v>1.1018832391713749</v>
      </c>
      <c r="E801" s="855">
        <f t="shared" si="404"/>
        <v>1.0933173816441635</v>
      </c>
      <c r="F801" s="855">
        <f t="shared" si="404"/>
        <v>1.0837892762232295</v>
      </c>
      <c r="G801" s="855">
        <f t="shared" si="404"/>
        <v>1.0751478436463291</v>
      </c>
      <c r="H801" s="855">
        <f t="shared" si="404"/>
        <v>1.0665414542527503</v>
      </c>
      <c r="I801" s="855">
        <f t="shared" si="404"/>
        <v>1.0598742138364781</v>
      </c>
      <c r="J801" s="855">
        <f t="shared" si="404"/>
        <v>1.0555423688582957</v>
      </c>
      <c r="K801" s="855">
        <f t="shared" si="404"/>
        <v>1.0537440971441421</v>
      </c>
      <c r="L801" s="855">
        <f t="shared" si="404"/>
        <v>1.053563807084934</v>
      </c>
      <c r="M801" s="855">
        <f t="shared" si="404"/>
        <v>1.0525622847883329</v>
      </c>
      <c r="N801" s="855">
        <f t="shared" si="404"/>
        <v>1.0511882998171846</v>
      </c>
      <c r="O801" s="855">
        <f t="shared" si="404"/>
        <v>1.05162471395881</v>
      </c>
      <c r="P801" s="855">
        <f t="shared" si="404"/>
        <v>1.0535294629645746</v>
      </c>
      <c r="Q801" s="855">
        <f t="shared" si="404"/>
        <v>1.0560145406477199</v>
      </c>
    </row>
    <row r="802" spans="1:17">
      <c r="A802" s="853" t="s">
        <v>179</v>
      </c>
      <c r="B802" s="854"/>
      <c r="C802" s="855">
        <f t="shared" si="389"/>
        <v>1.1271353482260185</v>
      </c>
      <c r="D802" s="855">
        <f t="shared" si="404"/>
        <v>1.1206645292917516</v>
      </c>
      <c r="E802" s="855">
        <f t="shared" si="404"/>
        <v>1.1120936280884264</v>
      </c>
      <c r="F802" s="855">
        <f t="shared" si="404"/>
        <v>1.1040692235734333</v>
      </c>
      <c r="G802" s="855">
        <f t="shared" si="404"/>
        <v>1.0948951493327683</v>
      </c>
      <c r="H802" s="855">
        <f t="shared" si="404"/>
        <v>1.0891855291158832</v>
      </c>
      <c r="I802" s="855">
        <f t="shared" si="404"/>
        <v>1.0829484902309059</v>
      </c>
      <c r="J802" s="855">
        <f t="shared" si="404"/>
        <v>1.0731507298671477</v>
      </c>
      <c r="K802" s="855">
        <f t="shared" si="404"/>
        <v>1.0589943451016353</v>
      </c>
      <c r="L802" s="855">
        <f t="shared" si="404"/>
        <v>1.0438735748304229</v>
      </c>
      <c r="M802" s="855">
        <f t="shared" si="404"/>
        <v>1.0261302364164246</v>
      </c>
      <c r="N802" s="855">
        <f t="shared" si="404"/>
        <v>1.0129345189975747</v>
      </c>
      <c r="O802" s="855">
        <f t="shared" si="404"/>
        <v>1.0134344240489492</v>
      </c>
      <c r="P802" s="855">
        <f t="shared" si="404"/>
        <v>1.0321564509778187</v>
      </c>
      <c r="Q802" s="855">
        <f t="shared" si="404"/>
        <v>1.0604018311291965</v>
      </c>
    </row>
    <row r="803" spans="1:17">
      <c r="A803" s="853" t="s">
        <v>180</v>
      </c>
      <c r="B803" s="854"/>
      <c r="C803" s="855">
        <f t="shared" si="389"/>
        <v>1.1509333333333334</v>
      </c>
      <c r="D803" s="855">
        <f t="shared" si="404"/>
        <v>1.144114921223355</v>
      </c>
      <c r="E803" s="855">
        <f t="shared" si="404"/>
        <v>1.1352774402592143</v>
      </c>
      <c r="F803" s="855">
        <f t="shared" si="404"/>
        <v>1.1245094541562612</v>
      </c>
      <c r="G803" s="855">
        <f t="shared" si="404"/>
        <v>1.1135786802030456</v>
      </c>
      <c r="H803" s="855">
        <f t="shared" si="404"/>
        <v>1.1065527065527065</v>
      </c>
      <c r="I803" s="855">
        <f t="shared" si="404"/>
        <v>1.0993820803295571</v>
      </c>
      <c r="J803" s="855">
        <f t="shared" si="404"/>
        <v>1.0852459016393445</v>
      </c>
      <c r="K803" s="855">
        <f t="shared" si="404"/>
        <v>1.0643072939145446</v>
      </c>
      <c r="L803" s="855">
        <f t="shared" si="404"/>
        <v>1.0419708029197079</v>
      </c>
      <c r="M803" s="855">
        <f t="shared" si="404"/>
        <v>1.0157618213660244</v>
      </c>
      <c r="N803" s="855">
        <f t="shared" si="404"/>
        <v>0.99559386973180086</v>
      </c>
      <c r="O803" s="855">
        <f t="shared" si="404"/>
        <v>0.99615162593804107</v>
      </c>
      <c r="P803" s="855">
        <f t="shared" si="404"/>
        <v>1.0237589337454125</v>
      </c>
      <c r="Q803" s="855">
        <f t="shared" si="404"/>
        <v>1.068490566037736</v>
      </c>
    </row>
    <row r="804" spans="1:17">
      <c r="A804" s="853" t="s">
        <v>181</v>
      </c>
      <c r="B804" s="854"/>
      <c r="C804" s="855">
        <f t="shared" si="389"/>
        <v>1.1770833333333335</v>
      </c>
      <c r="D804" s="855">
        <f t="shared" ref="D804:Q819" si="405">D487/C487</f>
        <v>1.1710914454277286</v>
      </c>
      <c r="E804" s="855">
        <f t="shared" si="405"/>
        <v>1.1574307304785894</v>
      </c>
      <c r="F804" s="855">
        <f t="shared" si="405"/>
        <v>1.1403699673558216</v>
      </c>
      <c r="G804" s="855">
        <f t="shared" si="405"/>
        <v>1.123091603053435</v>
      </c>
      <c r="H804" s="855">
        <f t="shared" si="405"/>
        <v>1.1108751062022091</v>
      </c>
      <c r="I804" s="855">
        <f t="shared" si="405"/>
        <v>1.1009560229445505</v>
      </c>
      <c r="J804" s="855">
        <f t="shared" si="405"/>
        <v>1.0871830496700243</v>
      </c>
      <c r="K804" s="855">
        <f t="shared" si="405"/>
        <v>1.069968051118211</v>
      </c>
      <c r="L804" s="855">
        <f t="shared" si="405"/>
        <v>1.0528515974917885</v>
      </c>
      <c r="M804" s="855">
        <f t="shared" si="405"/>
        <v>1.0323312535450937</v>
      </c>
      <c r="N804" s="855">
        <f t="shared" si="405"/>
        <v>1.0178571428571428</v>
      </c>
      <c r="O804" s="855">
        <f t="shared" si="405"/>
        <v>1.0197031039136302</v>
      </c>
      <c r="P804" s="855">
        <f t="shared" si="405"/>
        <v>1.0436739015352039</v>
      </c>
      <c r="Q804" s="855">
        <f t="shared" si="405"/>
        <v>1.077859497844281</v>
      </c>
    </row>
    <row r="805" spans="1:17">
      <c r="A805" s="853" t="s">
        <v>182</v>
      </c>
      <c r="B805" s="854"/>
      <c r="C805" s="855">
        <f t="shared" si="389"/>
        <v>0.97860199714693308</v>
      </c>
      <c r="D805" s="855">
        <f t="shared" si="405"/>
        <v>1.1268221574344022</v>
      </c>
      <c r="E805" s="855">
        <f t="shared" si="405"/>
        <v>1.1435963777490297</v>
      </c>
      <c r="F805" s="855">
        <f t="shared" si="405"/>
        <v>1.1402714932126696</v>
      </c>
      <c r="G805" s="855">
        <f t="shared" si="405"/>
        <v>1.5009920634920635</v>
      </c>
      <c r="H805" s="855">
        <f t="shared" si="405"/>
        <v>1.1196298744216788</v>
      </c>
      <c r="I805" s="855">
        <f t="shared" si="405"/>
        <v>1.1062573789846517</v>
      </c>
      <c r="J805" s="855">
        <f t="shared" si="405"/>
        <v>1.0939167556029881</v>
      </c>
      <c r="K805" s="855">
        <f t="shared" si="405"/>
        <v>1.0790243902439027</v>
      </c>
      <c r="L805" s="855">
        <f t="shared" si="405"/>
        <v>1.0637432188065099</v>
      </c>
      <c r="M805" s="855">
        <f t="shared" si="405"/>
        <v>1.0484487887802805</v>
      </c>
      <c r="N805" s="855">
        <f t="shared" si="405"/>
        <v>1.0364815565464125</v>
      </c>
      <c r="O805" s="855">
        <f t="shared" si="405"/>
        <v>1.0379350801720766</v>
      </c>
      <c r="P805" s="855">
        <f t="shared" si="405"/>
        <v>1.0557648831951771</v>
      </c>
      <c r="Q805" s="855">
        <f t="shared" si="405"/>
        <v>1.0795860099928622</v>
      </c>
    </row>
    <row r="806" spans="1:17">
      <c r="A806" s="853" t="s">
        <v>183</v>
      </c>
      <c r="B806" s="854"/>
      <c r="C806" s="855">
        <f>C489/B489</f>
        <v>1.0300751879699248</v>
      </c>
      <c r="D806" s="855">
        <f t="shared" si="405"/>
        <v>1.1295620437956204</v>
      </c>
      <c r="E806" s="855">
        <f t="shared" si="405"/>
        <v>1.1421647819063003</v>
      </c>
      <c r="F806" s="855">
        <f t="shared" si="405"/>
        <v>1.1414427157001417</v>
      </c>
      <c r="G806" s="855">
        <f t="shared" si="405"/>
        <v>1.2267657992565055</v>
      </c>
      <c r="H806" s="855">
        <f t="shared" si="405"/>
        <v>1.1171717171717173</v>
      </c>
      <c r="I806" s="855">
        <f t="shared" si="405"/>
        <v>1.1084990958408678</v>
      </c>
      <c r="J806" s="855">
        <f t="shared" si="405"/>
        <v>1.1003262642740619</v>
      </c>
      <c r="K806" s="855">
        <f t="shared" si="405"/>
        <v>1.088954781319496</v>
      </c>
      <c r="L806" s="855">
        <f t="shared" si="405"/>
        <v>1.0803267528931244</v>
      </c>
      <c r="M806" s="855">
        <f t="shared" si="405"/>
        <v>1.0699432892249527</v>
      </c>
      <c r="N806" s="855">
        <f t="shared" si="405"/>
        <v>1.0630153121319199</v>
      </c>
      <c r="O806" s="855">
        <f t="shared" si="405"/>
        <v>1.0598337950138506</v>
      </c>
      <c r="P806" s="855">
        <f t="shared" si="405"/>
        <v>1.0585467851542081</v>
      </c>
      <c r="Q806" s="855">
        <f t="shared" si="405"/>
        <v>1.0612345679012347</v>
      </c>
    </row>
    <row r="807" spans="1:17">
      <c r="A807" s="853" t="s">
        <v>184</v>
      </c>
      <c r="B807" s="854"/>
      <c r="C807" s="855">
        <f>C490/B490</f>
        <v>0.98561151079136688</v>
      </c>
      <c r="D807" s="855">
        <f t="shared" si="405"/>
        <v>1.1289537712895379</v>
      </c>
      <c r="E807" s="855">
        <f t="shared" si="405"/>
        <v>1.1443965517241379</v>
      </c>
      <c r="F807" s="855">
        <f t="shared" si="405"/>
        <v>1.1393596986817325</v>
      </c>
      <c r="G807" s="855">
        <f t="shared" si="405"/>
        <v>1.0231404958677686</v>
      </c>
      <c r="H807" s="855">
        <f t="shared" si="405"/>
        <v>1.1066235864297254</v>
      </c>
      <c r="I807" s="855">
        <f t="shared" si="405"/>
        <v>1.1080291970802918</v>
      </c>
      <c r="J807" s="855">
        <f t="shared" si="405"/>
        <v>1.1067193675889329</v>
      </c>
      <c r="K807" s="855">
        <f t="shared" si="405"/>
        <v>1.1047619047619048</v>
      </c>
      <c r="L807" s="855">
        <f t="shared" si="405"/>
        <v>1.1023706896551722</v>
      </c>
      <c r="M807" s="855">
        <f t="shared" si="405"/>
        <v>1.1045943304007819</v>
      </c>
      <c r="N807" s="855">
        <f t="shared" si="405"/>
        <v>1.101769911504425</v>
      </c>
      <c r="O807" s="855">
        <f t="shared" si="405"/>
        <v>1.0883534136546185</v>
      </c>
      <c r="P807" s="855">
        <f t="shared" si="405"/>
        <v>1.0649446494464945</v>
      </c>
      <c r="Q807" s="855">
        <f t="shared" si="405"/>
        <v>1.0360360360360361</v>
      </c>
    </row>
    <row r="808" spans="1:17">
      <c r="A808" s="853" t="s">
        <v>185</v>
      </c>
      <c r="B808" s="854"/>
      <c r="C808" s="855">
        <f>C491/B491</f>
        <v>1.2398190045248869</v>
      </c>
      <c r="D808" s="855">
        <f t="shared" si="405"/>
        <v>1.1313868613138685</v>
      </c>
      <c r="E808" s="855">
        <f t="shared" si="405"/>
        <v>1.1387096774193548</v>
      </c>
      <c r="F808" s="855">
        <f t="shared" si="405"/>
        <v>1.1444759206798869</v>
      </c>
      <c r="G808" s="855">
        <f t="shared" si="405"/>
        <v>0.70544554455445529</v>
      </c>
      <c r="H808" s="855">
        <f t="shared" si="405"/>
        <v>1.1333333333333335</v>
      </c>
      <c r="I808" s="855">
        <f t="shared" si="405"/>
        <v>1.1362229102167183</v>
      </c>
      <c r="J808" s="855">
        <f t="shared" si="405"/>
        <v>1.1389645776566757</v>
      </c>
      <c r="K808" s="855">
        <f t="shared" si="405"/>
        <v>1.1435406698564594</v>
      </c>
      <c r="L808" s="855">
        <f t="shared" si="405"/>
        <v>1.1380753138075315</v>
      </c>
      <c r="M808" s="855">
        <f t="shared" si="405"/>
        <v>1.1452205882352939</v>
      </c>
      <c r="N808" s="855">
        <f t="shared" si="405"/>
        <v>1.1412520064205456</v>
      </c>
      <c r="O808" s="855">
        <f t="shared" si="405"/>
        <v>1.1167369901547117</v>
      </c>
      <c r="P808" s="855">
        <f t="shared" si="405"/>
        <v>1.0717884130982367</v>
      </c>
      <c r="Q808" s="855">
        <f t="shared" si="405"/>
        <v>1.0211515863689777</v>
      </c>
    </row>
    <row r="809" spans="1:17">
      <c r="A809" s="853" t="s">
        <v>186</v>
      </c>
      <c r="B809" s="854"/>
      <c r="C809" s="855">
        <v>0</v>
      </c>
      <c r="D809" s="855">
        <f t="shared" si="405"/>
        <v>1.1313868613138685</v>
      </c>
      <c r="E809" s="855">
        <f t="shared" si="405"/>
        <v>1.1419354838709677</v>
      </c>
      <c r="F809" s="855">
        <f t="shared" si="405"/>
        <v>1.1412429378531075</v>
      </c>
      <c r="G809" s="855">
        <f t="shared" si="405"/>
        <v>8.4158415841584164E-2</v>
      </c>
      <c r="H809" s="855">
        <f t="shared" si="405"/>
        <v>2.2352941176470584</v>
      </c>
      <c r="I809" s="855">
        <f t="shared" si="405"/>
        <v>1.736842105263158</v>
      </c>
      <c r="J809" s="855">
        <f t="shared" si="405"/>
        <v>1.4696969696969697</v>
      </c>
      <c r="K809" s="855">
        <f t="shared" si="405"/>
        <v>1.3505154639175259</v>
      </c>
      <c r="L809" s="855">
        <f t="shared" si="405"/>
        <v>1.2824427480916032</v>
      </c>
      <c r="M809" s="855">
        <f t="shared" si="405"/>
        <v>1.232142857142857</v>
      </c>
      <c r="N809" s="855">
        <f t="shared" si="405"/>
        <v>1.2077294685990339</v>
      </c>
      <c r="O809" s="855">
        <f t="shared" si="405"/>
        <v>1.1599999999999999</v>
      </c>
      <c r="P809" s="855">
        <f t="shared" si="405"/>
        <v>1.0896551724137933</v>
      </c>
      <c r="Q809" s="855">
        <f t="shared" si="405"/>
        <v>1.0379746835443038</v>
      </c>
    </row>
    <row r="810" spans="1:17">
      <c r="A810" s="853" t="s">
        <v>187</v>
      </c>
      <c r="B810" s="854"/>
      <c r="C810" s="855">
        <f>C493/B493</f>
        <v>1.0191082802547771</v>
      </c>
      <c r="D810" s="855">
        <f t="shared" si="405"/>
        <v>1</v>
      </c>
      <c r="E810" s="855">
        <f t="shared" si="405"/>
        <v>1</v>
      </c>
      <c r="F810" s="855">
        <f t="shared" si="405"/>
        <v>1.01875</v>
      </c>
      <c r="G810" s="855">
        <f t="shared" si="405"/>
        <v>1.0613496932515336</v>
      </c>
      <c r="H810" s="855">
        <f t="shared" si="405"/>
        <v>1.0982658959537572</v>
      </c>
      <c r="I810" s="855">
        <f t="shared" si="405"/>
        <v>1.1263157894736842</v>
      </c>
      <c r="J810" s="855">
        <f t="shared" si="405"/>
        <v>1.1401869158878504</v>
      </c>
      <c r="K810" s="855">
        <f t="shared" si="405"/>
        <v>1.1434426229508199</v>
      </c>
      <c r="L810" s="855">
        <f t="shared" si="405"/>
        <v>1.1326164874551969</v>
      </c>
      <c r="M810" s="855">
        <f t="shared" si="405"/>
        <v>1.129746835443038</v>
      </c>
      <c r="N810" s="855">
        <f t="shared" si="405"/>
        <v>1.1204481792717087</v>
      </c>
      <c r="O810" s="855">
        <f t="shared" si="405"/>
        <v>1.115</v>
      </c>
      <c r="P810" s="855">
        <f t="shared" si="405"/>
        <v>1.1053811659192825</v>
      </c>
      <c r="Q810" s="855">
        <f t="shared" si="405"/>
        <v>1.0953346855983774</v>
      </c>
    </row>
    <row r="811" spans="1:17">
      <c r="C811" s="84"/>
      <c r="D811" s="84"/>
      <c r="E811" s="84"/>
      <c r="F811" s="84"/>
      <c r="G811" s="84"/>
      <c r="H811" s="84"/>
      <c r="I811" s="84"/>
      <c r="J811" s="84"/>
      <c r="K811" s="84"/>
      <c r="L811" s="84"/>
      <c r="M811" s="84"/>
      <c r="N811" s="84"/>
      <c r="O811" s="84"/>
      <c r="P811" s="84"/>
      <c r="Q811" s="84"/>
    </row>
    <row r="812" spans="1:17" ht="15.75">
      <c r="A812" s="80" t="s">
        <v>192</v>
      </c>
      <c r="C812" s="84"/>
      <c r="D812" s="84"/>
      <c r="E812" s="84"/>
      <c r="F812" s="84"/>
      <c r="G812" s="84"/>
      <c r="H812" s="84"/>
      <c r="I812" s="84"/>
      <c r="J812" s="84"/>
      <c r="K812" s="84"/>
      <c r="L812" s="84"/>
      <c r="M812" s="84"/>
      <c r="N812" s="84"/>
      <c r="O812" s="84"/>
      <c r="P812" s="84"/>
      <c r="Q812" s="84"/>
    </row>
    <row r="813" spans="1:17">
      <c r="A813" s="81"/>
      <c r="B813" s="82"/>
      <c r="C813" s="84"/>
      <c r="D813" s="84"/>
      <c r="E813" s="84"/>
      <c r="F813" s="84"/>
      <c r="G813" s="84"/>
      <c r="H813" s="84"/>
      <c r="I813" s="84"/>
      <c r="J813" s="84"/>
      <c r="K813" s="84"/>
      <c r="L813" s="84"/>
      <c r="M813" s="84"/>
      <c r="N813" s="84"/>
      <c r="O813" s="84"/>
      <c r="P813" s="84"/>
      <c r="Q813" s="84"/>
    </row>
    <row r="814" spans="1:17" ht="15.75">
      <c r="A814" s="388"/>
      <c r="B814" s="389">
        <v>2005</v>
      </c>
      <c r="C814" s="389">
        <v>2006</v>
      </c>
      <c r="D814" s="389">
        <v>2007</v>
      </c>
      <c r="E814" s="389">
        <v>2008</v>
      </c>
      <c r="F814" s="389">
        <v>2009</v>
      </c>
      <c r="G814" s="389">
        <v>2010</v>
      </c>
      <c r="H814" s="389">
        <v>2011</v>
      </c>
      <c r="I814" s="389">
        <v>2012</v>
      </c>
      <c r="J814" s="389">
        <v>2013</v>
      </c>
      <c r="K814" s="389">
        <v>2014</v>
      </c>
      <c r="L814" s="389">
        <v>2015</v>
      </c>
      <c r="M814" s="389">
        <v>2016</v>
      </c>
      <c r="N814" s="389">
        <v>2017</v>
      </c>
      <c r="O814" s="389">
        <v>2018</v>
      </c>
      <c r="P814" s="389">
        <v>2019</v>
      </c>
      <c r="Q814" s="389">
        <v>2020</v>
      </c>
    </row>
    <row r="815" spans="1:17">
      <c r="A815" s="853" t="s">
        <v>87</v>
      </c>
      <c r="B815" s="854"/>
      <c r="C815" s="855">
        <f t="shared" ref="C815:C845" si="406">C498/B498</f>
        <v>0.99164548884730652</v>
      </c>
      <c r="D815" s="855">
        <f t="shared" si="405"/>
        <v>0.96614016236125699</v>
      </c>
      <c r="E815" s="855">
        <f t="shared" si="405"/>
        <v>0.95062861786359931</v>
      </c>
      <c r="F815" s="855">
        <f t="shared" si="405"/>
        <v>0.95202477885681824</v>
      </c>
      <c r="G815" s="855">
        <f t="shared" si="405"/>
        <v>0.9680168212880218</v>
      </c>
      <c r="H815" s="855">
        <f t="shared" si="405"/>
        <v>0.99033400943410088</v>
      </c>
      <c r="I815" s="855">
        <f t="shared" si="405"/>
        <v>1.0082101806239736</v>
      </c>
      <c r="J815" s="855">
        <f t="shared" si="405"/>
        <v>1.0188428250567385</v>
      </c>
      <c r="K815" s="855">
        <f t="shared" si="405"/>
        <v>1.0181105736145115</v>
      </c>
      <c r="L815" s="855">
        <f t="shared" si="405"/>
        <v>1.009733818536342</v>
      </c>
      <c r="M815" s="855">
        <f t="shared" si="405"/>
        <v>0.99961546720033456</v>
      </c>
      <c r="N815" s="855">
        <f t="shared" si="405"/>
        <v>0.99243976026248137</v>
      </c>
      <c r="O815" s="855">
        <f t="shared" si="405"/>
        <v>0.98826556739765803</v>
      </c>
      <c r="P815" s="855">
        <f t="shared" si="405"/>
        <v>0.98893929135312231</v>
      </c>
      <c r="Q815" s="855">
        <f t="shared" si="405"/>
        <v>0.99314923748538086</v>
      </c>
    </row>
    <row r="816" spans="1:17">
      <c r="A816" s="853" t="s">
        <v>88</v>
      </c>
      <c r="B816" s="854"/>
      <c r="C816" s="855">
        <f t="shared" si="406"/>
        <v>0.99254099875881374</v>
      </c>
      <c r="D816" s="855">
        <f t="shared" si="405"/>
        <v>0.98136202242676851</v>
      </c>
      <c r="E816" s="855">
        <f t="shared" si="405"/>
        <v>0.97509357025597776</v>
      </c>
      <c r="F816" s="855">
        <f t="shared" si="405"/>
        <v>0.97690836192562847</v>
      </c>
      <c r="G816" s="855">
        <f t="shared" si="405"/>
        <v>0.98505047687626834</v>
      </c>
      <c r="H816" s="855">
        <f t="shared" si="405"/>
        <v>0.99536834380006733</v>
      </c>
      <c r="I816" s="855">
        <f t="shared" si="405"/>
        <v>1.0033396856544463</v>
      </c>
      <c r="J816" s="855">
        <f t="shared" si="405"/>
        <v>1.0081225191237226</v>
      </c>
      <c r="K816" s="855">
        <f t="shared" si="405"/>
        <v>1.0079881992185427</v>
      </c>
      <c r="L816" s="855">
        <f t="shared" si="405"/>
        <v>1.0044001879083804</v>
      </c>
      <c r="M816" s="855">
        <f t="shared" si="405"/>
        <v>0.99986818999349447</v>
      </c>
      <c r="N816" s="855">
        <f t="shared" si="405"/>
        <v>0.99654130307824029</v>
      </c>
      <c r="O816" s="855">
        <f t="shared" si="405"/>
        <v>0.99453506830453409</v>
      </c>
      <c r="P816" s="855">
        <f t="shared" si="405"/>
        <v>0.99468381803983497</v>
      </c>
      <c r="Q816" s="855">
        <f t="shared" si="405"/>
        <v>0.99634491256979096</v>
      </c>
    </row>
    <row r="817" spans="1:17">
      <c r="A817" s="853" t="s">
        <v>89</v>
      </c>
      <c r="B817" s="854"/>
      <c r="C817" s="855">
        <f t="shared" si="406"/>
        <v>0.9919166847881038</v>
      </c>
      <c r="D817" s="855">
        <f t="shared" si="405"/>
        <v>0.99252246402613997</v>
      </c>
      <c r="E817" s="855">
        <f t="shared" si="405"/>
        <v>0.99339185976167366</v>
      </c>
      <c r="F817" s="855">
        <f t="shared" si="405"/>
        <v>0.99484770419760582</v>
      </c>
      <c r="G817" s="855">
        <f t="shared" si="405"/>
        <v>0.99667452007601909</v>
      </c>
      <c r="H817" s="855">
        <f t="shared" si="405"/>
        <v>0.99843883682631085</v>
      </c>
      <c r="I817" s="855">
        <f t="shared" si="405"/>
        <v>0.99974392941035106</v>
      </c>
      <c r="J817" s="855">
        <f t="shared" si="405"/>
        <v>1.0005809569190396</v>
      </c>
      <c r="K817" s="855">
        <f t="shared" si="405"/>
        <v>1.0008122954066696</v>
      </c>
      <c r="L817" s="855">
        <f t="shared" si="405"/>
        <v>1.0005772904785653</v>
      </c>
      <c r="M817" s="855">
        <f t="shared" si="405"/>
        <v>1.0000828305187619</v>
      </c>
      <c r="N817" s="855">
        <f t="shared" si="405"/>
        <v>0.99956731778438146</v>
      </c>
      <c r="O817" s="855">
        <f t="shared" si="405"/>
        <v>0.99912426069316262</v>
      </c>
      <c r="P817" s="855">
        <f t="shared" si="405"/>
        <v>0.99886182791009592</v>
      </c>
      <c r="Q817" s="855">
        <f t="shared" si="405"/>
        <v>0.99870736117016023</v>
      </c>
    </row>
    <row r="818" spans="1:17">
      <c r="A818" s="853" t="s">
        <v>90</v>
      </c>
      <c r="B818" s="854"/>
      <c r="C818" s="855">
        <f t="shared" si="406"/>
        <v>0.98991425553301315</v>
      </c>
      <c r="D818" s="855">
        <f t="shared" si="405"/>
        <v>0.99904204516893469</v>
      </c>
      <c r="E818" s="855">
        <f t="shared" si="405"/>
        <v>1.0049496268013021</v>
      </c>
      <c r="F818" s="855">
        <f t="shared" si="405"/>
        <v>1.0059866876665651</v>
      </c>
      <c r="G818" s="855">
        <f t="shared" si="405"/>
        <v>1.0035094904128912</v>
      </c>
      <c r="H818" s="855">
        <f t="shared" si="405"/>
        <v>0.99986113157924572</v>
      </c>
      <c r="I818" s="855">
        <f t="shared" si="405"/>
        <v>0.99714855032411864</v>
      </c>
      <c r="J818" s="855">
        <f t="shared" si="405"/>
        <v>0.99561536909069714</v>
      </c>
      <c r="K818" s="855">
        <f t="shared" si="405"/>
        <v>0.99611853666405425</v>
      </c>
      <c r="L818" s="855">
        <f t="shared" si="405"/>
        <v>0.99806245432006768</v>
      </c>
      <c r="M818" s="855">
        <f t="shared" si="405"/>
        <v>1.0002283046014147</v>
      </c>
      <c r="N818" s="855">
        <f t="shared" si="405"/>
        <v>1.0015920252312314</v>
      </c>
      <c r="O818" s="855">
        <f t="shared" si="405"/>
        <v>1.0021857343924232</v>
      </c>
      <c r="P818" s="855">
        <f t="shared" si="405"/>
        <v>1.0016661160617879</v>
      </c>
      <c r="Q818" s="855">
        <f t="shared" si="405"/>
        <v>1.000342663293337</v>
      </c>
    </row>
    <row r="819" spans="1:17">
      <c r="A819" s="853" t="s">
        <v>91</v>
      </c>
      <c r="B819" s="854"/>
      <c r="C819" s="855">
        <f t="shared" si="406"/>
        <v>0.98688158816882887</v>
      </c>
      <c r="D819" s="855">
        <f t="shared" si="405"/>
        <v>1.0009782637051121</v>
      </c>
      <c r="E819" s="855">
        <f t="shared" si="405"/>
        <v>1.0099337892171838</v>
      </c>
      <c r="F819" s="855">
        <f t="shared" si="405"/>
        <v>1.0108926589958338</v>
      </c>
      <c r="G819" s="855">
        <f t="shared" si="405"/>
        <v>1.006217275630662</v>
      </c>
      <c r="H819" s="855">
        <f t="shared" si="405"/>
        <v>0.99989711296151185</v>
      </c>
      <c r="I819" s="855">
        <f t="shared" si="405"/>
        <v>0.99532450105223391</v>
      </c>
      <c r="J819" s="855">
        <f t="shared" si="405"/>
        <v>0.99273783998889731</v>
      </c>
      <c r="K819" s="855">
        <f t="shared" si="405"/>
        <v>0.99348357627268535</v>
      </c>
      <c r="L819" s="855">
        <f t="shared" si="405"/>
        <v>0.9966342633143318</v>
      </c>
      <c r="M819" s="855">
        <f t="shared" si="405"/>
        <v>1.0002795042689234</v>
      </c>
      <c r="N819" s="855">
        <f t="shared" si="405"/>
        <v>1.0027092815578729</v>
      </c>
      <c r="O819" s="855">
        <f t="shared" si="405"/>
        <v>1.0038985234737368</v>
      </c>
      <c r="P819" s="855">
        <f t="shared" si="405"/>
        <v>1.0032666785905922</v>
      </c>
      <c r="Q819" s="855">
        <f t="shared" si="405"/>
        <v>1.0013506228268094</v>
      </c>
    </row>
    <row r="820" spans="1:17">
      <c r="A820" s="853" t="s">
        <v>92</v>
      </c>
      <c r="B820" s="854"/>
      <c r="C820" s="855">
        <f t="shared" si="406"/>
        <v>0.98327716153011702</v>
      </c>
      <c r="D820" s="855">
        <f t="shared" ref="D820:Q835" si="407">D503/C503</f>
        <v>0.99897875963885496</v>
      </c>
      <c r="E820" s="855">
        <f t="shared" si="407"/>
        <v>1.0091717624902272</v>
      </c>
      <c r="F820" s="855">
        <f t="shared" si="407"/>
        <v>1.0104737813047071</v>
      </c>
      <c r="G820" s="855">
        <f t="shared" si="407"/>
        <v>1.005489711027711</v>
      </c>
      <c r="H820" s="855">
        <f t="shared" si="407"/>
        <v>0.9987811077315405</v>
      </c>
      <c r="I820" s="855">
        <f t="shared" si="407"/>
        <v>0.99408931267873357</v>
      </c>
      <c r="J820" s="855">
        <f t="shared" si="407"/>
        <v>0.99151120854253594</v>
      </c>
      <c r="K820" s="855">
        <f t="shared" si="407"/>
        <v>0.99250122673483132</v>
      </c>
      <c r="L820" s="855">
        <f t="shared" si="407"/>
        <v>0.99607928242820032</v>
      </c>
      <c r="M820" s="855">
        <f t="shared" si="407"/>
        <v>1.0002063304490356</v>
      </c>
      <c r="N820" s="855">
        <f t="shared" si="407"/>
        <v>1.0030207470795116</v>
      </c>
      <c r="O820" s="855">
        <f t="shared" si="407"/>
        <v>1.0044455630663023</v>
      </c>
      <c r="P820" s="855">
        <f t="shared" si="407"/>
        <v>1.003841687536065</v>
      </c>
      <c r="Q820" s="855">
        <f t="shared" si="407"/>
        <v>1.0018129327289274</v>
      </c>
    </row>
    <row r="821" spans="1:17">
      <c r="A821" s="853" t="s">
        <v>93</v>
      </c>
      <c r="B821" s="854"/>
      <c r="C821" s="855">
        <f t="shared" si="406"/>
        <v>0.97957494018197921</v>
      </c>
      <c r="D821" s="855">
        <f t="shared" si="407"/>
        <v>0.99409209236282503</v>
      </c>
      <c r="E821" s="855">
        <f t="shared" si="407"/>
        <v>1.003939339834661</v>
      </c>
      <c r="F821" s="855">
        <f t="shared" si="407"/>
        <v>1.0058632399976288</v>
      </c>
      <c r="G821" s="855">
        <f t="shared" si="407"/>
        <v>1.0020459252690015</v>
      </c>
      <c r="H821" s="855">
        <f t="shared" si="407"/>
        <v>0.99672592123726</v>
      </c>
      <c r="I821" s="855">
        <f t="shared" si="407"/>
        <v>0.99327016561855475</v>
      </c>
      <c r="J821" s="855">
        <f t="shared" si="407"/>
        <v>0.99153848982836523</v>
      </c>
      <c r="K821" s="855">
        <f t="shared" si="407"/>
        <v>0.99278442874587725</v>
      </c>
      <c r="L821" s="855">
        <f t="shared" si="407"/>
        <v>0.99616769599066568</v>
      </c>
      <c r="M821" s="855">
        <f t="shared" si="407"/>
        <v>0.99998557537659083</v>
      </c>
      <c r="N821" s="855">
        <f t="shared" si="407"/>
        <v>1.0026397441611887</v>
      </c>
      <c r="O821" s="855">
        <f t="shared" si="407"/>
        <v>1.0040182482854467</v>
      </c>
      <c r="P821" s="855">
        <f t="shared" si="407"/>
        <v>1.0035665566178325</v>
      </c>
      <c r="Q821" s="855">
        <f t="shared" si="407"/>
        <v>1.0018162062136526</v>
      </c>
    </row>
    <row r="822" spans="1:17">
      <c r="A822" s="853" t="s">
        <v>94</v>
      </c>
      <c r="B822" s="854"/>
      <c r="C822" s="855">
        <f t="shared" si="406"/>
        <v>0.97618574452392159</v>
      </c>
      <c r="D822" s="855">
        <f t="shared" si="407"/>
        <v>0.98748336535019532</v>
      </c>
      <c r="E822" s="855">
        <f t="shared" si="407"/>
        <v>0.99572186594165302</v>
      </c>
      <c r="F822" s="855">
        <f t="shared" si="407"/>
        <v>0.99829640118223639</v>
      </c>
      <c r="G822" s="855">
        <f t="shared" si="407"/>
        <v>0.99661761041831665</v>
      </c>
      <c r="H822" s="855">
        <f t="shared" si="407"/>
        <v>0.99394829866605594</v>
      </c>
      <c r="I822" s="855">
        <f t="shared" si="407"/>
        <v>0.99270723262663285</v>
      </c>
      <c r="J822" s="855">
        <f t="shared" si="407"/>
        <v>0.99244416638121136</v>
      </c>
      <c r="K822" s="855">
        <f t="shared" si="407"/>
        <v>0.99394126103922786</v>
      </c>
      <c r="L822" s="855">
        <f t="shared" si="407"/>
        <v>0.99666517431782431</v>
      </c>
      <c r="M822" s="855">
        <f t="shared" si="407"/>
        <v>0.99958823089017002</v>
      </c>
      <c r="N822" s="855">
        <f t="shared" si="407"/>
        <v>1.0016895249453388</v>
      </c>
      <c r="O822" s="855">
        <f t="shared" si="407"/>
        <v>1.002822628768957</v>
      </c>
      <c r="P822" s="855">
        <f t="shared" si="407"/>
        <v>1.0026096407585738</v>
      </c>
      <c r="Q822" s="855">
        <f t="shared" si="407"/>
        <v>1.0014344268156297</v>
      </c>
    </row>
    <row r="823" spans="1:17">
      <c r="A823" s="853" t="s">
        <v>95</v>
      </c>
      <c r="B823" s="854"/>
      <c r="C823" s="855">
        <f t="shared" si="406"/>
        <v>0.97341248725822682</v>
      </c>
      <c r="D823" s="855">
        <f t="shared" si="407"/>
        <v>0.98026420646514201</v>
      </c>
      <c r="E823" s="855">
        <f t="shared" si="407"/>
        <v>0.98597950002418711</v>
      </c>
      <c r="F823" s="855">
        <f t="shared" si="407"/>
        <v>0.98901414900199258</v>
      </c>
      <c r="G823" s="855">
        <f t="shared" si="407"/>
        <v>0.98993938274854243</v>
      </c>
      <c r="H823" s="855">
        <f t="shared" si="407"/>
        <v>0.990666759465479</v>
      </c>
      <c r="I823" s="855">
        <f t="shared" si="407"/>
        <v>0.99224948889622655</v>
      </c>
      <c r="J823" s="855">
        <f t="shared" si="407"/>
        <v>0.99384292084584791</v>
      </c>
      <c r="K823" s="855">
        <f t="shared" si="407"/>
        <v>0.99557585800570225</v>
      </c>
      <c r="L823" s="855">
        <f t="shared" si="407"/>
        <v>0.99733801232528918</v>
      </c>
      <c r="M823" s="855">
        <f t="shared" si="407"/>
        <v>0.99899837271440994</v>
      </c>
      <c r="N823" s="855">
        <f t="shared" si="407"/>
        <v>1.0002959055860079</v>
      </c>
      <c r="O823" s="855">
        <f t="shared" si="407"/>
        <v>1.001054031310761</v>
      </c>
      <c r="P823" s="855">
        <f t="shared" si="407"/>
        <v>1.0011504673594336</v>
      </c>
      <c r="Q823" s="855">
        <f t="shared" si="407"/>
        <v>1.0007522459916034</v>
      </c>
    </row>
    <row r="824" spans="1:17">
      <c r="A824" s="853" t="s">
        <v>96</v>
      </c>
      <c r="B824" s="854"/>
      <c r="C824" s="855">
        <f t="shared" si="406"/>
        <v>0.97146270257901091</v>
      </c>
      <c r="D824" s="855">
        <f t="shared" si="407"/>
        <v>0.9733497122088054</v>
      </c>
      <c r="E824" s="855">
        <f t="shared" si="407"/>
        <v>0.97601455130231807</v>
      </c>
      <c r="F824" s="855">
        <f t="shared" si="407"/>
        <v>0.97919499410789224</v>
      </c>
      <c r="G824" s="855">
        <f t="shared" si="407"/>
        <v>0.98274315260112</v>
      </c>
      <c r="H824" s="855">
        <f t="shared" si="407"/>
        <v>0.98710576514151382</v>
      </c>
      <c r="I824" s="855">
        <f t="shared" si="407"/>
        <v>0.99174250770105177</v>
      </c>
      <c r="J824" s="855">
        <f t="shared" si="407"/>
        <v>0.99534867924848691</v>
      </c>
      <c r="K824" s="855">
        <f t="shared" si="407"/>
        <v>0.99730023287090874</v>
      </c>
      <c r="L824" s="855">
        <f t="shared" si="407"/>
        <v>0.99795294335668816</v>
      </c>
      <c r="M824" s="855">
        <f t="shared" si="407"/>
        <v>0.9981887240932551</v>
      </c>
      <c r="N824" s="855">
        <f t="shared" si="407"/>
        <v>0.9985832673860997</v>
      </c>
      <c r="O824" s="855">
        <f t="shared" si="407"/>
        <v>0.99892232885880061</v>
      </c>
      <c r="P824" s="855">
        <f t="shared" si="407"/>
        <v>0.99936446361733544</v>
      </c>
      <c r="Q824" s="855">
        <f t="shared" si="407"/>
        <v>0.99984352704398172</v>
      </c>
    </row>
    <row r="825" spans="1:17">
      <c r="A825" s="853" t="s">
        <v>97</v>
      </c>
      <c r="B825" s="854"/>
      <c r="C825" s="855">
        <f t="shared" si="406"/>
        <v>0.96967356066288823</v>
      </c>
      <c r="D825" s="855">
        <f t="shared" si="407"/>
        <v>0.96592587195181179</v>
      </c>
      <c r="E825" s="855">
        <f t="shared" si="407"/>
        <v>0.96499417889768691</v>
      </c>
      <c r="F825" s="855">
        <f t="shared" si="407"/>
        <v>0.96817490707312592</v>
      </c>
      <c r="G825" s="855">
        <f t="shared" si="407"/>
        <v>0.97474135796488282</v>
      </c>
      <c r="H825" s="855">
        <f t="shared" si="407"/>
        <v>0.98353678234866959</v>
      </c>
      <c r="I825" s="855">
        <f t="shared" si="407"/>
        <v>0.99196257248212771</v>
      </c>
      <c r="J825" s="855">
        <f t="shared" si="407"/>
        <v>0.99801610604917845</v>
      </c>
      <c r="K825" s="855">
        <f t="shared" si="407"/>
        <v>1.0000680572077545</v>
      </c>
      <c r="L825" s="855">
        <f t="shared" si="407"/>
        <v>0.99912382308031489</v>
      </c>
      <c r="M825" s="855">
        <f t="shared" si="407"/>
        <v>0.9973492980890255</v>
      </c>
      <c r="N825" s="855">
        <f t="shared" si="407"/>
        <v>0.99639895226726583</v>
      </c>
      <c r="O825" s="855">
        <f t="shared" si="407"/>
        <v>0.99605466072652493</v>
      </c>
      <c r="P825" s="855">
        <f t="shared" si="407"/>
        <v>0.99687337378880858</v>
      </c>
      <c r="Q825" s="855">
        <f t="shared" si="407"/>
        <v>0.99848714939831107</v>
      </c>
    </row>
    <row r="826" spans="1:17">
      <c r="A826" s="853" t="s">
        <v>98</v>
      </c>
      <c r="B826" s="854"/>
      <c r="C826" s="855">
        <f t="shared" si="406"/>
        <v>0.96749085072519803</v>
      </c>
      <c r="D826" s="855">
        <f t="shared" si="407"/>
        <v>0.95731355247948058</v>
      </c>
      <c r="E826" s="855">
        <f t="shared" si="407"/>
        <v>0.95216511209652166</v>
      </c>
      <c r="F826" s="855">
        <f t="shared" si="407"/>
        <v>0.95528960432319443</v>
      </c>
      <c r="G826" s="855">
        <f t="shared" si="407"/>
        <v>0.96559687802274785</v>
      </c>
      <c r="H826" s="855">
        <f t="shared" si="407"/>
        <v>0.98017931878757392</v>
      </c>
      <c r="I826" s="855">
        <f t="shared" si="407"/>
        <v>0.99369461822344152</v>
      </c>
      <c r="J826" s="855">
        <f t="shared" si="407"/>
        <v>1.0029123830897364</v>
      </c>
      <c r="K826" s="855">
        <f t="shared" si="407"/>
        <v>1.0048346898188618</v>
      </c>
      <c r="L826" s="855">
        <f t="shared" si="407"/>
        <v>1.0014513113886416</v>
      </c>
      <c r="M826" s="855">
        <f t="shared" si="407"/>
        <v>0.99667145987689454</v>
      </c>
      <c r="N826" s="855">
        <f t="shared" si="407"/>
        <v>0.99359993230426424</v>
      </c>
      <c r="O826" s="855">
        <f t="shared" si="407"/>
        <v>0.99210097130374419</v>
      </c>
      <c r="P826" s="855">
        <f t="shared" si="407"/>
        <v>0.99330855337705593</v>
      </c>
      <c r="Q826" s="855">
        <f t="shared" si="407"/>
        <v>0.99645817579489404</v>
      </c>
    </row>
    <row r="827" spans="1:17">
      <c r="A827" s="853" t="s">
        <v>99</v>
      </c>
      <c r="B827" s="854"/>
      <c r="C827" s="855">
        <f t="shared" si="406"/>
        <v>0.96877522085287382</v>
      </c>
      <c r="D827" s="855">
        <f t="shared" si="407"/>
        <v>0.95521744514618301</v>
      </c>
      <c r="E827" s="855">
        <f t="shared" si="407"/>
        <v>0.94754452315934989</v>
      </c>
      <c r="F827" s="855">
        <f t="shared" si="407"/>
        <v>0.94983102876553371</v>
      </c>
      <c r="G827" s="855">
        <f t="shared" si="407"/>
        <v>0.96095059503855174</v>
      </c>
      <c r="H827" s="855">
        <f t="shared" si="407"/>
        <v>0.9771772131889217</v>
      </c>
      <c r="I827" s="855">
        <f t="shared" si="407"/>
        <v>0.99211524516093041</v>
      </c>
      <c r="J827" s="855">
        <f t="shared" si="407"/>
        <v>1.0023684824563621</v>
      </c>
      <c r="K827" s="855">
        <f t="shared" si="407"/>
        <v>1.0044200692458818</v>
      </c>
      <c r="L827" s="855">
        <f t="shared" si="407"/>
        <v>1.0005054009490926</v>
      </c>
      <c r="M827" s="855">
        <f t="shared" si="407"/>
        <v>0.99509366823652545</v>
      </c>
      <c r="N827" s="855">
        <f t="shared" si="407"/>
        <v>0.99170112843899039</v>
      </c>
      <c r="O827" s="855">
        <f t="shared" si="407"/>
        <v>0.99010875421208699</v>
      </c>
      <c r="P827" s="855">
        <f t="shared" si="407"/>
        <v>0.99161806122857021</v>
      </c>
      <c r="Q827" s="855">
        <f t="shared" si="407"/>
        <v>0.99536673642246376</v>
      </c>
    </row>
    <row r="828" spans="1:17">
      <c r="A828" s="853" t="s">
        <v>100</v>
      </c>
      <c r="B828" s="854"/>
      <c r="C828" s="855">
        <f t="shared" si="406"/>
        <v>0.97496913148631759</v>
      </c>
      <c r="D828" s="855">
        <f t="shared" si="407"/>
        <v>0.96235146563542739</v>
      </c>
      <c r="E828" s="855">
        <f t="shared" si="407"/>
        <v>0.95473309986817034</v>
      </c>
      <c r="F828" s="855">
        <f t="shared" si="407"/>
        <v>0.95540049278014161</v>
      </c>
      <c r="G828" s="855">
        <f t="shared" si="407"/>
        <v>0.9632440675990972</v>
      </c>
      <c r="H828" s="855">
        <f t="shared" si="407"/>
        <v>0.97485732319911633</v>
      </c>
      <c r="I828" s="855">
        <f t="shared" si="407"/>
        <v>0.98550462675695361</v>
      </c>
      <c r="J828" s="855">
        <f t="shared" si="407"/>
        <v>0.99338346605638694</v>
      </c>
      <c r="K828" s="855">
        <f t="shared" si="407"/>
        <v>0.99594769620811285</v>
      </c>
      <c r="L828" s="855">
        <f t="shared" si="407"/>
        <v>0.99449793101730866</v>
      </c>
      <c r="M828" s="855">
        <f t="shared" si="407"/>
        <v>0.99218604366467189</v>
      </c>
      <c r="N828" s="855">
        <f t="shared" si="407"/>
        <v>0.99131690560482322</v>
      </c>
      <c r="O828" s="855">
        <f t="shared" si="407"/>
        <v>0.99137097047941258</v>
      </c>
      <c r="P828" s="855">
        <f t="shared" si="407"/>
        <v>0.99306636459223518</v>
      </c>
      <c r="Q828" s="855">
        <f t="shared" si="407"/>
        <v>0.99590559009066604</v>
      </c>
    </row>
    <row r="829" spans="1:17">
      <c r="A829" s="853" t="s">
        <v>101</v>
      </c>
      <c r="B829" s="854"/>
      <c r="C829" s="855">
        <f t="shared" si="406"/>
        <v>0.98427764909456306</v>
      </c>
      <c r="D829" s="855">
        <f t="shared" si="407"/>
        <v>0.97508842945504759</v>
      </c>
      <c r="E829" s="855">
        <f t="shared" si="407"/>
        <v>0.96884121640896892</v>
      </c>
      <c r="F829" s="855">
        <f t="shared" si="407"/>
        <v>0.96726082511624834</v>
      </c>
      <c r="G829" s="855">
        <f t="shared" si="407"/>
        <v>0.96960232427028659</v>
      </c>
      <c r="H829" s="855">
        <f t="shared" si="407"/>
        <v>0.97348430143554487</v>
      </c>
      <c r="I829" s="855">
        <f t="shared" si="407"/>
        <v>0.97701146459675248</v>
      </c>
      <c r="J829" s="855">
        <f t="shared" si="407"/>
        <v>0.98059019025574734</v>
      </c>
      <c r="K829" s="855">
        <f t="shared" si="407"/>
        <v>0.98348614217483632</v>
      </c>
      <c r="L829" s="855">
        <f t="shared" si="407"/>
        <v>0.98581569993907325</v>
      </c>
      <c r="M829" s="855">
        <f t="shared" si="407"/>
        <v>0.98853512030832258</v>
      </c>
      <c r="N829" s="855">
        <f t="shared" si="407"/>
        <v>0.99174171431782754</v>
      </c>
      <c r="O829" s="855">
        <f t="shared" si="407"/>
        <v>0.99438582672703457</v>
      </c>
      <c r="P829" s="855">
        <f t="shared" si="407"/>
        <v>0.99616485428013368</v>
      </c>
      <c r="Q829" s="855">
        <f t="shared" si="407"/>
        <v>0.99723698831726582</v>
      </c>
    </row>
    <row r="830" spans="1:17">
      <c r="A830" s="853" t="s">
        <v>102</v>
      </c>
      <c r="B830" s="854"/>
      <c r="C830" s="855">
        <f t="shared" si="406"/>
        <v>0.99329986582047358</v>
      </c>
      <c r="D830" s="855">
        <f t="shared" si="407"/>
        <v>0.98680087593580024</v>
      </c>
      <c r="E830" s="855">
        <f t="shared" si="407"/>
        <v>0.9812862384617641</v>
      </c>
      <c r="F830" s="855">
        <f t="shared" si="407"/>
        <v>0.97736826017710088</v>
      </c>
      <c r="G830" s="855">
        <f t="shared" si="407"/>
        <v>0.97487604977055831</v>
      </c>
      <c r="H830" s="855">
        <f t="shared" si="407"/>
        <v>0.972307380598041</v>
      </c>
      <c r="I830" s="855">
        <f t="shared" si="407"/>
        <v>0.96991113999791612</v>
      </c>
      <c r="J830" s="855">
        <f t="shared" si="407"/>
        <v>0.96975781184059429</v>
      </c>
      <c r="K830" s="855">
        <f t="shared" si="407"/>
        <v>0.97272473117712377</v>
      </c>
      <c r="L830" s="855">
        <f t="shared" si="407"/>
        <v>0.97820295733728468</v>
      </c>
      <c r="M830" s="855">
        <f t="shared" si="407"/>
        <v>0.98541463110408911</v>
      </c>
      <c r="N830" s="855">
        <f t="shared" si="407"/>
        <v>0.99237575261490174</v>
      </c>
      <c r="O830" s="855">
        <f t="shared" si="407"/>
        <v>0.99738236961451254</v>
      </c>
      <c r="P830" s="855">
        <f t="shared" si="407"/>
        <v>0.99914458623977431</v>
      </c>
      <c r="Q830" s="855">
        <f t="shared" si="407"/>
        <v>0.9984740119832014</v>
      </c>
    </row>
    <row r="831" spans="1:17">
      <c r="A831" s="853" t="s">
        <v>103</v>
      </c>
      <c r="B831" s="854"/>
      <c r="C831" s="855">
        <f t="shared" si="406"/>
        <v>1.0030726890329238</v>
      </c>
      <c r="D831" s="855">
        <f t="shared" si="407"/>
        <v>0.99917265922690968</v>
      </c>
      <c r="E831" s="855">
        <f t="shared" si="407"/>
        <v>0.99403553935908784</v>
      </c>
      <c r="F831" s="855">
        <f t="shared" si="407"/>
        <v>0.98734028205205826</v>
      </c>
      <c r="G831" s="855">
        <f t="shared" si="407"/>
        <v>0.97976429336267457</v>
      </c>
      <c r="H831" s="855">
        <f t="shared" si="407"/>
        <v>0.97068783681984117</v>
      </c>
      <c r="I831" s="855">
        <f t="shared" si="407"/>
        <v>0.96233574271871314</v>
      </c>
      <c r="J831" s="855">
        <f t="shared" si="407"/>
        <v>0.95837406887242382</v>
      </c>
      <c r="K831" s="855">
        <f t="shared" si="407"/>
        <v>0.96141034951926385</v>
      </c>
      <c r="L831" s="855">
        <f t="shared" si="407"/>
        <v>0.97037104862034973</v>
      </c>
      <c r="M831" s="855">
        <f t="shared" si="407"/>
        <v>0.98280852788046313</v>
      </c>
      <c r="N831" s="855">
        <f t="shared" si="407"/>
        <v>0.99426622181998392</v>
      </c>
      <c r="O831" s="855">
        <f t="shared" si="407"/>
        <v>1.0020036978236235</v>
      </c>
      <c r="P831" s="855">
        <f t="shared" si="407"/>
        <v>1.0035288665535729</v>
      </c>
      <c r="Q831" s="855">
        <f t="shared" si="407"/>
        <v>1.0005465337473995</v>
      </c>
    </row>
    <row r="832" spans="1:17">
      <c r="A832" s="853" t="s">
        <v>104</v>
      </c>
      <c r="B832" s="854"/>
      <c r="C832" s="855">
        <f t="shared" si="406"/>
        <v>1.0099559831192992</v>
      </c>
      <c r="D832" s="855">
        <f t="shared" si="407"/>
        <v>1.0078651533940799</v>
      </c>
      <c r="E832" s="855">
        <f t="shared" si="407"/>
        <v>1.0031573973149306</v>
      </c>
      <c r="F832" s="855">
        <f t="shared" si="407"/>
        <v>0.99507383142371164</v>
      </c>
      <c r="G832" s="855">
        <f t="shared" si="407"/>
        <v>0.98490381920757608</v>
      </c>
      <c r="H832" s="855">
        <f t="shared" si="407"/>
        <v>0.97271169071435692</v>
      </c>
      <c r="I832" s="855">
        <f t="shared" si="407"/>
        <v>0.96159260847675698</v>
      </c>
      <c r="J832" s="855">
        <f t="shared" si="407"/>
        <v>0.9555512732878606</v>
      </c>
      <c r="K832" s="855">
        <f t="shared" si="407"/>
        <v>0.95782901020124722</v>
      </c>
      <c r="L832" s="855">
        <f t="shared" si="407"/>
        <v>0.96724242039026254</v>
      </c>
      <c r="M832" s="855">
        <f t="shared" si="407"/>
        <v>0.98065291616354933</v>
      </c>
      <c r="N832" s="855">
        <f t="shared" si="407"/>
        <v>0.99287323715577247</v>
      </c>
      <c r="O832" s="855">
        <f t="shared" si="407"/>
        <v>1.001148748117642</v>
      </c>
      <c r="P832" s="855">
        <f t="shared" si="407"/>
        <v>1.0026754640982212</v>
      </c>
      <c r="Q832" s="855">
        <f t="shared" si="407"/>
        <v>0.99929545012052978</v>
      </c>
    </row>
    <row r="833" spans="1:17">
      <c r="A833" s="853" t="s">
        <v>105</v>
      </c>
      <c r="B833" s="854"/>
      <c r="C833" s="855">
        <f t="shared" si="406"/>
        <v>1.0116559131816267</v>
      </c>
      <c r="D833" s="855">
        <f t="shared" si="407"/>
        <v>1.0101000157955822</v>
      </c>
      <c r="E833" s="855">
        <f t="shared" si="407"/>
        <v>1.0061644037412492</v>
      </c>
      <c r="F833" s="855">
        <f t="shared" si="407"/>
        <v>0.9992015100357462</v>
      </c>
      <c r="G833" s="855">
        <f t="shared" si="407"/>
        <v>0.99035636152147666</v>
      </c>
      <c r="H833" s="855">
        <f t="shared" si="407"/>
        <v>0.98004805038575749</v>
      </c>
      <c r="I833" s="855">
        <f t="shared" si="407"/>
        <v>0.97074889970155498</v>
      </c>
      <c r="J833" s="855">
        <f t="shared" si="407"/>
        <v>0.96523438855134513</v>
      </c>
      <c r="K833" s="855">
        <f t="shared" si="407"/>
        <v>0.96572720321138605</v>
      </c>
      <c r="L833" s="855">
        <f t="shared" si="407"/>
        <v>0.97122653918957935</v>
      </c>
      <c r="M833" s="855">
        <f t="shared" si="407"/>
        <v>0.9792165474812502</v>
      </c>
      <c r="N833" s="855">
        <f t="shared" si="407"/>
        <v>0.98646560739466305</v>
      </c>
      <c r="O833" s="855">
        <f t="shared" si="407"/>
        <v>0.99186506986574019</v>
      </c>
      <c r="P833" s="855">
        <f t="shared" si="407"/>
        <v>0.9937291235115806</v>
      </c>
      <c r="Q833" s="855">
        <f t="shared" si="407"/>
        <v>0.9929373493340512</v>
      </c>
    </row>
    <row r="834" spans="1:17">
      <c r="A834" s="853" t="s">
        <v>106</v>
      </c>
      <c r="B834" s="854"/>
      <c r="C834" s="855">
        <f t="shared" si="406"/>
        <v>1.0097829620331857</v>
      </c>
      <c r="D834" s="855">
        <f t="shared" si="407"/>
        <v>1.0079317151114975</v>
      </c>
      <c r="E834" s="855">
        <f t="shared" si="407"/>
        <v>1.0050880589725268</v>
      </c>
      <c r="F834" s="855">
        <f t="shared" si="407"/>
        <v>1.0010101408398433</v>
      </c>
      <c r="G834" s="855">
        <f t="shared" si="407"/>
        <v>0.99614772797050732</v>
      </c>
      <c r="H834" s="855">
        <f t="shared" si="407"/>
        <v>0.99094210062316668</v>
      </c>
      <c r="I834" s="855">
        <f t="shared" si="407"/>
        <v>0.98617745717793359</v>
      </c>
      <c r="J834" s="855">
        <f t="shared" si="407"/>
        <v>0.98242043613885133</v>
      </c>
      <c r="K834" s="855">
        <f t="shared" si="407"/>
        <v>0.98019906331696272</v>
      </c>
      <c r="L834" s="855">
        <f t="shared" si="407"/>
        <v>0.97929605089968008</v>
      </c>
      <c r="M834" s="855">
        <f t="shared" si="407"/>
        <v>0.97867407735537348</v>
      </c>
      <c r="N834" s="855">
        <f t="shared" si="407"/>
        <v>0.97818487087202488</v>
      </c>
      <c r="O834" s="855">
        <f t="shared" si="407"/>
        <v>0.97881231922842671</v>
      </c>
      <c r="P834" s="855">
        <f t="shared" si="407"/>
        <v>0.98081300287414375</v>
      </c>
      <c r="Q834" s="855">
        <f t="shared" si="407"/>
        <v>0.98389258427213155</v>
      </c>
    </row>
    <row r="835" spans="1:17">
      <c r="A835" s="853" t="s">
        <v>107</v>
      </c>
      <c r="B835" s="854"/>
      <c r="C835" s="855">
        <f t="shared" si="406"/>
        <v>1.0085660989258847</v>
      </c>
      <c r="D835" s="855">
        <f t="shared" si="407"/>
        <v>1.0068021701183218</v>
      </c>
      <c r="E835" s="855">
        <f t="shared" si="407"/>
        <v>1.0051785227582448</v>
      </c>
      <c r="F835" s="855">
        <f t="shared" si="407"/>
        <v>1.0037984844286028</v>
      </c>
      <c r="G835" s="855">
        <f t="shared" si="407"/>
        <v>1.0024834712907387</v>
      </c>
      <c r="H835" s="855">
        <f t="shared" si="407"/>
        <v>1.0017342419605837</v>
      </c>
      <c r="I835" s="855">
        <f t="shared" si="407"/>
        <v>1.0006967617169724</v>
      </c>
      <c r="J835" s="855">
        <f t="shared" si="407"/>
        <v>0.99791117026567455</v>
      </c>
      <c r="K835" s="855">
        <f t="shared" si="407"/>
        <v>0.99275210981479201</v>
      </c>
      <c r="L835" s="855">
        <f t="shared" si="407"/>
        <v>0.98610480265831557</v>
      </c>
      <c r="M835" s="855">
        <f t="shared" si="407"/>
        <v>0.97822895896338768</v>
      </c>
      <c r="N835" s="855">
        <f t="shared" si="407"/>
        <v>0.97127754221011764</v>
      </c>
      <c r="O835" s="855">
        <f t="shared" si="407"/>
        <v>0.96777078384495063</v>
      </c>
      <c r="P835" s="855">
        <f t="shared" si="407"/>
        <v>0.96965031222358289</v>
      </c>
      <c r="Q835" s="855">
        <f t="shared" si="407"/>
        <v>0.97594783894894832</v>
      </c>
    </row>
    <row r="836" spans="1:17">
      <c r="A836" s="853" t="s">
        <v>108</v>
      </c>
      <c r="B836" s="854"/>
      <c r="C836" s="855">
        <f t="shared" si="406"/>
        <v>1.0073623627966164</v>
      </c>
      <c r="D836" s="855">
        <f t="shared" ref="D836:Q838" si="408">D519/C519</f>
        <v>1.00596917300366</v>
      </c>
      <c r="E836" s="855">
        <f t="shared" si="408"/>
        <v>1.0058382078128993</v>
      </c>
      <c r="F836" s="855">
        <f t="shared" si="408"/>
        <v>1.0073920279100868</v>
      </c>
      <c r="G836" s="855">
        <f t="shared" si="408"/>
        <v>1.0097735107366566</v>
      </c>
      <c r="H836" s="855">
        <f t="shared" si="408"/>
        <v>1.0135621216237194</v>
      </c>
      <c r="I836" s="855">
        <f t="shared" si="408"/>
        <v>1.0160596535604163</v>
      </c>
      <c r="J836" s="855">
        <f t="shared" si="408"/>
        <v>1.0136696416900519</v>
      </c>
      <c r="K836" s="855">
        <f t="shared" si="408"/>
        <v>1.0049640504235069</v>
      </c>
      <c r="L836" s="855">
        <f t="shared" si="408"/>
        <v>0.99230806578025621</v>
      </c>
      <c r="M836" s="855">
        <f t="shared" si="408"/>
        <v>0.97721130278375778</v>
      </c>
      <c r="N836" s="855">
        <f t="shared" si="408"/>
        <v>0.96387775586937285</v>
      </c>
      <c r="O836" s="855">
        <f t="shared" si="408"/>
        <v>0.95623249169805025</v>
      </c>
      <c r="P836" s="855">
        <f t="shared" si="408"/>
        <v>0.95799559468516748</v>
      </c>
      <c r="Q836" s="855">
        <f t="shared" si="408"/>
        <v>0.96780800371549958</v>
      </c>
    </row>
    <row r="837" spans="1:17">
      <c r="A837" s="853" t="s">
        <v>109</v>
      </c>
      <c r="B837" s="854"/>
      <c r="C837" s="855">
        <f t="shared" si="406"/>
        <v>1.0056866144154835</v>
      </c>
      <c r="D837" s="855">
        <f t="shared" si="408"/>
        <v>1.0041736827898247</v>
      </c>
      <c r="E837" s="855">
        <f t="shared" si="408"/>
        <v>1.0050242122227244</v>
      </c>
      <c r="F837" s="855">
        <f t="shared" si="408"/>
        <v>1.0090085615086188</v>
      </c>
      <c r="G837" s="855">
        <f t="shared" si="408"/>
        <v>1.0146361783101809</v>
      </c>
      <c r="H837" s="855">
        <f t="shared" si="408"/>
        <v>1.0221806148219108</v>
      </c>
      <c r="I837" s="855">
        <f t="shared" si="408"/>
        <v>1.0274536627399624</v>
      </c>
      <c r="J837" s="855">
        <f t="shared" si="408"/>
        <v>1.0255746295883894</v>
      </c>
      <c r="K837" s="855">
        <f t="shared" si="408"/>
        <v>1.014808509262104</v>
      </c>
      <c r="L837" s="855">
        <f t="shared" si="408"/>
        <v>0.99869680073115741</v>
      </c>
      <c r="M837" s="855">
        <f t="shared" si="408"/>
        <v>0.97979171747608451</v>
      </c>
      <c r="N837" s="855">
        <f t="shared" si="408"/>
        <v>0.96326404801507448</v>
      </c>
      <c r="O837" s="855">
        <f t="shared" si="408"/>
        <v>0.95325105325503801</v>
      </c>
      <c r="P837" s="855">
        <f t="shared" si="408"/>
        <v>0.95414044528217756</v>
      </c>
      <c r="Q837" s="855">
        <f t="shared" si="408"/>
        <v>0.96445702435779812</v>
      </c>
    </row>
    <row r="838" spans="1:17">
      <c r="A838" s="853" t="s">
        <v>110</v>
      </c>
      <c r="B838" s="854"/>
      <c r="C838" s="855">
        <f t="shared" si="406"/>
        <v>1.0038643862961394</v>
      </c>
      <c r="D838" s="855">
        <f t="shared" si="408"/>
        <v>1.0014759303749889</v>
      </c>
      <c r="E838" s="855">
        <f t="shared" si="408"/>
        <v>1.0023031526288093</v>
      </c>
      <c r="F838" s="855">
        <f t="shared" si="408"/>
        <v>1.0074696826465066</v>
      </c>
      <c r="G838" s="855">
        <f t="shared" si="408"/>
        <v>1.0151249124384796</v>
      </c>
      <c r="H838" s="855">
        <f t="shared" si="408"/>
        <v>1.0247510872529275</v>
      </c>
      <c r="I838" s="855">
        <f t="shared" si="408"/>
        <v>1.031604262708794</v>
      </c>
      <c r="J838" s="855">
        <f t="shared" si="408"/>
        <v>1.0309133648288116</v>
      </c>
      <c r="K838" s="855">
        <f t="shared" si="408"/>
        <v>1.0209397206235984</v>
      </c>
      <c r="L838" s="855">
        <f t="shared" si="408"/>
        <v>1.0054379468816377</v>
      </c>
      <c r="M838" s="855">
        <f t="shared" si="408"/>
        <v>0.98769289222754753</v>
      </c>
      <c r="N838" s="855">
        <f t="shared" si="408"/>
        <v>0.97248942703203756</v>
      </c>
      <c r="O838" s="855">
        <f t="shared" si="408"/>
        <v>0.96273115796722775</v>
      </c>
      <c r="P838" s="855">
        <f t="shared" si="408"/>
        <v>0.96182677064008992</v>
      </c>
      <c r="Q838" s="855">
        <f t="shared" si="408"/>
        <v>0.9683420357136423</v>
      </c>
    </row>
    <row r="839" spans="1:17">
      <c r="A839" s="853" t="s">
        <v>111</v>
      </c>
      <c r="B839" s="854"/>
      <c r="C839" s="855">
        <f t="shared" si="406"/>
        <v>1.0020459350606545</v>
      </c>
      <c r="D839" s="855">
        <f t="shared" ref="D839:Q839" si="409">D522/C522</f>
        <v>0.99833931687358357</v>
      </c>
      <c r="E839" s="855">
        <f t="shared" si="409"/>
        <v>0.99844905798353423</v>
      </c>
      <c r="F839" s="855">
        <f t="shared" si="409"/>
        <v>1.0038310629992555</v>
      </c>
      <c r="G839" s="855">
        <f t="shared" si="409"/>
        <v>1.012507666959314</v>
      </c>
      <c r="H839" s="855">
        <f t="shared" si="409"/>
        <v>1.0229510057397311</v>
      </c>
      <c r="I839" s="855">
        <f t="shared" si="409"/>
        <v>1.0305628629412547</v>
      </c>
      <c r="J839" s="855">
        <f t="shared" si="409"/>
        <v>1.0316269811462482</v>
      </c>
      <c r="K839" s="855">
        <f t="shared" si="409"/>
        <v>1.0245448356457127</v>
      </c>
      <c r="L839" s="855">
        <f t="shared" si="409"/>
        <v>1.012473512588997</v>
      </c>
      <c r="M839" s="855">
        <f t="shared" si="409"/>
        <v>0.99912026204960225</v>
      </c>
      <c r="N839" s="855">
        <f t="shared" si="409"/>
        <v>0.98792573719509913</v>
      </c>
      <c r="O839" s="855">
        <f t="shared" si="409"/>
        <v>0.97970218172508938</v>
      </c>
      <c r="P839" s="855">
        <f t="shared" si="409"/>
        <v>0.97616530165374238</v>
      </c>
      <c r="Q839" s="855">
        <f t="shared" si="409"/>
        <v>0.97640995008105014</v>
      </c>
    </row>
    <row r="840" spans="1:17">
      <c r="A840" s="853" t="s">
        <v>112</v>
      </c>
      <c r="B840" s="854"/>
      <c r="C840" s="855">
        <f t="shared" si="406"/>
        <v>0.99982288924856</v>
      </c>
      <c r="D840" s="855">
        <f t="shared" ref="D840:Q840" si="410">D523/C523</f>
        <v>0.9947688567792291</v>
      </c>
      <c r="E840" s="855">
        <f t="shared" si="410"/>
        <v>0.99422356462361394</v>
      </c>
      <c r="F840" s="855">
        <f t="shared" si="410"/>
        <v>1.0000399549198284</v>
      </c>
      <c r="G840" s="855">
        <f t="shared" si="410"/>
        <v>1.010095791537335</v>
      </c>
      <c r="H840" s="855">
        <f t="shared" si="410"/>
        <v>1.0217928871006241</v>
      </c>
      <c r="I840" s="855">
        <f t="shared" si="410"/>
        <v>1.0305051171122588</v>
      </c>
      <c r="J840" s="855">
        <f t="shared" si="410"/>
        <v>1.0334155434025125</v>
      </c>
      <c r="K840" s="855">
        <f t="shared" si="410"/>
        <v>1.0290008937043356</v>
      </c>
      <c r="L840" s="855">
        <f t="shared" si="410"/>
        <v>1.0199320291373304</v>
      </c>
      <c r="M840" s="855">
        <f t="shared" si="410"/>
        <v>1.0103654232697123</v>
      </c>
      <c r="N840" s="855">
        <f t="shared" si="410"/>
        <v>1.0024385861637717</v>
      </c>
      <c r="O840" s="855">
        <f t="shared" si="410"/>
        <v>0.9950155946913195</v>
      </c>
      <c r="P840" s="855">
        <f t="shared" si="410"/>
        <v>0.98863736018904558</v>
      </c>
      <c r="Q840" s="855">
        <f t="shared" si="410"/>
        <v>0.98324203157402634</v>
      </c>
    </row>
    <row r="841" spans="1:17">
      <c r="A841" s="853" t="s">
        <v>113</v>
      </c>
      <c r="B841" s="854"/>
      <c r="C841" s="855">
        <f t="shared" si="406"/>
        <v>0.99704800626138512</v>
      </c>
      <c r="D841" s="855">
        <f t="shared" ref="D841:Q841" si="411">D524/C524</f>
        <v>0.99032030388160397</v>
      </c>
      <c r="E841" s="855">
        <f t="shared" si="411"/>
        <v>0.98896444519891635</v>
      </c>
      <c r="F841" s="855">
        <f t="shared" si="411"/>
        <v>0.99534983352744488</v>
      </c>
      <c r="G841" s="855">
        <f t="shared" si="411"/>
        <v>1.0071802896914812</v>
      </c>
      <c r="H841" s="855">
        <f t="shared" si="411"/>
        <v>1.0206175063430316</v>
      </c>
      <c r="I841" s="855">
        <f t="shared" si="411"/>
        <v>1.0308228342144412</v>
      </c>
      <c r="J841" s="855">
        <f t="shared" si="411"/>
        <v>1.0359147901361432</v>
      </c>
      <c r="K841" s="855">
        <f t="shared" si="411"/>
        <v>1.0343930800951462</v>
      </c>
      <c r="L841" s="855">
        <f t="shared" si="411"/>
        <v>1.0284043767016078</v>
      </c>
      <c r="M841" s="855">
        <f t="shared" si="411"/>
        <v>1.0226497677291158</v>
      </c>
      <c r="N841" s="855">
        <f t="shared" si="411"/>
        <v>1.017784615311168</v>
      </c>
      <c r="O841" s="855">
        <f t="shared" si="411"/>
        <v>1.0106114264271306</v>
      </c>
      <c r="P841" s="855">
        <f t="shared" si="411"/>
        <v>1.0007867172424516</v>
      </c>
      <c r="Q841" s="855">
        <f t="shared" si="411"/>
        <v>0.98948274002970493</v>
      </c>
    </row>
    <row r="842" spans="1:17">
      <c r="A842" s="853" t="s">
        <v>114</v>
      </c>
      <c r="B842" s="854"/>
      <c r="C842" s="855">
        <f t="shared" si="406"/>
        <v>0.9960012615738133</v>
      </c>
      <c r="D842" s="855">
        <f t="shared" ref="D842:Q842" si="412">D525/C525</f>
        <v>0.98876282189023212</v>
      </c>
      <c r="E842" s="855">
        <f t="shared" si="412"/>
        <v>0.98695661498209275</v>
      </c>
      <c r="F842" s="855">
        <f t="shared" si="412"/>
        <v>0.99305386549849928</v>
      </c>
      <c r="G842" s="855">
        <f t="shared" si="412"/>
        <v>1.0048766113750642</v>
      </c>
      <c r="H842" s="855">
        <f t="shared" si="412"/>
        <v>1.0180588218215603</v>
      </c>
      <c r="I842" s="855">
        <f t="shared" si="412"/>
        <v>1.0282632254384714</v>
      </c>
      <c r="J842" s="855">
        <f t="shared" si="412"/>
        <v>1.0346294172545245</v>
      </c>
      <c r="K842" s="855">
        <f t="shared" si="412"/>
        <v>1.0358226119263954</v>
      </c>
      <c r="L842" s="855">
        <f t="shared" si="412"/>
        <v>1.0331668435081907</v>
      </c>
      <c r="M842" s="855">
        <f t="shared" si="412"/>
        <v>1.0311552854773987</v>
      </c>
      <c r="N842" s="855">
        <f t="shared" si="412"/>
        <v>1.0290904718411131</v>
      </c>
      <c r="O842" s="855">
        <f t="shared" si="412"/>
        <v>1.0225569145464481</v>
      </c>
      <c r="P842" s="855">
        <f t="shared" si="412"/>
        <v>1.0108045905370671</v>
      </c>
      <c r="Q842" s="855">
        <f t="shared" si="412"/>
        <v>0.99604340041472939</v>
      </c>
    </row>
    <row r="843" spans="1:17">
      <c r="A843" s="853" t="s">
        <v>115</v>
      </c>
      <c r="B843" s="854"/>
      <c r="C843" s="855">
        <f t="shared" si="406"/>
        <v>0.99783013817840371</v>
      </c>
      <c r="D843" s="855">
        <f t="shared" ref="D843:Q843" si="413">D526/C526</f>
        <v>0.99203610147659183</v>
      </c>
      <c r="E843" s="855">
        <f t="shared" si="413"/>
        <v>0.99053635514478133</v>
      </c>
      <c r="F843" s="855">
        <f t="shared" si="413"/>
        <v>0.99518282633797006</v>
      </c>
      <c r="G843" s="855">
        <f t="shared" si="413"/>
        <v>1.0042977694136697</v>
      </c>
      <c r="H843" s="855">
        <f t="shared" si="413"/>
        <v>1.0141891309650215</v>
      </c>
      <c r="I843" s="855">
        <f t="shared" si="413"/>
        <v>1.0220119989516039</v>
      </c>
      <c r="J843" s="855">
        <f t="shared" si="413"/>
        <v>1.0278971196836879</v>
      </c>
      <c r="K843" s="855">
        <f t="shared" si="413"/>
        <v>1.0309372331135869</v>
      </c>
      <c r="L843" s="855">
        <f t="shared" si="413"/>
        <v>1.0314848180627489</v>
      </c>
      <c r="M843" s="855">
        <f t="shared" si="413"/>
        <v>1.0327049732958802</v>
      </c>
      <c r="N843" s="855">
        <f t="shared" si="413"/>
        <v>1.0330585837100064</v>
      </c>
      <c r="O843" s="855">
        <f t="shared" si="413"/>
        <v>1.028259640202229</v>
      </c>
      <c r="P843" s="855">
        <f t="shared" si="413"/>
        <v>1.0174472920679278</v>
      </c>
      <c r="Q843" s="855">
        <f t="shared" si="413"/>
        <v>1.0031565816980632</v>
      </c>
    </row>
    <row r="844" spans="1:17">
      <c r="A844" s="853" t="s">
        <v>116</v>
      </c>
      <c r="B844" s="854"/>
      <c r="C844" s="855">
        <f t="shared" si="406"/>
        <v>1.0016334592973359</v>
      </c>
      <c r="D844" s="855">
        <f t="shared" ref="D844:Q844" si="414">D527/C527</f>
        <v>0.99854201367660878</v>
      </c>
      <c r="E844" s="855">
        <f t="shared" si="414"/>
        <v>0.99775601824853077</v>
      </c>
      <c r="F844" s="855">
        <f t="shared" si="414"/>
        <v>1.0001632476963127</v>
      </c>
      <c r="G844" s="855">
        <f t="shared" si="414"/>
        <v>1.0048864302098848</v>
      </c>
      <c r="H844" s="855">
        <f t="shared" si="414"/>
        <v>1.0096876318815906</v>
      </c>
      <c r="I844" s="855">
        <f t="shared" si="414"/>
        <v>1.0136422591167433</v>
      </c>
      <c r="J844" s="855">
        <f t="shared" si="414"/>
        <v>1.0177379884571294</v>
      </c>
      <c r="K844" s="855">
        <f t="shared" si="414"/>
        <v>1.0217686411828997</v>
      </c>
      <c r="L844" s="855">
        <f t="shared" si="414"/>
        <v>1.0251911101421232</v>
      </c>
      <c r="M844" s="855">
        <f t="shared" si="414"/>
        <v>1.029193587618644</v>
      </c>
      <c r="N844" s="855">
        <f t="shared" si="414"/>
        <v>1.0317491066366533</v>
      </c>
      <c r="O844" s="855">
        <f t="shared" si="414"/>
        <v>1.0295867468597644</v>
      </c>
      <c r="P844" s="855">
        <f t="shared" si="414"/>
        <v>1.021839614268937</v>
      </c>
      <c r="Q844" s="855">
        <f t="shared" si="414"/>
        <v>1.0107256819106585</v>
      </c>
    </row>
    <row r="845" spans="1:17">
      <c r="A845" s="853" t="s">
        <v>117</v>
      </c>
      <c r="B845" s="854"/>
      <c r="C845" s="855">
        <f t="shared" si="406"/>
        <v>1.0053949209153639</v>
      </c>
      <c r="D845" s="855">
        <f t="shared" ref="D845:Q845" si="415">D528/C528</f>
        <v>1.0048105673795338</v>
      </c>
      <c r="E845" s="855">
        <f t="shared" si="415"/>
        <v>1.0045243244586968</v>
      </c>
      <c r="F845" s="855">
        <f t="shared" si="415"/>
        <v>1.0045810994347504</v>
      </c>
      <c r="G845" s="855">
        <f t="shared" si="415"/>
        <v>1.005023909578322</v>
      </c>
      <c r="H845" s="855">
        <f t="shared" si="415"/>
        <v>1.0048762412283168</v>
      </c>
      <c r="I845" s="855">
        <f t="shared" si="415"/>
        <v>1.005003235530864</v>
      </c>
      <c r="J845" s="855">
        <f t="shared" si="415"/>
        <v>1.0072997390196963</v>
      </c>
      <c r="K845" s="855">
        <f t="shared" si="415"/>
        <v>1.0124016900314508</v>
      </c>
      <c r="L845" s="855">
        <f t="shared" si="415"/>
        <v>1.0189780470083256</v>
      </c>
      <c r="M845" s="855">
        <f t="shared" si="415"/>
        <v>1.0262414904067432</v>
      </c>
      <c r="N845" s="855">
        <f t="shared" si="415"/>
        <v>1.0314034982027029</v>
      </c>
      <c r="O845" s="855">
        <f t="shared" si="415"/>
        <v>1.0320335093430528</v>
      </c>
      <c r="P845" s="855">
        <f t="shared" si="415"/>
        <v>1.027147835908091</v>
      </c>
      <c r="Q845" s="855">
        <f t="shared" si="415"/>
        <v>1.0187614182368527</v>
      </c>
    </row>
    <row r="846" spans="1:17">
      <c r="A846" s="853" t="s">
        <v>118</v>
      </c>
      <c r="B846" s="854"/>
      <c r="C846" s="855">
        <f t="shared" ref="C846:C877" si="416">C529/B529</f>
        <v>1.0095589382825723</v>
      </c>
      <c r="D846" s="855">
        <f t="shared" ref="D846:Q846" si="417">D529/C529</f>
        <v>1.0116430476156502</v>
      </c>
      <c r="E846" s="855">
        <f t="shared" si="417"/>
        <v>1.0117588286719708</v>
      </c>
      <c r="F846" s="855">
        <f t="shared" si="417"/>
        <v>1.0091533812180691</v>
      </c>
      <c r="G846" s="855">
        <f t="shared" si="417"/>
        <v>1.0049820046308757</v>
      </c>
      <c r="H846" s="855">
        <f t="shared" si="417"/>
        <v>0.99953605789539246</v>
      </c>
      <c r="I846" s="855">
        <f t="shared" si="417"/>
        <v>0.99546730197023381</v>
      </c>
      <c r="J846" s="855">
        <f t="shared" si="417"/>
        <v>0.9956567728008634</v>
      </c>
      <c r="K846" s="855">
        <f t="shared" si="417"/>
        <v>1.0018154040502592</v>
      </c>
      <c r="L846" s="855">
        <f t="shared" si="417"/>
        <v>1.0119417757277673</v>
      </c>
      <c r="M846" s="855">
        <f t="shared" si="417"/>
        <v>1.0230827357105177</v>
      </c>
      <c r="N846" s="855">
        <f t="shared" si="417"/>
        <v>1.0314055575684939</v>
      </c>
      <c r="O846" s="855">
        <f t="shared" si="417"/>
        <v>1.0352714979813975</v>
      </c>
      <c r="P846" s="855">
        <f t="shared" si="417"/>
        <v>1.0334994733895313</v>
      </c>
      <c r="Q846" s="855">
        <f t="shared" si="417"/>
        <v>1.0278801700743412</v>
      </c>
    </row>
    <row r="847" spans="1:17">
      <c r="A847" s="853" t="s">
        <v>119</v>
      </c>
      <c r="B847" s="854"/>
      <c r="C847" s="855">
        <f t="shared" si="416"/>
        <v>1.0132165885734774</v>
      </c>
      <c r="D847" s="855">
        <f t="shared" ref="D847:Q847" si="418">D530/C530</f>
        <v>1.0171333374319789</v>
      </c>
      <c r="E847" s="855">
        <f t="shared" si="418"/>
        <v>1.017419686781766</v>
      </c>
      <c r="F847" s="855">
        <f t="shared" si="418"/>
        <v>1.0128483225599851</v>
      </c>
      <c r="G847" s="855">
        <f t="shared" si="418"/>
        <v>1.0053991725274536</v>
      </c>
      <c r="H847" s="855">
        <f t="shared" si="418"/>
        <v>0.9963288131252046</v>
      </c>
      <c r="I847" s="855">
        <f t="shared" si="418"/>
        <v>0.98930433168140075</v>
      </c>
      <c r="J847" s="855">
        <f t="shared" si="418"/>
        <v>0.98763680144824384</v>
      </c>
      <c r="K847" s="855">
        <f t="shared" si="418"/>
        <v>0.99374540479465368</v>
      </c>
      <c r="L847" s="855">
        <f t="shared" si="418"/>
        <v>1.0054687890706591</v>
      </c>
      <c r="M847" s="855">
        <f t="shared" si="418"/>
        <v>1.0184734396760564</v>
      </c>
      <c r="N847" s="855">
        <f t="shared" si="418"/>
        <v>1.0285088853267146</v>
      </c>
      <c r="O847" s="855">
        <f t="shared" si="418"/>
        <v>1.0347600453598342</v>
      </c>
      <c r="P847" s="855">
        <f t="shared" si="418"/>
        <v>1.0359218400360621</v>
      </c>
      <c r="Q847" s="855">
        <f t="shared" si="418"/>
        <v>1.0333004150826388</v>
      </c>
    </row>
    <row r="848" spans="1:17">
      <c r="A848" s="853" t="s">
        <v>120</v>
      </c>
      <c r="B848" s="854"/>
      <c r="C848" s="855">
        <f t="shared" si="416"/>
        <v>1.0156170359315808</v>
      </c>
      <c r="D848" s="855">
        <f t="shared" ref="D848:Q848" si="419">D531/C531</f>
        <v>1.0199072232068578</v>
      </c>
      <c r="E848" s="855">
        <f t="shared" si="419"/>
        <v>1.0201008663631514</v>
      </c>
      <c r="F848" s="855">
        <f t="shared" si="419"/>
        <v>1.0148694846017905</v>
      </c>
      <c r="G848" s="855">
        <f t="shared" si="419"/>
        <v>1.0064173107528493</v>
      </c>
      <c r="H848" s="855">
        <f t="shared" si="419"/>
        <v>0.99644589923996707</v>
      </c>
      <c r="I848" s="855">
        <f t="shared" si="419"/>
        <v>0.98865776158384266</v>
      </c>
      <c r="J848" s="855">
        <f t="shared" si="419"/>
        <v>0.98597518664720296</v>
      </c>
      <c r="K848" s="855">
        <f t="shared" si="419"/>
        <v>0.99078238066592306</v>
      </c>
      <c r="L848" s="855">
        <f t="shared" si="419"/>
        <v>1.0011656849467483</v>
      </c>
      <c r="M848" s="855">
        <f t="shared" si="419"/>
        <v>1.0127472540412918</v>
      </c>
      <c r="N848" s="855">
        <f t="shared" si="419"/>
        <v>1.0219222641136474</v>
      </c>
      <c r="O848" s="855">
        <f t="shared" si="419"/>
        <v>1.0287026830985413</v>
      </c>
      <c r="P848" s="855">
        <f t="shared" si="419"/>
        <v>1.0319361912161995</v>
      </c>
      <c r="Q848" s="855">
        <f t="shared" si="419"/>
        <v>1.0322058991003302</v>
      </c>
    </row>
    <row r="849" spans="1:17">
      <c r="A849" s="853" t="s">
        <v>121</v>
      </c>
      <c r="B849" s="854"/>
      <c r="C849" s="855">
        <f t="shared" si="416"/>
        <v>1.0172143397479656</v>
      </c>
      <c r="D849" s="855">
        <f t="shared" ref="D849:Q849" si="420">D532/C532</f>
        <v>1.0209194901932332</v>
      </c>
      <c r="E849" s="855">
        <f t="shared" si="420"/>
        <v>1.0208624508456909</v>
      </c>
      <c r="F849" s="855">
        <f t="shared" si="420"/>
        <v>1.0158517218624687</v>
      </c>
      <c r="G849" s="855">
        <f t="shared" si="420"/>
        <v>1.0078735660901283</v>
      </c>
      <c r="H849" s="855">
        <f t="shared" si="420"/>
        <v>0.9987619695166865</v>
      </c>
      <c r="I849" s="855">
        <f t="shared" si="420"/>
        <v>0.99161804375636453</v>
      </c>
      <c r="J849" s="855">
        <f t="shared" si="420"/>
        <v>0.98851791251415955</v>
      </c>
      <c r="K849" s="855">
        <f t="shared" si="420"/>
        <v>0.99131300387181909</v>
      </c>
      <c r="L849" s="855">
        <f t="shared" si="420"/>
        <v>0.99856088647058139</v>
      </c>
      <c r="M849" s="855">
        <f t="shared" si="420"/>
        <v>1.0066388173492089</v>
      </c>
      <c r="N849" s="855">
        <f t="shared" si="420"/>
        <v>1.0132220124872948</v>
      </c>
      <c r="O849" s="855">
        <f t="shared" si="420"/>
        <v>1.0190926991169464</v>
      </c>
      <c r="P849" s="855">
        <f t="shared" si="420"/>
        <v>1.0235414390356743</v>
      </c>
      <c r="Q849" s="855">
        <f t="shared" si="420"/>
        <v>1.0264250484289779</v>
      </c>
    </row>
    <row r="850" spans="1:17">
      <c r="A850" s="853" t="s">
        <v>122</v>
      </c>
      <c r="B850" s="854"/>
      <c r="C850" s="855">
        <f t="shared" si="416"/>
        <v>1.0191908465149639</v>
      </c>
      <c r="D850" s="855">
        <f t="shared" ref="D850:Q850" si="421">D533/C533</f>
        <v>1.0224634406025439</v>
      </c>
      <c r="E850" s="855">
        <f t="shared" si="421"/>
        <v>1.022177589820648</v>
      </c>
      <c r="F850" s="855">
        <f t="shared" si="421"/>
        <v>1.0172224640835872</v>
      </c>
      <c r="G850" s="855">
        <f t="shared" si="421"/>
        <v>1.0094483628353934</v>
      </c>
      <c r="H850" s="855">
        <f t="shared" si="421"/>
        <v>1.0008903448461046</v>
      </c>
      <c r="I850" s="855">
        <f t="shared" si="421"/>
        <v>0.99413318723957633</v>
      </c>
      <c r="J850" s="855">
        <f t="shared" si="421"/>
        <v>0.99044691832867937</v>
      </c>
      <c r="K850" s="855">
        <f t="shared" si="421"/>
        <v>0.99123239739581837</v>
      </c>
      <c r="L850" s="855">
        <f t="shared" si="421"/>
        <v>0.99550219465124279</v>
      </c>
      <c r="M850" s="855">
        <f t="shared" si="421"/>
        <v>1.0002121732205425</v>
      </c>
      <c r="N850" s="855">
        <f t="shared" si="421"/>
        <v>1.0042164114589915</v>
      </c>
      <c r="O850" s="855">
        <f t="shared" si="421"/>
        <v>1.0091815991839865</v>
      </c>
      <c r="P850" s="855">
        <f t="shared" si="421"/>
        <v>1.0149646385505031</v>
      </c>
      <c r="Q850" s="855">
        <f t="shared" si="421"/>
        <v>1.0207613825289676</v>
      </c>
    </row>
    <row r="851" spans="1:17">
      <c r="A851" s="853" t="s">
        <v>123</v>
      </c>
      <c r="B851" s="854"/>
      <c r="C851" s="855">
        <f t="shared" si="416"/>
        <v>1.021295776749507</v>
      </c>
      <c r="D851" s="855">
        <f t="shared" ref="D851:Q851" si="422">D534/C534</f>
        <v>1.024096440551054</v>
      </c>
      <c r="E851" s="855">
        <f t="shared" si="422"/>
        <v>1.0235666167831525</v>
      </c>
      <c r="F851" s="855">
        <f t="shared" si="422"/>
        <v>1.0187003001049715</v>
      </c>
      <c r="G851" s="855">
        <f t="shared" si="422"/>
        <v>1.0111838138986002</v>
      </c>
      <c r="H851" s="855">
        <f t="shared" si="422"/>
        <v>1.0032615160834744</v>
      </c>
      <c r="I851" s="855">
        <f t="shared" si="422"/>
        <v>0.99695841528519247</v>
      </c>
      <c r="J851" s="855">
        <f t="shared" si="422"/>
        <v>0.9926384690721286</v>
      </c>
      <c r="K851" s="855">
        <f t="shared" si="422"/>
        <v>0.99123948944579243</v>
      </c>
      <c r="L851" s="855">
        <f t="shared" si="422"/>
        <v>0.9922691338221814</v>
      </c>
      <c r="M851" s="855">
        <f t="shared" si="422"/>
        <v>0.99324376986383611</v>
      </c>
      <c r="N851" s="855">
        <f t="shared" si="422"/>
        <v>0.99426878303187782</v>
      </c>
      <c r="O851" s="855">
        <f t="shared" si="422"/>
        <v>0.9980327878436227</v>
      </c>
      <c r="P851" s="855">
        <f t="shared" si="422"/>
        <v>1.0051810664093219</v>
      </c>
      <c r="Q851" s="855">
        <f t="shared" si="422"/>
        <v>1.0143048823660528</v>
      </c>
    </row>
    <row r="852" spans="1:17">
      <c r="A852" s="853" t="s">
        <v>124</v>
      </c>
      <c r="B852" s="854"/>
      <c r="C852" s="855">
        <f t="shared" si="416"/>
        <v>1.0235864884952754</v>
      </c>
      <c r="D852" s="855">
        <f t="shared" ref="D852:L852" si="423">D535/C535</f>
        <v>1.0259107203039308</v>
      </c>
      <c r="E852" s="855">
        <f t="shared" si="423"/>
        <v>1.0251219213551266</v>
      </c>
      <c r="F852" s="855">
        <f t="shared" si="423"/>
        <v>1.0203039104582836</v>
      </c>
      <c r="G852" s="855">
        <f t="shared" si="423"/>
        <v>1.0130029395094917</v>
      </c>
      <c r="H852" s="855">
        <f t="shared" si="423"/>
        <v>1.0055696095495128</v>
      </c>
      <c r="I852" s="855">
        <f t="shared" si="423"/>
        <v>0.99957674449242273</v>
      </c>
      <c r="J852" s="855">
        <f t="shared" si="423"/>
        <v>0.99481362562481146</v>
      </c>
      <c r="K852" s="855">
        <f t="shared" si="423"/>
        <v>0.99186769572497313</v>
      </c>
      <c r="L852" s="855">
        <f t="shared" si="423"/>
        <v>0.99059603891176651</v>
      </c>
      <c r="M852" s="855">
        <f t="shared" ref="D852:Q867" si="424">M535/L535</f>
        <v>0.98896902720877655</v>
      </c>
      <c r="N852" s="855">
        <f t="shared" si="424"/>
        <v>0.98781906422332388</v>
      </c>
      <c r="O852" s="855">
        <f t="shared" si="424"/>
        <v>0.99031334429695761</v>
      </c>
      <c r="P852" s="855">
        <f t="shared" si="424"/>
        <v>0.99764101636461489</v>
      </c>
      <c r="Q852" s="855">
        <f t="shared" si="424"/>
        <v>1.0082306361577287</v>
      </c>
    </row>
    <row r="853" spans="1:17">
      <c r="A853" s="853" t="s">
        <v>125</v>
      </c>
      <c r="B853" s="854"/>
      <c r="C853" s="855">
        <f t="shared" si="416"/>
        <v>1.026242966516004</v>
      </c>
      <c r="D853" s="855">
        <f t="shared" si="424"/>
        <v>1.0282280997831945</v>
      </c>
      <c r="E853" s="855">
        <f t="shared" si="424"/>
        <v>1.027168293910721</v>
      </c>
      <c r="F853" s="855">
        <f t="shared" si="424"/>
        <v>1.0222033102476817</v>
      </c>
      <c r="G853" s="855">
        <f t="shared" si="424"/>
        <v>1.0148510303566201</v>
      </c>
      <c r="H853" s="855">
        <f t="shared" si="424"/>
        <v>1.0074130337002367</v>
      </c>
      <c r="I853" s="855">
        <f t="shared" si="424"/>
        <v>1.0013619023951228</v>
      </c>
      <c r="J853" s="855">
        <f t="shared" si="424"/>
        <v>0.99636712380241987</v>
      </c>
      <c r="K853" s="855">
        <f t="shared" si="424"/>
        <v>0.99295261307763094</v>
      </c>
      <c r="L853" s="855">
        <f t="shared" si="424"/>
        <v>0.99100778050197702</v>
      </c>
      <c r="M853" s="855">
        <f t="shared" si="424"/>
        <v>0.98879966822306276</v>
      </c>
      <c r="N853" s="855">
        <f t="shared" si="424"/>
        <v>0.98710793381282069</v>
      </c>
      <c r="O853" s="855">
        <f t="shared" si="424"/>
        <v>0.98874463568047188</v>
      </c>
      <c r="P853" s="855">
        <f t="shared" si="424"/>
        <v>0.99481356238617624</v>
      </c>
      <c r="Q853" s="855">
        <f t="shared" si="424"/>
        <v>1.004024804233939</v>
      </c>
    </row>
    <row r="854" spans="1:17">
      <c r="A854" s="853" t="s">
        <v>126</v>
      </c>
      <c r="B854" s="854"/>
      <c r="C854" s="855">
        <f t="shared" si="416"/>
        <v>1.0291971039427916</v>
      </c>
      <c r="D854" s="855">
        <f t="shared" si="424"/>
        <v>1.0309094486639643</v>
      </c>
      <c r="E854" s="855">
        <f t="shared" si="424"/>
        <v>1.0295582147803291</v>
      </c>
      <c r="F854" s="855">
        <f t="shared" si="424"/>
        <v>1.024328569161566</v>
      </c>
      <c r="G854" s="855">
        <f t="shared" si="424"/>
        <v>1.0167662555217882</v>
      </c>
      <c r="H854" s="855">
        <f t="shared" si="424"/>
        <v>1.0090394772254443</v>
      </c>
      <c r="I854" s="855">
        <f t="shared" si="424"/>
        <v>1.0027039194130407</v>
      </c>
      <c r="J854" s="855">
        <f t="shared" si="424"/>
        <v>0.99764396910981712</v>
      </c>
      <c r="K854" s="855">
        <f t="shared" si="424"/>
        <v>0.99445152170508844</v>
      </c>
      <c r="L854" s="855">
        <f t="shared" si="424"/>
        <v>0.99286717453291906</v>
      </c>
      <c r="M854" s="855">
        <f t="shared" si="424"/>
        <v>0.99135282804815683</v>
      </c>
      <c r="N854" s="855">
        <f t="shared" si="424"/>
        <v>0.99016329648472967</v>
      </c>
      <c r="O854" s="855">
        <f t="shared" si="424"/>
        <v>0.99124023842621234</v>
      </c>
      <c r="P854" s="855">
        <f t="shared" si="424"/>
        <v>0.99521576770187992</v>
      </c>
      <c r="Q854" s="855">
        <f t="shared" si="424"/>
        <v>1.0013191113262085</v>
      </c>
    </row>
    <row r="855" spans="1:17">
      <c r="A855" s="853" t="s">
        <v>127</v>
      </c>
      <c r="B855" s="854"/>
      <c r="C855" s="855">
        <f t="shared" si="416"/>
        <v>1.0321511057363482</v>
      </c>
      <c r="D855" s="855">
        <f t="shared" si="424"/>
        <v>1.0334448963520333</v>
      </c>
      <c r="E855" s="855">
        <f t="shared" si="424"/>
        <v>1.0317801794769335</v>
      </c>
      <c r="F855" s="855">
        <f t="shared" si="424"/>
        <v>1.0264120581290446</v>
      </c>
      <c r="G855" s="855">
        <f t="shared" si="424"/>
        <v>1.0188441108680137</v>
      </c>
      <c r="H855" s="855">
        <f t="shared" si="424"/>
        <v>1.0110758153628852</v>
      </c>
      <c r="I855" s="855">
        <f t="shared" si="424"/>
        <v>1.004643872742838</v>
      </c>
      <c r="J855" s="855">
        <f t="shared" si="424"/>
        <v>0.99957181617771751</v>
      </c>
      <c r="K855" s="855">
        <f t="shared" si="424"/>
        <v>0.99645147928073885</v>
      </c>
      <c r="L855" s="855">
        <f t="shared" si="424"/>
        <v>0.99493208971846991</v>
      </c>
      <c r="M855" s="855">
        <f t="shared" si="424"/>
        <v>0.99376546334785498</v>
      </c>
      <c r="N855" s="855">
        <f t="shared" si="424"/>
        <v>0.99277497083441546</v>
      </c>
      <c r="O855" s="855">
        <f t="shared" si="424"/>
        <v>0.99309674957505123</v>
      </c>
      <c r="P855" s="855">
        <f t="shared" si="424"/>
        <v>0.99498742489870062</v>
      </c>
      <c r="Q855" s="855">
        <f t="shared" si="424"/>
        <v>0.99814080172257413</v>
      </c>
    </row>
    <row r="856" spans="1:17">
      <c r="A856" s="853" t="s">
        <v>128</v>
      </c>
      <c r="B856" s="854"/>
      <c r="C856" s="855">
        <f t="shared" si="416"/>
        <v>1.0351234509570992</v>
      </c>
      <c r="D856" s="855">
        <f t="shared" si="424"/>
        <v>1.0359025102740451</v>
      </c>
      <c r="E856" s="855">
        <f t="shared" si="424"/>
        <v>1.0339059866585467</v>
      </c>
      <c r="F856" s="855">
        <f t="shared" si="424"/>
        <v>1.0284866721764847</v>
      </c>
      <c r="G856" s="855">
        <f t="shared" si="424"/>
        <v>1.0210573828110547</v>
      </c>
      <c r="H856" s="855">
        <f t="shared" si="424"/>
        <v>1.0133965452769316</v>
      </c>
      <c r="I856" s="855">
        <f t="shared" si="424"/>
        <v>1.0069751443441548</v>
      </c>
      <c r="J856" s="855">
        <f t="shared" si="424"/>
        <v>1.0019571806372627</v>
      </c>
      <c r="K856" s="855">
        <f t="shared" si="424"/>
        <v>0.99891275380890543</v>
      </c>
      <c r="L856" s="855">
        <f t="shared" si="424"/>
        <v>0.99741302851628744</v>
      </c>
      <c r="M856" s="855">
        <f t="shared" si="424"/>
        <v>0.99654982059067077</v>
      </c>
      <c r="N856" s="855">
        <f t="shared" si="424"/>
        <v>0.99572409795599037</v>
      </c>
      <c r="O856" s="855">
        <f t="shared" si="424"/>
        <v>0.99517522604030151</v>
      </c>
      <c r="P856" s="855">
        <f t="shared" si="424"/>
        <v>0.99477723653139349</v>
      </c>
      <c r="Q856" s="855">
        <f t="shared" si="424"/>
        <v>0.99474112610290077</v>
      </c>
    </row>
    <row r="857" spans="1:17">
      <c r="A857" s="853" t="s">
        <v>129</v>
      </c>
      <c r="B857" s="854"/>
      <c r="C857" s="855">
        <f t="shared" si="416"/>
        <v>1.0383864772746934</v>
      </c>
      <c r="D857" s="855">
        <f t="shared" si="424"/>
        <v>1.0386569295391193</v>
      </c>
      <c r="E857" s="855">
        <f t="shared" si="424"/>
        <v>1.0363118364780277</v>
      </c>
      <c r="F857" s="855">
        <f t="shared" si="424"/>
        <v>1.0307857105263973</v>
      </c>
      <c r="G857" s="855">
        <f t="shared" si="424"/>
        <v>1.0234193620082233</v>
      </c>
      <c r="H857" s="855">
        <f t="shared" si="424"/>
        <v>1.0158019771180211</v>
      </c>
      <c r="I857" s="855">
        <f t="shared" si="424"/>
        <v>1.0093620082453854</v>
      </c>
      <c r="J857" s="855">
        <f t="shared" si="424"/>
        <v>1.0043635249954563</v>
      </c>
      <c r="K857" s="855">
        <f t="shared" si="424"/>
        <v>1.0013764683754252</v>
      </c>
      <c r="L857" s="855">
        <f t="shared" si="424"/>
        <v>0.99988189458166499</v>
      </c>
      <c r="M857" s="855">
        <f t="shared" si="424"/>
        <v>0.99921585816567748</v>
      </c>
      <c r="N857" s="855">
        <f t="shared" si="424"/>
        <v>0.99845612196066802</v>
      </c>
      <c r="O857" s="855">
        <f t="shared" si="424"/>
        <v>0.99725266887670394</v>
      </c>
      <c r="P857" s="855">
        <f t="shared" si="424"/>
        <v>0.99522684296499286</v>
      </c>
      <c r="Q857" s="855">
        <f t="shared" si="424"/>
        <v>0.99292737226224925</v>
      </c>
    </row>
    <row r="858" spans="1:17">
      <c r="A858" s="853" t="s">
        <v>130</v>
      </c>
      <c r="B858" s="854"/>
      <c r="C858" s="855">
        <f t="shared" si="416"/>
        <v>1.0420631794337984</v>
      </c>
      <c r="D858" s="855">
        <f t="shared" si="424"/>
        <v>1.0418722076642561</v>
      </c>
      <c r="E858" s="855">
        <f t="shared" si="424"/>
        <v>1.0391551034614097</v>
      </c>
      <c r="F858" s="855">
        <f t="shared" si="424"/>
        <v>1.0334093774389146</v>
      </c>
      <c r="G858" s="855">
        <f t="shared" si="424"/>
        <v>1.0259527023618242</v>
      </c>
      <c r="H858" s="855">
        <f t="shared" si="424"/>
        <v>1.0182658335928616</v>
      </c>
      <c r="I858" s="855">
        <f t="shared" si="424"/>
        <v>1.0117407407949401</v>
      </c>
      <c r="J858" s="855">
        <f t="shared" si="424"/>
        <v>1.0066780450410056</v>
      </c>
      <c r="K858" s="855">
        <f t="shared" si="424"/>
        <v>1.0036092628166906</v>
      </c>
      <c r="L858" s="855">
        <f t="shared" si="424"/>
        <v>1.0020100243522181</v>
      </c>
      <c r="M858" s="855">
        <f t="shared" si="424"/>
        <v>1.0012258841582333</v>
      </c>
      <c r="N858" s="855">
        <f t="shared" si="424"/>
        <v>1.0002968201712139</v>
      </c>
      <c r="O858" s="855">
        <f t="shared" si="424"/>
        <v>0.9987717003177029</v>
      </c>
      <c r="P858" s="855">
        <f t="shared" si="424"/>
        <v>0.99624058002479621</v>
      </c>
      <c r="Q858" s="855">
        <f t="shared" si="424"/>
        <v>0.99328865796099075</v>
      </c>
    </row>
    <row r="859" spans="1:17">
      <c r="A859" s="853" t="s">
        <v>131</v>
      </c>
      <c r="B859" s="854"/>
      <c r="C859" s="855">
        <f t="shared" si="416"/>
        <v>1.0460920180450684</v>
      </c>
      <c r="D859" s="855">
        <f t="shared" si="424"/>
        <v>1.045469852200942</v>
      </c>
      <c r="E859" s="855">
        <f t="shared" si="424"/>
        <v>1.0423522586803242</v>
      </c>
      <c r="F859" s="855">
        <f t="shared" si="424"/>
        <v>1.0363084519643484</v>
      </c>
      <c r="G859" s="855">
        <f t="shared" si="424"/>
        <v>1.0286494883183588</v>
      </c>
      <c r="H859" s="855">
        <f t="shared" si="424"/>
        <v>1.0208199901045099</v>
      </c>
      <c r="I859" s="855">
        <f t="shared" si="424"/>
        <v>1.0141628655196817</v>
      </c>
      <c r="J859" s="855">
        <f t="shared" si="424"/>
        <v>1.0089733628487239</v>
      </c>
      <c r="K859" s="855">
        <f t="shared" si="424"/>
        <v>1.0057595266843056</v>
      </c>
      <c r="L859" s="855">
        <f t="shared" si="424"/>
        <v>1.0039828665949162</v>
      </c>
      <c r="M859" s="855">
        <f t="shared" si="424"/>
        <v>1.0029037141064676</v>
      </c>
      <c r="N859" s="855">
        <f t="shared" si="424"/>
        <v>1.0016686035667657</v>
      </c>
      <c r="O859" s="855">
        <f t="shared" si="424"/>
        <v>1.0000515646283836</v>
      </c>
      <c r="P859" s="855">
        <f t="shared" si="424"/>
        <v>0.99772840878329505</v>
      </c>
      <c r="Q859" s="855">
        <f t="shared" si="424"/>
        <v>0.99514501085984419</v>
      </c>
    </row>
    <row r="860" spans="1:17">
      <c r="A860" s="853" t="s">
        <v>132</v>
      </c>
      <c r="B860" s="854"/>
      <c r="C860" s="855">
        <f t="shared" si="416"/>
        <v>1.0501406617801849</v>
      </c>
      <c r="D860" s="855">
        <f t="shared" si="424"/>
        <v>1.0490933610336595</v>
      </c>
      <c r="E860" s="855">
        <f t="shared" si="424"/>
        <v>1.045602594546519</v>
      </c>
      <c r="F860" s="855">
        <f t="shared" si="424"/>
        <v>1.039292531744199</v>
      </c>
      <c r="G860" s="855">
        <f t="shared" si="424"/>
        <v>1.0314703982914837</v>
      </c>
      <c r="H860" s="855">
        <f t="shared" si="424"/>
        <v>1.0235207877766912</v>
      </c>
      <c r="I860" s="855">
        <f t="shared" si="424"/>
        <v>1.0167571119684573</v>
      </c>
      <c r="J860" s="855">
        <f t="shared" si="424"/>
        <v>1.0114965979303143</v>
      </c>
      <c r="K860" s="855">
        <f t="shared" si="424"/>
        <v>1.0082137972359595</v>
      </c>
      <c r="L860" s="855">
        <f t="shared" si="424"/>
        <v>1.0063668038352691</v>
      </c>
      <c r="M860" s="855">
        <f t="shared" si="424"/>
        <v>1.005110554557564</v>
      </c>
      <c r="N860" s="855">
        <f t="shared" si="424"/>
        <v>1.00366833938708</v>
      </c>
      <c r="O860" s="855">
        <f t="shared" si="424"/>
        <v>1.0019432557805028</v>
      </c>
      <c r="P860" s="855">
        <f t="shared" si="424"/>
        <v>0.99965832873943394</v>
      </c>
      <c r="Q860" s="855">
        <f t="shared" si="424"/>
        <v>0.99716516978823511</v>
      </c>
    </row>
    <row r="861" spans="1:17">
      <c r="A861" s="853" t="s">
        <v>133</v>
      </c>
      <c r="B861" s="854"/>
      <c r="C861" s="855">
        <f t="shared" si="416"/>
        <v>1.0540843028466051</v>
      </c>
      <c r="D861" s="855">
        <f t="shared" si="424"/>
        <v>1.0526903457396561</v>
      </c>
      <c r="E861" s="855">
        <f t="shared" si="424"/>
        <v>1.0488936429111129</v>
      </c>
      <c r="F861" s="855">
        <f t="shared" si="424"/>
        <v>1.0423642100364114</v>
      </c>
      <c r="G861" s="855">
        <f t="shared" si="424"/>
        <v>1.0344079278912526</v>
      </c>
      <c r="H861" s="855">
        <f t="shared" si="424"/>
        <v>1.0263666543944954</v>
      </c>
      <c r="I861" s="855">
        <f t="shared" si="424"/>
        <v>1.0195340825985244</v>
      </c>
      <c r="J861" s="855">
        <f t="shared" si="424"/>
        <v>1.0142386802567784</v>
      </c>
      <c r="K861" s="855">
        <f t="shared" si="424"/>
        <v>1.0109466349676282</v>
      </c>
      <c r="L861" s="855">
        <f t="shared" si="424"/>
        <v>1.0090754328801039</v>
      </c>
      <c r="M861" s="855">
        <f t="shared" si="424"/>
        <v>1.0076995574916416</v>
      </c>
      <c r="N861" s="855">
        <f t="shared" si="424"/>
        <v>1.0060799999999999</v>
      </c>
      <c r="O861" s="855">
        <f t="shared" si="424"/>
        <v>1.0042591950034698</v>
      </c>
      <c r="P861" s="855">
        <f t="shared" si="424"/>
        <v>1.0020053957093458</v>
      </c>
      <c r="Q861" s="855">
        <f t="shared" si="424"/>
        <v>0.99956754054127828</v>
      </c>
    </row>
    <row r="862" spans="1:17">
      <c r="A862" s="853" t="s">
        <v>134</v>
      </c>
      <c r="B862" s="854"/>
      <c r="C862" s="855">
        <f t="shared" si="416"/>
        <v>1.0586215441254558</v>
      </c>
      <c r="D862" s="855">
        <f t="shared" si="424"/>
        <v>1.0567561985503113</v>
      </c>
      <c r="E862" s="855">
        <f t="shared" si="424"/>
        <v>1.0525427230711097</v>
      </c>
      <c r="F862" s="855">
        <f t="shared" si="424"/>
        <v>1.0457055849412964</v>
      </c>
      <c r="G862" s="855">
        <f t="shared" si="424"/>
        <v>1.0375622344887301</v>
      </c>
      <c r="H862" s="855">
        <f t="shared" si="424"/>
        <v>1.0293664622190202</v>
      </c>
      <c r="I862" s="855">
        <f t="shared" si="424"/>
        <v>1.0223912974633438</v>
      </c>
      <c r="J862" s="855">
        <f t="shared" si="424"/>
        <v>1.0170145938938888</v>
      </c>
      <c r="K862" s="855">
        <f t="shared" si="424"/>
        <v>1.0136857798549341</v>
      </c>
      <c r="L862" s="855">
        <f t="shared" si="424"/>
        <v>1.0117838997437107</v>
      </c>
      <c r="M862" s="855">
        <f t="shared" si="424"/>
        <v>1.010299956347309</v>
      </c>
      <c r="N862" s="855">
        <f t="shared" si="424"/>
        <v>1.0085313071784963</v>
      </c>
      <c r="O862" s="855">
        <f t="shared" si="424"/>
        <v>1.0066259617626487</v>
      </c>
      <c r="P862" s="855">
        <f t="shared" si="424"/>
        <v>1.0043906442941168</v>
      </c>
      <c r="Q862" s="855">
        <f t="shared" si="424"/>
        <v>1.0019846646104176</v>
      </c>
    </row>
    <row r="863" spans="1:17">
      <c r="A863" s="853" t="s">
        <v>135</v>
      </c>
      <c r="B863" s="854"/>
      <c r="C863" s="855">
        <f t="shared" si="416"/>
        <v>1.0641291255119247</v>
      </c>
      <c r="D863" s="855">
        <f t="shared" si="424"/>
        <v>1.0615363084800737</v>
      </c>
      <c r="E863" s="855">
        <f t="shared" si="424"/>
        <v>1.0566778856593353</v>
      </c>
      <c r="F863" s="855">
        <f t="shared" si="424"/>
        <v>1.049403147739741</v>
      </c>
      <c r="G863" s="855">
        <f t="shared" si="424"/>
        <v>1.0409824600665791</v>
      </c>
      <c r="H863" s="855">
        <f t="shared" si="424"/>
        <v>1.032536547350317</v>
      </c>
      <c r="I863" s="855">
        <f t="shared" si="424"/>
        <v>1.0253088990246664</v>
      </c>
      <c r="J863" s="855">
        <f t="shared" si="424"/>
        <v>1.0197644699622257</v>
      </c>
      <c r="K863" s="855">
        <f t="shared" si="424"/>
        <v>1.016341491114392</v>
      </c>
      <c r="L863" s="855">
        <f t="shared" si="424"/>
        <v>1.0143872888555532</v>
      </c>
      <c r="M863" s="855">
        <f t="shared" si="424"/>
        <v>1.0128281352801636</v>
      </c>
      <c r="N863" s="855">
        <f t="shared" si="424"/>
        <v>1.01095227098341</v>
      </c>
      <c r="O863" s="855">
        <f t="shared" si="424"/>
        <v>1.0089486777414904</v>
      </c>
      <c r="P863" s="855">
        <f t="shared" si="424"/>
        <v>1.0066140039263345</v>
      </c>
      <c r="Q863" s="855">
        <f t="shared" si="424"/>
        <v>1.0041022381648905</v>
      </c>
    </row>
    <row r="864" spans="1:17">
      <c r="A864" s="853" t="s">
        <v>136</v>
      </c>
      <c r="B864" s="854"/>
      <c r="C864" s="855">
        <f t="shared" si="416"/>
        <v>1.0702560385690369</v>
      </c>
      <c r="D864" s="855">
        <f t="shared" si="424"/>
        <v>1.0667995127534406</v>
      </c>
      <c r="E864" s="855">
        <f t="shared" si="424"/>
        <v>1.0611848790114042</v>
      </c>
      <c r="F864" s="855">
        <f t="shared" si="424"/>
        <v>1.0533932431373523</v>
      </c>
      <c r="G864" s="855">
        <f t="shared" si="424"/>
        <v>1.0446433755225266</v>
      </c>
      <c r="H864" s="855">
        <f t="shared" si="424"/>
        <v>1.0358908182724471</v>
      </c>
      <c r="I864" s="855">
        <f t="shared" si="424"/>
        <v>1.0283482468450253</v>
      </c>
      <c r="J864" s="855">
        <f t="shared" si="424"/>
        <v>1.0225891705673951</v>
      </c>
      <c r="K864" s="855">
        <f t="shared" si="424"/>
        <v>1.0190369290914252</v>
      </c>
      <c r="L864" s="855">
        <f t="shared" si="424"/>
        <v>1.0169962230615417</v>
      </c>
      <c r="M864" s="855">
        <f t="shared" si="424"/>
        <v>1.0153660356458798</v>
      </c>
      <c r="N864" s="855">
        <f t="shared" si="424"/>
        <v>1.0134077179606449</v>
      </c>
      <c r="O864" s="855">
        <f t="shared" si="424"/>
        <v>1.0112791959835057</v>
      </c>
      <c r="P864" s="855">
        <f t="shared" si="424"/>
        <v>1.0087893599217015</v>
      </c>
      <c r="Q864" s="855">
        <f t="shared" si="424"/>
        <v>1.0060923510730131</v>
      </c>
    </row>
    <row r="865" spans="1:17">
      <c r="A865" s="853" t="s">
        <v>137</v>
      </c>
      <c r="B865" s="854"/>
      <c r="C865" s="855">
        <f t="shared" si="416"/>
        <v>1.0764235666131463</v>
      </c>
      <c r="D865" s="855">
        <f t="shared" si="424"/>
        <v>1.0719669928908817</v>
      </c>
      <c r="E865" s="855">
        <f t="shared" si="424"/>
        <v>1.0655503664854631</v>
      </c>
      <c r="F865" s="855">
        <f t="shared" si="424"/>
        <v>1.0572667696989302</v>
      </c>
      <c r="G865" s="855">
        <f t="shared" si="424"/>
        <v>1.0482611700982447</v>
      </c>
      <c r="H865" s="855">
        <f t="shared" si="424"/>
        <v>1.039274080800219</v>
      </c>
      <c r="I865" s="855">
        <f t="shared" si="424"/>
        <v>1.031479751129849</v>
      </c>
      <c r="J865" s="855">
        <f t="shared" si="424"/>
        <v>1.0255493221917089</v>
      </c>
      <c r="K865" s="855">
        <f t="shared" si="424"/>
        <v>1.0218958125753841</v>
      </c>
      <c r="L865" s="855">
        <f t="shared" si="424"/>
        <v>1.0197877059315008</v>
      </c>
      <c r="M865" s="855">
        <f t="shared" si="424"/>
        <v>1.01808437698535</v>
      </c>
      <c r="N865" s="855">
        <f t="shared" si="424"/>
        <v>1.0160377999654004</v>
      </c>
      <c r="O865" s="855">
        <f t="shared" si="424"/>
        <v>1.0138311408942962</v>
      </c>
      <c r="P865" s="855">
        <f t="shared" si="424"/>
        <v>1.0112582453751675</v>
      </c>
      <c r="Q865" s="855">
        <f t="shared" si="424"/>
        <v>1.0084831338217697</v>
      </c>
    </row>
    <row r="866" spans="1:17">
      <c r="A866" s="853" t="s">
        <v>138</v>
      </c>
      <c r="B866" s="854"/>
      <c r="C866" s="855">
        <f t="shared" si="416"/>
        <v>1.0829287245305059</v>
      </c>
      <c r="D866" s="855">
        <f t="shared" si="424"/>
        <v>1.0769875343425612</v>
      </c>
      <c r="E866" s="855">
        <f t="shared" si="424"/>
        <v>1.0695099648090431</v>
      </c>
      <c r="F866" s="855">
        <f t="shared" si="424"/>
        <v>1.0607361757991822</v>
      </c>
      <c r="G866" s="855">
        <f t="shared" si="424"/>
        <v>1.0516024264019013</v>
      </c>
      <c r="H866" s="855">
        <f t="shared" si="424"/>
        <v>1.0425148331527994</v>
      </c>
      <c r="I866" s="855">
        <f t="shared" si="424"/>
        <v>1.0345324723884033</v>
      </c>
      <c r="J866" s="855">
        <f t="shared" si="424"/>
        <v>1.0285005334510284</v>
      </c>
      <c r="K866" s="855">
        <f t="shared" si="424"/>
        <v>1.0248048656867714</v>
      </c>
      <c r="L866" s="855">
        <f t="shared" si="424"/>
        <v>1.0226696473024257</v>
      </c>
      <c r="M866" s="855">
        <f t="shared" si="424"/>
        <v>1.0209323057132218</v>
      </c>
      <c r="N866" s="855">
        <f t="shared" si="424"/>
        <v>1.0188530880221311</v>
      </c>
      <c r="O866" s="855">
        <f t="shared" si="424"/>
        <v>1.0166088603318362</v>
      </c>
      <c r="P866" s="855">
        <f t="shared" si="424"/>
        <v>1.0140081557986202</v>
      </c>
      <c r="Q866" s="855">
        <f t="shared" si="424"/>
        <v>1.0112077622962157</v>
      </c>
    </row>
    <row r="867" spans="1:17">
      <c r="A867" s="853" t="s">
        <v>139</v>
      </c>
      <c r="B867" s="854"/>
      <c r="C867" s="855">
        <f t="shared" si="416"/>
        <v>1.0876043240470763</v>
      </c>
      <c r="D867" s="855">
        <f t="shared" si="424"/>
        <v>1.0816064998141812</v>
      </c>
      <c r="E867" s="855">
        <f t="shared" si="424"/>
        <v>1.073980166111776</v>
      </c>
      <c r="F867" s="855">
        <f t="shared" si="424"/>
        <v>1.0650339235479065</v>
      </c>
      <c r="G867" s="855">
        <f t="shared" si="424"/>
        <v>1.0557385539672675</v>
      </c>
      <c r="H867" s="855">
        <f t="shared" si="424"/>
        <v>1.0465183818840083</v>
      </c>
      <c r="I867" s="855">
        <f t="shared" si="424"/>
        <v>1.0384259840880836</v>
      </c>
      <c r="J867" s="855">
        <f t="shared" si="424"/>
        <v>1.0322695394038324</v>
      </c>
      <c r="K867" s="855">
        <f t="shared" si="424"/>
        <v>1.0284025014212623</v>
      </c>
      <c r="L867" s="855">
        <f t="shared" si="424"/>
        <v>1.0260617235232483</v>
      </c>
      <c r="M867" s="855">
        <f t="shared" si="424"/>
        <v>1.0240851808750833</v>
      </c>
      <c r="N867" s="855">
        <f t="shared" si="424"/>
        <v>1.0217737222850836</v>
      </c>
      <c r="O867" s="855">
        <f t="shared" si="424"/>
        <v>1.0193690254018446</v>
      </c>
      <c r="P867" s="855">
        <f t="shared" si="424"/>
        <v>1.0166977495959217</v>
      </c>
      <c r="Q867" s="855">
        <f t="shared" si="424"/>
        <v>1.0138860014919351</v>
      </c>
    </row>
    <row r="868" spans="1:17">
      <c r="A868" s="853" t="s">
        <v>140</v>
      </c>
      <c r="B868" s="854"/>
      <c r="C868" s="855">
        <f t="shared" si="416"/>
        <v>1.0888182025904056</v>
      </c>
      <c r="D868" s="855">
        <f t="shared" ref="D868:Q883" si="425">D551/C551</f>
        <v>1.0855740927892554</v>
      </c>
      <c r="E868" s="855">
        <f t="shared" si="425"/>
        <v>1.0794744941433823</v>
      </c>
      <c r="F868" s="855">
        <f t="shared" si="425"/>
        <v>1.0708829143005254</v>
      </c>
      <c r="G868" s="855">
        <f t="shared" si="425"/>
        <v>1.0613063070992272</v>
      </c>
      <c r="H868" s="855">
        <f t="shared" si="425"/>
        <v>1.0518520361409314</v>
      </c>
      <c r="I868" s="855">
        <f t="shared" si="425"/>
        <v>1.0437139297991107</v>
      </c>
      <c r="J868" s="855">
        <f t="shared" si="425"/>
        <v>1.0373619981794902</v>
      </c>
      <c r="K868" s="855">
        <f t="shared" si="425"/>
        <v>1.0331017684132342</v>
      </c>
      <c r="L868" s="855">
        <f t="shared" si="425"/>
        <v>1.0302349472853218</v>
      </c>
      <c r="M868" s="855">
        <f t="shared" si="425"/>
        <v>1.0276491626571247</v>
      </c>
      <c r="N868" s="855">
        <f t="shared" si="425"/>
        <v>1.0247981065624521</v>
      </c>
      <c r="O868" s="855">
        <f t="shared" si="425"/>
        <v>1.0220135745503978</v>
      </c>
      <c r="P868" s="855">
        <f t="shared" si="425"/>
        <v>1.0191954105186209</v>
      </c>
      <c r="Q868" s="855">
        <f t="shared" si="425"/>
        <v>1.0163827836543258</v>
      </c>
    </row>
    <row r="869" spans="1:17">
      <c r="A869" s="853" t="s">
        <v>141</v>
      </c>
      <c r="B869" s="854"/>
      <c r="C869" s="855">
        <f t="shared" si="416"/>
        <v>1.0868631622916367</v>
      </c>
      <c r="D869" s="855">
        <f t="shared" si="425"/>
        <v>1.0886192629423459</v>
      </c>
      <c r="E869" s="855">
        <f t="shared" si="425"/>
        <v>1.0854540790856362</v>
      </c>
      <c r="F869" s="855">
        <f t="shared" si="425"/>
        <v>1.0777152701548969</v>
      </c>
      <c r="G869" s="855">
        <f t="shared" si="425"/>
        <v>1.0678483603175388</v>
      </c>
      <c r="H869" s="855">
        <f t="shared" si="425"/>
        <v>1.0581677757808325</v>
      </c>
      <c r="I869" s="855">
        <f t="shared" si="425"/>
        <v>1.0500960858325039</v>
      </c>
      <c r="J869" s="855">
        <f t="shared" si="425"/>
        <v>1.0435056470906159</v>
      </c>
      <c r="K869" s="855">
        <f t="shared" si="425"/>
        <v>1.0386813237033072</v>
      </c>
      <c r="L869" s="855">
        <f t="shared" si="425"/>
        <v>1.0350353910430687</v>
      </c>
      <c r="M869" s="855">
        <f t="shared" si="425"/>
        <v>1.0315805507733073</v>
      </c>
      <c r="N869" s="855">
        <f t="shared" si="425"/>
        <v>1.0279747535275352</v>
      </c>
      <c r="O869" s="855">
        <f t="shared" si="425"/>
        <v>1.0246696653310194</v>
      </c>
      <c r="P869" s="855">
        <f t="shared" si="425"/>
        <v>1.0216388119599467</v>
      </c>
      <c r="Q869" s="855">
        <f t="shared" si="425"/>
        <v>1.018831889922075</v>
      </c>
    </row>
    <row r="870" spans="1:17">
      <c r="A870" s="853" t="s">
        <v>142</v>
      </c>
      <c r="B870" s="854"/>
      <c r="C870" s="855">
        <f t="shared" si="416"/>
        <v>1.0843427051401504</v>
      </c>
      <c r="D870" s="855">
        <f t="shared" si="425"/>
        <v>1.0917960743157928</v>
      </c>
      <c r="E870" s="855">
        <f t="shared" si="425"/>
        <v>1.0919241224974092</v>
      </c>
      <c r="F870" s="855">
        <f t="shared" si="425"/>
        <v>1.0850299994222945</v>
      </c>
      <c r="G870" s="855">
        <f t="shared" si="425"/>
        <v>1.0747129933876922</v>
      </c>
      <c r="H870" s="855">
        <f t="shared" si="425"/>
        <v>1.0646474035349294</v>
      </c>
      <c r="I870" s="855">
        <f t="shared" si="425"/>
        <v>1.0565427322302658</v>
      </c>
      <c r="J870" s="855">
        <f t="shared" si="425"/>
        <v>1.0496409426095419</v>
      </c>
      <c r="K870" s="855">
        <f t="shared" si="425"/>
        <v>1.0442261620506998</v>
      </c>
      <c r="L870" s="855">
        <f t="shared" si="425"/>
        <v>1.039829164171165</v>
      </c>
      <c r="M870" s="855">
        <f t="shared" si="425"/>
        <v>1.03555248039277</v>
      </c>
      <c r="N870" s="855">
        <f t="shared" si="425"/>
        <v>1.031239893237043</v>
      </c>
      <c r="O870" s="855">
        <f t="shared" si="425"/>
        <v>1.027458893510844</v>
      </c>
      <c r="P870" s="855">
        <f t="shared" si="425"/>
        <v>1.0242546418742255</v>
      </c>
      <c r="Q870" s="855">
        <f t="shared" si="425"/>
        <v>1.0214665009603432</v>
      </c>
    </row>
    <row r="871" spans="1:17">
      <c r="A871" s="853" t="s">
        <v>143</v>
      </c>
      <c r="B871" s="854"/>
      <c r="C871" s="855">
        <f t="shared" si="416"/>
        <v>1.0813179767461862</v>
      </c>
      <c r="D871" s="855">
        <f t="shared" si="425"/>
        <v>1.0964365513800409</v>
      </c>
      <c r="E871" s="855">
        <f t="shared" si="425"/>
        <v>1.1007125922066616</v>
      </c>
      <c r="F871" s="855">
        <f t="shared" si="425"/>
        <v>1.0943795854416254</v>
      </c>
      <c r="G871" s="855">
        <f t="shared" si="425"/>
        <v>1.0828266790763883</v>
      </c>
      <c r="H871" s="855">
        <f t="shared" si="425"/>
        <v>1.0716802928491613</v>
      </c>
      <c r="I871" s="855">
        <f t="shared" si="425"/>
        <v>1.0631233546268601</v>
      </c>
      <c r="J871" s="855">
        <f t="shared" si="425"/>
        <v>1.0556476396516337</v>
      </c>
      <c r="K871" s="855">
        <f t="shared" si="425"/>
        <v>1.0495571240599133</v>
      </c>
      <c r="L871" s="855">
        <f t="shared" si="425"/>
        <v>1.0444554814341589</v>
      </c>
      <c r="M871" s="855">
        <f t="shared" si="425"/>
        <v>1.0394225440963016</v>
      </c>
      <c r="N871" s="855">
        <f t="shared" si="425"/>
        <v>1.0344353049038071</v>
      </c>
      <c r="O871" s="855">
        <f t="shared" si="425"/>
        <v>1.0302359671586216</v>
      </c>
      <c r="P871" s="855">
        <f t="shared" si="425"/>
        <v>1.0269044556880516</v>
      </c>
      <c r="Q871" s="855">
        <f t="shared" si="425"/>
        <v>1.0241852562308893</v>
      </c>
    </row>
    <row r="872" spans="1:17">
      <c r="A872" s="853" t="s">
        <v>144</v>
      </c>
      <c r="B872" s="854"/>
      <c r="C872" s="855">
        <f t="shared" si="416"/>
        <v>1.0739539273015284</v>
      </c>
      <c r="D872" s="855">
        <f t="shared" si="425"/>
        <v>1.0937007194470378</v>
      </c>
      <c r="E872" s="855">
        <f t="shared" si="425"/>
        <v>1.101601842154345</v>
      </c>
      <c r="F872" s="855">
        <f t="shared" si="425"/>
        <v>1.0974860889978544</v>
      </c>
      <c r="G872" s="855">
        <f t="shared" si="425"/>
        <v>1.0871979873736175</v>
      </c>
      <c r="H872" s="855">
        <f t="shared" si="425"/>
        <v>1.077156282745372</v>
      </c>
      <c r="I872" s="855">
        <f t="shared" si="425"/>
        <v>1.0695294865721401</v>
      </c>
      <c r="J872" s="855">
        <f t="shared" si="425"/>
        <v>1.0623139145161482</v>
      </c>
      <c r="K872" s="855">
        <f t="shared" si="425"/>
        <v>1.0558135801450634</v>
      </c>
      <c r="L872" s="855">
        <f t="shared" si="425"/>
        <v>1.0499255583126552</v>
      </c>
      <c r="M872" s="855">
        <f t="shared" si="425"/>
        <v>1.0440717989564854</v>
      </c>
      <c r="N872" s="855">
        <f t="shared" si="425"/>
        <v>1.0384644282062199</v>
      </c>
      <c r="O872" s="855">
        <f t="shared" si="425"/>
        <v>1.0338062084100896</v>
      </c>
      <c r="P872" s="855">
        <f t="shared" si="425"/>
        <v>1.0302369066119232</v>
      </c>
      <c r="Q872" s="855">
        <f t="shared" si="425"/>
        <v>1.0274056114095409</v>
      </c>
    </row>
    <row r="873" spans="1:17">
      <c r="A873" s="853" t="s">
        <v>145</v>
      </c>
      <c r="B873" s="854"/>
      <c r="C873" s="855">
        <f t="shared" si="416"/>
        <v>1.0610017225965418</v>
      </c>
      <c r="D873" s="855">
        <f t="shared" si="425"/>
        <v>1.0779964898291361</v>
      </c>
      <c r="E873" s="855">
        <f t="shared" si="425"/>
        <v>1.0872806164663</v>
      </c>
      <c r="F873" s="855">
        <f t="shared" si="425"/>
        <v>1.0881855800252489</v>
      </c>
      <c r="G873" s="855">
        <f t="shared" si="425"/>
        <v>1.0840135736544776</v>
      </c>
      <c r="H873" s="855">
        <f t="shared" si="425"/>
        <v>1.0794079262256338</v>
      </c>
      <c r="I873" s="855">
        <f t="shared" si="425"/>
        <v>1.075386683118142</v>
      </c>
      <c r="J873" s="855">
        <f t="shared" si="425"/>
        <v>1.070050709419659</v>
      </c>
      <c r="K873" s="855">
        <f t="shared" si="425"/>
        <v>1.063636276602874</v>
      </c>
      <c r="L873" s="855">
        <f t="shared" si="425"/>
        <v>1.0568181818181819</v>
      </c>
      <c r="M873" s="855">
        <f t="shared" si="425"/>
        <v>1.050028744809965</v>
      </c>
      <c r="N873" s="855">
        <f t="shared" si="425"/>
        <v>1.043879500188585</v>
      </c>
      <c r="O873" s="855">
        <f t="shared" si="425"/>
        <v>1.0386957661936538</v>
      </c>
      <c r="P873" s="855">
        <f t="shared" si="425"/>
        <v>1.0346602332127062</v>
      </c>
      <c r="Q873" s="855">
        <f t="shared" si="425"/>
        <v>1.0314060133251874</v>
      </c>
    </row>
    <row r="874" spans="1:17">
      <c r="A874" s="853" t="s">
        <v>146</v>
      </c>
      <c r="B874" s="854"/>
      <c r="C874" s="855">
        <f t="shared" si="416"/>
        <v>1.0453331813458782</v>
      </c>
      <c r="D874" s="855">
        <f t="shared" si="425"/>
        <v>1.0540747979482361</v>
      </c>
      <c r="E874" s="855">
        <f t="shared" si="425"/>
        <v>1.062091659305592</v>
      </c>
      <c r="F874" s="855">
        <f t="shared" si="425"/>
        <v>1.0690713191247043</v>
      </c>
      <c r="G874" s="855">
        <f t="shared" si="425"/>
        <v>1.0743892011606229</v>
      </c>
      <c r="H874" s="855">
        <f t="shared" si="425"/>
        <v>1.0786484970253627</v>
      </c>
      <c r="I874" s="855">
        <f t="shared" si="425"/>
        <v>1.0805158676161535</v>
      </c>
      <c r="J874" s="855">
        <f t="shared" si="425"/>
        <v>1.0784340613211243</v>
      </c>
      <c r="K874" s="855">
        <f t="shared" si="425"/>
        <v>1.0725401508723036</v>
      </c>
      <c r="L874" s="855">
        <f t="shared" si="425"/>
        <v>1.0647257647352006</v>
      </c>
      <c r="M874" s="855">
        <f t="shared" si="425"/>
        <v>1.0569824912228876</v>
      </c>
      <c r="N874" s="855">
        <f t="shared" si="425"/>
        <v>1.050373972623355</v>
      </c>
      <c r="O874" s="855">
        <f t="shared" si="425"/>
        <v>1.0446362051038536</v>
      </c>
      <c r="P874" s="855">
        <f t="shared" si="425"/>
        <v>1.0399623809710412</v>
      </c>
      <c r="Q874" s="855">
        <f t="shared" si="425"/>
        <v>1.0360434533588558</v>
      </c>
    </row>
    <row r="875" spans="1:17">
      <c r="A875" s="853" t="s">
        <v>147</v>
      </c>
      <c r="B875" s="854"/>
      <c r="C875" s="855">
        <f t="shared" si="416"/>
        <v>1.0294464801634837</v>
      </c>
      <c r="D875" s="855">
        <f t="shared" si="425"/>
        <v>1.0297935330407031</v>
      </c>
      <c r="E875" s="855">
        <f t="shared" si="425"/>
        <v>1.0355537460636628</v>
      </c>
      <c r="F875" s="855">
        <f t="shared" si="425"/>
        <v>1.0479411387123692</v>
      </c>
      <c r="G875" s="855">
        <f t="shared" si="425"/>
        <v>1.063220194935953</v>
      </c>
      <c r="H875" s="855">
        <f t="shared" si="425"/>
        <v>1.0775578983753888</v>
      </c>
      <c r="I875" s="855">
        <f t="shared" si="425"/>
        <v>1.0862938904259729</v>
      </c>
      <c r="J875" s="855">
        <f t="shared" si="425"/>
        <v>1.0878886964653192</v>
      </c>
      <c r="K875" s="855">
        <f t="shared" si="425"/>
        <v>1.0823745634993567</v>
      </c>
      <c r="L875" s="855">
        <f t="shared" si="425"/>
        <v>1.0732187733478231</v>
      </c>
      <c r="M875" s="855">
        <f t="shared" si="425"/>
        <v>1.0642169677673761</v>
      </c>
      <c r="N875" s="855">
        <f t="shared" si="425"/>
        <v>1.0569843186766938</v>
      </c>
      <c r="O875" s="855">
        <f t="shared" si="425"/>
        <v>1.050575389182943</v>
      </c>
      <c r="P875" s="855">
        <f t="shared" si="425"/>
        <v>1.0452384581477834</v>
      </c>
      <c r="Q875" s="855">
        <f t="shared" si="425"/>
        <v>1.0406793087887249</v>
      </c>
    </row>
    <row r="876" spans="1:17">
      <c r="A876" s="853" t="s">
        <v>148</v>
      </c>
      <c r="B876" s="854"/>
      <c r="C876" s="855">
        <f t="shared" si="416"/>
        <v>1.0124574764611636</v>
      </c>
      <c r="D876" s="855">
        <f t="shared" si="425"/>
        <v>1.0024712446835724</v>
      </c>
      <c r="E876" s="855">
        <f t="shared" si="425"/>
        <v>1.0039961422522845</v>
      </c>
      <c r="F876" s="855">
        <f t="shared" si="425"/>
        <v>1.0213442344721233</v>
      </c>
      <c r="G876" s="855">
        <f t="shared" si="425"/>
        <v>1.0485529434589334</v>
      </c>
      <c r="H876" s="855">
        <f t="shared" si="425"/>
        <v>1.0762507340696823</v>
      </c>
      <c r="I876" s="855">
        <f t="shared" si="425"/>
        <v>1.094292729780133</v>
      </c>
      <c r="J876" s="855">
        <f t="shared" si="425"/>
        <v>1.1005221976700899</v>
      </c>
      <c r="K876" s="855">
        <f t="shared" si="425"/>
        <v>1.0948968761831464</v>
      </c>
      <c r="L876" s="855">
        <f t="shared" si="425"/>
        <v>1.0833501033125197</v>
      </c>
      <c r="M876" s="855">
        <f t="shared" si="425"/>
        <v>1.0722018732667049</v>
      </c>
      <c r="N876" s="855">
        <f t="shared" si="425"/>
        <v>1.063818728847266</v>
      </c>
      <c r="O876" s="855">
        <f t="shared" si="425"/>
        <v>1.0564120090556481</v>
      </c>
      <c r="P876" s="855">
        <f t="shared" si="425"/>
        <v>1.050322972870279</v>
      </c>
      <c r="Q876" s="855">
        <f t="shared" si="425"/>
        <v>1.0451625039793939</v>
      </c>
    </row>
    <row r="877" spans="1:17">
      <c r="A877" s="853" t="s">
        <v>149</v>
      </c>
      <c r="B877" s="854"/>
      <c r="C877" s="855">
        <f t="shared" si="416"/>
        <v>1.0015353235019535</v>
      </c>
      <c r="D877" s="855">
        <f t="shared" si="425"/>
        <v>0.98550084379611058</v>
      </c>
      <c r="E877" s="855">
        <f t="shared" si="425"/>
        <v>0.98338682780756337</v>
      </c>
      <c r="F877" s="855">
        <f t="shared" si="425"/>
        <v>1.0018325203993252</v>
      </c>
      <c r="G877" s="855">
        <f t="shared" si="425"/>
        <v>1.0348907049123637</v>
      </c>
      <c r="H877" s="855">
        <f t="shared" si="425"/>
        <v>1.0702910657755891</v>
      </c>
      <c r="I877" s="855">
        <f t="shared" si="425"/>
        <v>1.0944800700004518</v>
      </c>
      <c r="J877" s="855">
        <f t="shared" si="425"/>
        <v>1.104764550006381</v>
      </c>
      <c r="K877" s="855">
        <f t="shared" si="425"/>
        <v>1.1007311322357289</v>
      </c>
      <c r="L877" s="855">
        <f t="shared" si="425"/>
        <v>1.0894017352548095</v>
      </c>
      <c r="M877" s="855">
        <f t="shared" si="425"/>
        <v>1.0784355946417643</v>
      </c>
      <c r="N877" s="855">
        <f t="shared" si="425"/>
        <v>1.0703900839647327</v>
      </c>
      <c r="O877" s="855">
        <f t="shared" si="425"/>
        <v>1.0629140291928165</v>
      </c>
      <c r="P877" s="855">
        <f t="shared" si="425"/>
        <v>1.0563498990906612</v>
      </c>
      <c r="Q877" s="855">
        <f t="shared" si="425"/>
        <v>1.0505109680522007</v>
      </c>
    </row>
    <row r="878" spans="1:17">
      <c r="A878" s="853" t="s">
        <v>150</v>
      </c>
      <c r="B878" s="854"/>
      <c r="C878" s="855">
        <f t="shared" ref="C878:C909" si="426">C561/B561</f>
        <v>0.99971218683186236</v>
      </c>
      <c r="D878" s="855">
        <f t="shared" si="425"/>
        <v>0.98594336216863387</v>
      </c>
      <c r="E878" s="855">
        <f t="shared" si="425"/>
        <v>0.98397704782784023</v>
      </c>
      <c r="F878" s="855">
        <f t="shared" si="425"/>
        <v>0.99942533067038486</v>
      </c>
      <c r="G878" s="855">
        <f t="shared" si="425"/>
        <v>1.0275198657705469</v>
      </c>
      <c r="H878" s="855">
        <f t="shared" si="425"/>
        <v>1.0578314137230349</v>
      </c>
      <c r="I878" s="855">
        <f t="shared" si="425"/>
        <v>1.0798062622224343</v>
      </c>
      <c r="J878" s="855">
        <f t="shared" si="425"/>
        <v>1.0917494558801089</v>
      </c>
      <c r="K878" s="855">
        <f t="shared" si="425"/>
        <v>1.0925759726932329</v>
      </c>
      <c r="L878" s="855">
        <f t="shared" si="425"/>
        <v>1.0869503741882487</v>
      </c>
      <c r="M878" s="855">
        <f t="shared" si="425"/>
        <v>1.0809611268896868</v>
      </c>
      <c r="N878" s="855">
        <f t="shared" si="425"/>
        <v>1.0762411499924072</v>
      </c>
      <c r="O878" s="855">
        <f t="shared" si="425"/>
        <v>1.0704781428038976</v>
      </c>
      <c r="P878" s="855">
        <f t="shared" si="425"/>
        <v>1.0639926584148443</v>
      </c>
      <c r="Q878" s="855">
        <f t="shared" si="425"/>
        <v>1.0572945884288867</v>
      </c>
    </row>
    <row r="879" spans="1:17">
      <c r="A879" s="853" t="s">
        <v>151</v>
      </c>
      <c r="B879" s="854"/>
      <c r="C879" s="855">
        <f t="shared" si="426"/>
        <v>1.0042409837165394</v>
      </c>
      <c r="D879" s="855">
        <f t="shared" si="425"/>
        <v>0.99851118756650747</v>
      </c>
      <c r="E879" s="855">
        <f t="shared" si="425"/>
        <v>0.99928793649731662</v>
      </c>
      <c r="F879" s="855">
        <f t="shared" si="425"/>
        <v>1.0091008216085928</v>
      </c>
      <c r="G879" s="855">
        <f t="shared" si="425"/>
        <v>1.0252742825999384</v>
      </c>
      <c r="H879" s="855">
        <f t="shared" si="425"/>
        <v>1.0419713596316875</v>
      </c>
      <c r="I879" s="855">
        <f t="shared" si="425"/>
        <v>1.0553150147725558</v>
      </c>
      <c r="J879" s="855">
        <f t="shared" si="425"/>
        <v>1.0660103326369244</v>
      </c>
      <c r="K879" s="855">
        <f t="shared" si="425"/>
        <v>1.073169289009819</v>
      </c>
      <c r="L879" s="855">
        <f t="shared" si="425"/>
        <v>1.0771794447812748</v>
      </c>
      <c r="M879" s="855">
        <f t="shared" si="425"/>
        <v>1.0800855537627623</v>
      </c>
      <c r="N879" s="855">
        <f t="shared" si="425"/>
        <v>1.0812346427646498</v>
      </c>
      <c r="O879" s="855">
        <f t="shared" si="425"/>
        <v>1.078738823474428</v>
      </c>
      <c r="P879" s="855">
        <f t="shared" si="425"/>
        <v>1.0728101315180218</v>
      </c>
      <c r="Q879" s="855">
        <f t="shared" si="425"/>
        <v>1.0651704224214522</v>
      </c>
    </row>
    <row r="880" spans="1:17">
      <c r="A880" s="853" t="s">
        <v>152</v>
      </c>
      <c r="B880" s="854"/>
      <c r="C880" s="855">
        <f t="shared" si="426"/>
        <v>1.009000400240144</v>
      </c>
      <c r="D880" s="855">
        <f t="shared" si="425"/>
        <v>1.0108241314167563</v>
      </c>
      <c r="E880" s="855">
        <f t="shared" si="425"/>
        <v>1.0135680018836271</v>
      </c>
      <c r="F880" s="855">
        <f t="shared" si="425"/>
        <v>1.0172871053293842</v>
      </c>
      <c r="G880" s="855">
        <f t="shared" si="425"/>
        <v>1.0220123691722169</v>
      </c>
      <c r="H880" s="855">
        <f t="shared" si="425"/>
        <v>1.0258114669012741</v>
      </c>
      <c r="I880" s="855">
        <f t="shared" si="425"/>
        <v>1.0302806164122482</v>
      </c>
      <c r="J880" s="855">
        <f t="shared" si="425"/>
        <v>1.0386619392631418</v>
      </c>
      <c r="K880" s="855">
        <f t="shared" si="425"/>
        <v>1.0515047302425971</v>
      </c>
      <c r="L880" s="855">
        <f t="shared" si="425"/>
        <v>1.0657420887288331</v>
      </c>
      <c r="M880" s="855">
        <f t="shared" si="425"/>
        <v>1.0788470925678564</v>
      </c>
      <c r="N880" s="855">
        <f t="shared" si="425"/>
        <v>1.0869319696395752</v>
      </c>
      <c r="O880" s="855">
        <f t="shared" si="425"/>
        <v>1.0881594614915473</v>
      </c>
      <c r="P880" s="855">
        <f t="shared" si="425"/>
        <v>1.0826628866621393</v>
      </c>
      <c r="Q880" s="855">
        <f t="shared" si="425"/>
        <v>1.0737192129020947</v>
      </c>
    </row>
    <row r="881" spans="1:17">
      <c r="A881" s="853" t="s">
        <v>153</v>
      </c>
      <c r="B881" s="854"/>
      <c r="C881" s="855">
        <f t="shared" si="426"/>
        <v>1.0159032612678638</v>
      </c>
      <c r="D881" s="855">
        <f t="shared" si="425"/>
        <v>1.0267844260774572</v>
      </c>
      <c r="E881" s="855">
        <f t="shared" si="425"/>
        <v>1.0313902020414922</v>
      </c>
      <c r="F881" s="855">
        <f t="shared" si="425"/>
        <v>1.0275835559383226</v>
      </c>
      <c r="G881" s="855">
        <f t="shared" si="425"/>
        <v>1.019252805530565</v>
      </c>
      <c r="H881" s="855">
        <f t="shared" si="425"/>
        <v>1.0083946556658119</v>
      </c>
      <c r="I881" s="855">
        <f t="shared" si="425"/>
        <v>1.0017874994817173</v>
      </c>
      <c r="J881" s="855">
        <f t="shared" si="425"/>
        <v>1.0056472492653519</v>
      </c>
      <c r="K881" s="855">
        <f t="shared" si="425"/>
        <v>1.0237288445621207</v>
      </c>
      <c r="L881" s="855">
        <f t="shared" si="425"/>
        <v>1.0503510997552128</v>
      </c>
      <c r="M881" s="855">
        <f t="shared" si="425"/>
        <v>1.0772008165348304</v>
      </c>
      <c r="N881" s="855">
        <f t="shared" si="425"/>
        <v>1.0948348355461857</v>
      </c>
      <c r="O881" s="855">
        <f t="shared" si="425"/>
        <v>1.1008784266210865</v>
      </c>
      <c r="P881" s="855">
        <f t="shared" si="425"/>
        <v>1.0953588239340428</v>
      </c>
      <c r="Q881" s="855">
        <f t="shared" si="425"/>
        <v>1.0840607534068378</v>
      </c>
    </row>
    <row r="882" spans="1:17">
      <c r="A882" s="853" t="s">
        <v>154</v>
      </c>
      <c r="B882" s="854"/>
      <c r="C882" s="855">
        <f t="shared" si="426"/>
        <v>1.0199104274169994</v>
      </c>
      <c r="D882" s="855">
        <f t="shared" si="425"/>
        <v>1.0353099030011828</v>
      </c>
      <c r="E882" s="855">
        <f t="shared" si="425"/>
        <v>1.0402065393894999</v>
      </c>
      <c r="F882" s="855">
        <f t="shared" si="425"/>
        <v>1.0317286005535145</v>
      </c>
      <c r="G882" s="855">
        <f t="shared" si="425"/>
        <v>1.0160374971958246</v>
      </c>
      <c r="H882" s="855">
        <f t="shared" si="425"/>
        <v>0.99712029464130525</v>
      </c>
      <c r="I882" s="855">
        <f t="shared" si="425"/>
        <v>0.98385911352329269</v>
      </c>
      <c r="J882" s="855">
        <f t="shared" si="425"/>
        <v>0.98378106593880188</v>
      </c>
      <c r="K882" s="855">
        <f t="shared" si="425"/>
        <v>1.0031006167160721</v>
      </c>
      <c r="L882" s="855">
        <f t="shared" si="425"/>
        <v>1.036053959627329</v>
      </c>
      <c r="M882" s="855">
        <f t="shared" si="425"/>
        <v>1.0711301578380403</v>
      </c>
      <c r="N882" s="855">
        <f t="shared" si="425"/>
        <v>1.0952920239443455</v>
      </c>
      <c r="O882" s="855">
        <f t="shared" si="425"/>
        <v>1.1055650924188589</v>
      </c>
      <c r="P882" s="855">
        <f t="shared" si="425"/>
        <v>1.1016274694601222</v>
      </c>
      <c r="Q882" s="855">
        <f t="shared" si="425"/>
        <v>1.0904525742681357</v>
      </c>
    </row>
    <row r="883" spans="1:17">
      <c r="A883" s="853" t="s">
        <v>155</v>
      </c>
      <c r="B883" s="854"/>
      <c r="C883" s="855">
        <f t="shared" si="426"/>
        <v>1.0172734026745913</v>
      </c>
      <c r="D883" s="855">
        <f t="shared" si="425"/>
        <v>1.0285149663297855</v>
      </c>
      <c r="E883" s="855">
        <f t="shared" si="425"/>
        <v>1.0316768305417485</v>
      </c>
      <c r="F883" s="855">
        <f t="shared" si="425"/>
        <v>1.0242516258002481</v>
      </c>
      <c r="G883" s="855">
        <f t="shared" si="425"/>
        <v>1.0110283763285191</v>
      </c>
      <c r="H883" s="855">
        <f t="shared" si="425"/>
        <v>0.99512752970154295</v>
      </c>
      <c r="I883" s="855">
        <f t="shared" si="425"/>
        <v>0.98400958639046865</v>
      </c>
      <c r="J883" s="855">
        <f t="shared" si="425"/>
        <v>0.9840891169160435</v>
      </c>
      <c r="K883" s="855">
        <f t="shared" si="425"/>
        <v>1.0005578715678221</v>
      </c>
      <c r="L883" s="855">
        <f t="shared" si="425"/>
        <v>1.0288056039901059</v>
      </c>
      <c r="M883" s="855">
        <f t="shared" si="425"/>
        <v>1.0590971123953667</v>
      </c>
      <c r="N883" s="855">
        <f t="shared" si="425"/>
        <v>1.0812361024534112</v>
      </c>
      <c r="O883" s="855">
        <f t="shared" si="425"/>
        <v>1.0931940506563296</v>
      </c>
      <c r="P883" s="855">
        <f t="shared" si="425"/>
        <v>1.0939863827777558</v>
      </c>
      <c r="Q883" s="855">
        <f t="shared" si="425"/>
        <v>1.0883041756154419</v>
      </c>
    </row>
    <row r="884" spans="1:17">
      <c r="A884" s="853" t="s">
        <v>156</v>
      </c>
      <c r="B884" s="854"/>
      <c r="C884" s="855">
        <f t="shared" si="426"/>
        <v>1.0107135274615799</v>
      </c>
      <c r="D884" s="855">
        <f t="shared" ref="D884:Q899" si="427">D567/C567</f>
        <v>1.0123989421580191</v>
      </c>
      <c r="E884" s="855">
        <f t="shared" si="427"/>
        <v>1.0121300468709267</v>
      </c>
      <c r="F884" s="855">
        <f t="shared" si="427"/>
        <v>1.0091094021856257</v>
      </c>
      <c r="G884" s="855">
        <f t="shared" si="427"/>
        <v>1.00477663874651</v>
      </c>
      <c r="H884" s="855">
        <f t="shared" si="427"/>
        <v>0.99970968360697376</v>
      </c>
      <c r="I884" s="855">
        <f t="shared" si="427"/>
        <v>0.99706487862806414</v>
      </c>
      <c r="J884" s="855">
        <f t="shared" si="427"/>
        <v>1.000182034732227</v>
      </c>
      <c r="K884" s="855">
        <f t="shared" si="427"/>
        <v>1.0110656973781369</v>
      </c>
      <c r="L884" s="855">
        <f t="shared" si="427"/>
        <v>1.0272946089675674</v>
      </c>
      <c r="M884" s="855">
        <f t="shared" si="427"/>
        <v>1.0438618010323368</v>
      </c>
      <c r="N884" s="855">
        <f t="shared" si="427"/>
        <v>1.0573088027932585</v>
      </c>
      <c r="O884" s="855">
        <f t="shared" si="427"/>
        <v>1.0679198552059188</v>
      </c>
      <c r="P884" s="855">
        <f t="shared" si="427"/>
        <v>1.0749116487698791</v>
      </c>
      <c r="Q884" s="855">
        <f t="shared" si="427"/>
        <v>1.0787007033905003</v>
      </c>
    </row>
    <row r="885" spans="1:17">
      <c r="A885" s="853" t="s">
        <v>157</v>
      </c>
      <c r="B885" s="854"/>
      <c r="C885" s="855">
        <f t="shared" si="426"/>
        <v>1.0058326661983106</v>
      </c>
      <c r="D885" s="855">
        <f t="shared" si="427"/>
        <v>0.99912827843111773</v>
      </c>
      <c r="E885" s="855">
        <f t="shared" si="427"/>
        <v>0.99533953644645068</v>
      </c>
      <c r="F885" s="855">
        <f t="shared" si="427"/>
        <v>0.99567705299149034</v>
      </c>
      <c r="G885" s="855">
        <f t="shared" si="427"/>
        <v>0.99931648047594834</v>
      </c>
      <c r="H885" s="855">
        <f t="shared" si="427"/>
        <v>1.0045526177552093</v>
      </c>
      <c r="I885" s="855">
        <f t="shared" si="427"/>
        <v>1.0098755882865609</v>
      </c>
      <c r="J885" s="855">
        <f t="shared" si="427"/>
        <v>1.0151620576384732</v>
      </c>
      <c r="K885" s="855">
        <f t="shared" si="427"/>
        <v>1.0198610048457026</v>
      </c>
      <c r="L885" s="855">
        <f t="shared" si="427"/>
        <v>1.0244235357861065</v>
      </c>
      <c r="M885" s="855">
        <f t="shared" si="427"/>
        <v>1.0279198917786345</v>
      </c>
      <c r="N885" s="855">
        <f t="shared" si="427"/>
        <v>1.0324305871643149</v>
      </c>
      <c r="O885" s="855">
        <f t="shared" si="427"/>
        <v>1.0407276247250561</v>
      </c>
      <c r="P885" s="855">
        <f t="shared" si="427"/>
        <v>1.0533939901831677</v>
      </c>
      <c r="Q885" s="855">
        <f t="shared" si="427"/>
        <v>1.0673590530392441</v>
      </c>
    </row>
    <row r="886" spans="1:17">
      <c r="A886" s="853" t="s">
        <v>158</v>
      </c>
      <c r="B886" s="854"/>
      <c r="C886" s="855">
        <f t="shared" si="426"/>
        <v>1.0009354282575473</v>
      </c>
      <c r="D886" s="855">
        <f t="shared" si="427"/>
        <v>0.98514493737944531</v>
      </c>
      <c r="E886" s="855">
        <f t="shared" si="427"/>
        <v>0.97716630540893812</v>
      </c>
      <c r="F886" s="855">
        <f t="shared" si="427"/>
        <v>0.98092802998233353</v>
      </c>
      <c r="G886" s="855">
        <f t="shared" si="427"/>
        <v>0.99383170686798006</v>
      </c>
      <c r="H886" s="855">
        <f t="shared" si="427"/>
        <v>1.0116720704029643</v>
      </c>
      <c r="I886" s="855">
        <f t="shared" si="427"/>
        <v>1.0265257302444832</v>
      </c>
      <c r="J886" s="855">
        <f t="shared" si="427"/>
        <v>1.0338237507735364</v>
      </c>
      <c r="K886" s="855">
        <f t="shared" si="427"/>
        <v>1.0307272511567209</v>
      </c>
      <c r="L886" s="855">
        <f t="shared" si="427"/>
        <v>1.0218378536748702</v>
      </c>
      <c r="M886" s="855">
        <f t="shared" si="427"/>
        <v>1.0103886129742461</v>
      </c>
      <c r="N886" s="855">
        <f t="shared" si="427"/>
        <v>1.0036586787203747</v>
      </c>
      <c r="O886" s="855">
        <f t="shared" si="427"/>
        <v>1.0074169069125167</v>
      </c>
      <c r="P886" s="855">
        <f t="shared" si="427"/>
        <v>1.0253846539367513</v>
      </c>
      <c r="Q886" s="855">
        <f t="shared" si="427"/>
        <v>1.0518389989980204</v>
      </c>
    </row>
    <row r="887" spans="1:17">
      <c r="A887" s="853" t="s">
        <v>159</v>
      </c>
      <c r="B887" s="854"/>
      <c r="C887" s="855">
        <f t="shared" si="426"/>
        <v>0.99944096044103237</v>
      </c>
      <c r="D887" s="855">
        <f t="shared" si="427"/>
        <v>0.9784732452399677</v>
      </c>
      <c r="E887" s="855">
        <f t="shared" si="427"/>
        <v>0.96783998098245982</v>
      </c>
      <c r="F887" s="855">
        <f t="shared" si="427"/>
        <v>0.97312818353538355</v>
      </c>
      <c r="G887" s="855">
        <f t="shared" si="427"/>
        <v>0.99107582841552389</v>
      </c>
      <c r="H887" s="855">
        <f t="shared" si="427"/>
        <v>1.0160990073794698</v>
      </c>
      <c r="I887" s="855">
        <f t="shared" si="427"/>
        <v>1.0361695271286373</v>
      </c>
      <c r="J887" s="855">
        <f t="shared" si="427"/>
        <v>1.0439605374554375</v>
      </c>
      <c r="K887" s="855">
        <f t="shared" si="427"/>
        <v>1.0357871856829191</v>
      </c>
      <c r="L887" s="855">
        <f t="shared" si="427"/>
        <v>1.018971734140067</v>
      </c>
      <c r="M887" s="855">
        <f t="shared" si="427"/>
        <v>0.99888142592060214</v>
      </c>
      <c r="N887" s="855">
        <f t="shared" si="427"/>
        <v>0.98510211877488862</v>
      </c>
      <c r="O887" s="855">
        <f t="shared" si="427"/>
        <v>0.98473339211915822</v>
      </c>
      <c r="P887" s="855">
        <f t="shared" si="427"/>
        <v>1.0040888984788003</v>
      </c>
      <c r="Q887" s="855">
        <f t="shared" si="427"/>
        <v>1.0372734207953238</v>
      </c>
    </row>
    <row r="888" spans="1:17">
      <c r="A888" s="853" t="s">
        <v>160</v>
      </c>
      <c r="B888" s="854"/>
      <c r="C888" s="855">
        <f t="shared" si="426"/>
        <v>1.0036993520317352</v>
      </c>
      <c r="D888" s="855">
        <f t="shared" si="427"/>
        <v>0.98433570161916573</v>
      </c>
      <c r="E888" s="855">
        <f t="shared" si="427"/>
        <v>0.97426039857525548</v>
      </c>
      <c r="F888" s="855">
        <f t="shared" si="427"/>
        <v>0.97821528495374133</v>
      </c>
      <c r="G888" s="855">
        <f t="shared" si="427"/>
        <v>0.99305032184731712</v>
      </c>
      <c r="H888" s="855">
        <f t="shared" si="427"/>
        <v>1.0137975652087365</v>
      </c>
      <c r="I888" s="855">
        <f t="shared" si="427"/>
        <v>1.0303550938510533</v>
      </c>
      <c r="J888" s="855">
        <f t="shared" si="427"/>
        <v>1.0366547957931849</v>
      </c>
      <c r="K888" s="855">
        <f t="shared" si="427"/>
        <v>1.0293555002786186</v>
      </c>
      <c r="L888" s="855">
        <f t="shared" si="427"/>
        <v>1.0144879815607508</v>
      </c>
      <c r="M888" s="855">
        <f t="shared" si="427"/>
        <v>0.9968093124068238</v>
      </c>
      <c r="N888" s="855">
        <f t="shared" si="427"/>
        <v>0.9847074211226331</v>
      </c>
      <c r="O888" s="855">
        <f t="shared" si="427"/>
        <v>0.98423453718026321</v>
      </c>
      <c r="P888" s="855">
        <f t="shared" si="427"/>
        <v>1.0009281667283545</v>
      </c>
      <c r="Q888" s="855">
        <f t="shared" si="427"/>
        <v>1.0299582427835112</v>
      </c>
    </row>
    <row r="889" spans="1:17">
      <c r="A889" s="853" t="s">
        <v>161</v>
      </c>
      <c r="B889" s="854"/>
      <c r="C889" s="855">
        <f t="shared" si="426"/>
        <v>1.0124008371661675</v>
      </c>
      <c r="D889" s="855">
        <f t="shared" si="427"/>
        <v>0.99940581190233035</v>
      </c>
      <c r="E889" s="855">
        <f t="shared" si="427"/>
        <v>0.99191176015210358</v>
      </c>
      <c r="F889" s="855">
        <f t="shared" si="427"/>
        <v>0.99222042544158129</v>
      </c>
      <c r="G889" s="855">
        <f t="shared" si="427"/>
        <v>0.99830729248601469</v>
      </c>
      <c r="H889" s="855">
        <f t="shared" si="427"/>
        <v>1.0072802682668549</v>
      </c>
      <c r="I889" s="855">
        <f t="shared" si="427"/>
        <v>1.0144991020193614</v>
      </c>
      <c r="J889" s="855">
        <f t="shared" si="427"/>
        <v>1.0176597582037996</v>
      </c>
      <c r="K889" s="855">
        <f t="shared" si="427"/>
        <v>1.0149288108471781</v>
      </c>
      <c r="L889" s="855">
        <f t="shared" si="427"/>
        <v>1.0088267262281572</v>
      </c>
      <c r="M889" s="855">
        <f t="shared" si="427"/>
        <v>1.00165163031896</v>
      </c>
      <c r="N889" s="855">
        <f t="shared" si="427"/>
        <v>0.99771280651052285</v>
      </c>
      <c r="O889" s="855">
        <f t="shared" si="427"/>
        <v>1.0001836318832338</v>
      </c>
      <c r="P889" s="855">
        <f t="shared" si="427"/>
        <v>1.011424544113902</v>
      </c>
      <c r="Q889" s="855">
        <f t="shared" si="427"/>
        <v>1.0287159788260645</v>
      </c>
    </row>
    <row r="890" spans="1:17">
      <c r="A890" s="853" t="s">
        <v>162</v>
      </c>
      <c r="B890" s="854"/>
      <c r="C890" s="855">
        <f t="shared" si="426"/>
        <v>1.0216949565829936</v>
      </c>
      <c r="D890" s="855">
        <f t="shared" si="427"/>
        <v>1.0147572609569016</v>
      </c>
      <c r="E890" s="855">
        <f t="shared" si="427"/>
        <v>1.0092508509345581</v>
      </c>
      <c r="F890" s="855">
        <f t="shared" si="427"/>
        <v>1.0057093660791154</v>
      </c>
      <c r="G890" s="855">
        <f t="shared" si="427"/>
        <v>1.0037846361793197</v>
      </c>
      <c r="H890" s="855">
        <f t="shared" si="427"/>
        <v>1.0023981584195238</v>
      </c>
      <c r="I890" s="855">
        <f t="shared" si="427"/>
        <v>1.0012473852885297</v>
      </c>
      <c r="J890" s="855">
        <f t="shared" si="427"/>
        <v>1.0010669426662067</v>
      </c>
      <c r="K890" s="855">
        <f t="shared" si="427"/>
        <v>1.0019592951643064</v>
      </c>
      <c r="L890" s="855">
        <f t="shared" si="427"/>
        <v>1.0039172972559809</v>
      </c>
      <c r="M890" s="855">
        <f t="shared" si="427"/>
        <v>1.0069157609557708</v>
      </c>
      <c r="N890" s="855">
        <f t="shared" si="427"/>
        <v>1.010812786308845</v>
      </c>
      <c r="O890" s="855">
        <f t="shared" si="427"/>
        <v>1.0153350330700612</v>
      </c>
      <c r="P890" s="855">
        <f t="shared" si="427"/>
        <v>1.0203712003536409</v>
      </c>
      <c r="Q890" s="855">
        <f t="shared" si="427"/>
        <v>1.0259574596106982</v>
      </c>
    </row>
    <row r="891" spans="1:17">
      <c r="A891" s="853" t="s">
        <v>163</v>
      </c>
      <c r="B891" s="854"/>
      <c r="C891" s="855">
        <f t="shared" si="426"/>
        <v>1.0334437526803804</v>
      </c>
      <c r="D891" s="855">
        <f t="shared" si="427"/>
        <v>1.0338210567738704</v>
      </c>
      <c r="E891" s="855">
        <f t="shared" si="427"/>
        <v>1.0301331561608948</v>
      </c>
      <c r="F891" s="855">
        <f t="shared" si="427"/>
        <v>1.0215121669376401</v>
      </c>
      <c r="G891" s="855">
        <f t="shared" si="427"/>
        <v>1.0102599179206566</v>
      </c>
      <c r="H891" s="855">
        <f t="shared" si="427"/>
        <v>0.99743502942555073</v>
      </c>
      <c r="I891" s="855">
        <f t="shared" si="427"/>
        <v>0.98697246987873166</v>
      </c>
      <c r="J891" s="855">
        <f t="shared" si="427"/>
        <v>0.98268063325794552</v>
      </c>
      <c r="K891" s="855">
        <f t="shared" si="427"/>
        <v>0.98740906735576972</v>
      </c>
      <c r="L891" s="855">
        <f t="shared" si="427"/>
        <v>0.99895725423913617</v>
      </c>
      <c r="M891" s="855">
        <f t="shared" si="427"/>
        <v>1.0147501279208597</v>
      </c>
      <c r="N891" s="855">
        <f t="shared" si="427"/>
        <v>1.0282175921256984</v>
      </c>
      <c r="O891" s="855">
        <f t="shared" si="427"/>
        <v>1.0346358559901656</v>
      </c>
      <c r="P891" s="855">
        <f t="shared" si="427"/>
        <v>1.0315867307923228</v>
      </c>
      <c r="Q891" s="855">
        <f t="shared" si="427"/>
        <v>1.0233659460022422</v>
      </c>
    </row>
    <row r="892" spans="1:17">
      <c r="A892" s="853" t="s">
        <v>164</v>
      </c>
      <c r="B892" s="854"/>
      <c r="C892" s="855">
        <f t="shared" si="426"/>
        <v>1.0425583480768763</v>
      </c>
      <c r="D892" s="855">
        <f t="shared" si="427"/>
        <v>1.0478570487636671</v>
      </c>
      <c r="E892" s="855">
        <f t="shared" si="427"/>
        <v>1.0450279899724166</v>
      </c>
      <c r="F892" s="855">
        <f t="shared" si="427"/>
        <v>1.0327351467632824</v>
      </c>
      <c r="G892" s="855">
        <f t="shared" si="427"/>
        <v>1.015458195721588</v>
      </c>
      <c r="H892" s="855">
        <f t="shared" si="427"/>
        <v>0.99567470546161208</v>
      </c>
      <c r="I892" s="855">
        <f t="shared" si="427"/>
        <v>0.9795197787973462</v>
      </c>
      <c r="J892" s="855">
        <f t="shared" si="427"/>
        <v>0.97242882346836412</v>
      </c>
      <c r="K892" s="855">
        <f t="shared" si="427"/>
        <v>0.97911063678406252</v>
      </c>
      <c r="L892" s="855">
        <f t="shared" si="427"/>
        <v>0.99644658246980677</v>
      </c>
      <c r="M892" s="855">
        <f t="shared" si="427"/>
        <v>1.020193254329991</v>
      </c>
      <c r="N892" s="855">
        <f t="shared" si="427"/>
        <v>1.039401260954723</v>
      </c>
      <c r="O892" s="855">
        <f t="shared" si="427"/>
        <v>1.0463185838273523</v>
      </c>
      <c r="P892" s="855">
        <f t="shared" si="427"/>
        <v>1.0376690044103827</v>
      </c>
      <c r="Q892" s="855">
        <f t="shared" si="427"/>
        <v>1.0207509881422925</v>
      </c>
    </row>
    <row r="893" spans="1:17">
      <c r="A893" s="853" t="s">
        <v>165</v>
      </c>
      <c r="B893" s="854"/>
      <c r="C893" s="855">
        <f t="shared" si="426"/>
        <v>1.0441729487695242</v>
      </c>
      <c r="D893" s="855">
        <f t="shared" si="427"/>
        <v>1.0487868204393744</v>
      </c>
      <c r="E893" s="855">
        <f t="shared" si="427"/>
        <v>1.045878519748926</v>
      </c>
      <c r="F893" s="855">
        <f t="shared" si="427"/>
        <v>1.0342223613582047</v>
      </c>
      <c r="G893" s="855">
        <f t="shared" si="427"/>
        <v>1.0180141603112611</v>
      </c>
      <c r="H893" s="855">
        <f t="shared" si="427"/>
        <v>0.99957937181356005</v>
      </c>
      <c r="I893" s="855">
        <f t="shared" si="427"/>
        <v>0.98461884481720385</v>
      </c>
      <c r="J893" s="855">
        <f t="shared" si="427"/>
        <v>0.97790893884799301</v>
      </c>
      <c r="K893" s="855">
        <f t="shared" si="427"/>
        <v>0.98346808526670337</v>
      </c>
      <c r="L893" s="855">
        <f t="shared" si="427"/>
        <v>0.99832974509458383</v>
      </c>
      <c r="M893" s="855">
        <f t="shared" si="427"/>
        <v>1.0187565713233206</v>
      </c>
      <c r="N893" s="855">
        <f t="shared" si="427"/>
        <v>1.0352028324983993</v>
      </c>
      <c r="O893" s="855">
        <f t="shared" si="427"/>
        <v>1.0408389002896272</v>
      </c>
      <c r="P893" s="855">
        <f t="shared" si="427"/>
        <v>1.0326155352024051</v>
      </c>
      <c r="Q893" s="855">
        <f t="shared" si="427"/>
        <v>1.0168726090930635</v>
      </c>
    </row>
    <row r="894" spans="1:17">
      <c r="A894" s="853" t="s">
        <v>166</v>
      </c>
      <c r="B894" s="854"/>
      <c r="C894" s="855">
        <f t="shared" si="426"/>
        <v>1.0398127125589984</v>
      </c>
      <c r="D894" s="855">
        <f t="shared" si="427"/>
        <v>1.0394027524847562</v>
      </c>
      <c r="E894" s="855">
        <f t="shared" si="427"/>
        <v>1.0357560014644096</v>
      </c>
      <c r="F894" s="855">
        <f t="shared" si="427"/>
        <v>1.0282602841176867</v>
      </c>
      <c r="G894" s="855">
        <f t="shared" si="427"/>
        <v>1.0187507161447675</v>
      </c>
      <c r="H894" s="855">
        <f t="shared" si="427"/>
        <v>1.0082829207940678</v>
      </c>
      <c r="I894" s="855">
        <f t="shared" si="427"/>
        <v>0.99968925293217747</v>
      </c>
      <c r="J894" s="855">
        <f t="shared" si="427"/>
        <v>0.99547284103136335</v>
      </c>
      <c r="K894" s="855">
        <f t="shared" si="427"/>
        <v>0.99734180965115249</v>
      </c>
      <c r="L894" s="855">
        <f t="shared" si="427"/>
        <v>1.0035483482519167</v>
      </c>
      <c r="M894" s="855">
        <f t="shared" si="427"/>
        <v>1.0125592966793859</v>
      </c>
      <c r="N894" s="855">
        <f t="shared" si="427"/>
        <v>1.0200589364576504</v>
      </c>
      <c r="O894" s="855">
        <f t="shared" si="427"/>
        <v>1.0228709067814985</v>
      </c>
      <c r="P894" s="855">
        <f t="shared" si="427"/>
        <v>1.0192096555588368</v>
      </c>
      <c r="Q894" s="855">
        <f t="shared" si="427"/>
        <v>1.0119905501983568</v>
      </c>
    </row>
    <row r="895" spans="1:17">
      <c r="A895" s="853" t="s">
        <v>167</v>
      </c>
      <c r="B895" s="854"/>
      <c r="C895" s="855">
        <f t="shared" si="426"/>
        <v>1.0359515996718622</v>
      </c>
      <c r="D895" s="855">
        <f t="shared" si="427"/>
        <v>1.0308435452259814</v>
      </c>
      <c r="E895" s="855">
        <f t="shared" si="427"/>
        <v>1.0264926734650766</v>
      </c>
      <c r="F895" s="855">
        <f t="shared" si="427"/>
        <v>1.0230774267780469</v>
      </c>
      <c r="G895" s="855">
        <f t="shared" si="427"/>
        <v>1.0204081632653061</v>
      </c>
      <c r="H895" s="855">
        <f t="shared" si="427"/>
        <v>1.018073476702509</v>
      </c>
      <c r="I895" s="855">
        <f t="shared" si="427"/>
        <v>1.0157722875978066</v>
      </c>
      <c r="J895" s="855">
        <f t="shared" si="427"/>
        <v>1.0135518027190253</v>
      </c>
      <c r="K895" s="855">
        <f t="shared" si="427"/>
        <v>1.0113786942285827</v>
      </c>
      <c r="L895" s="855">
        <f t="shared" si="427"/>
        <v>1.0093572491209089</v>
      </c>
      <c r="M895" s="855">
        <f t="shared" si="427"/>
        <v>1.0079222182211018</v>
      </c>
      <c r="N895" s="855">
        <f t="shared" si="427"/>
        <v>1.0071204832290601</v>
      </c>
      <c r="O895" s="855">
        <f t="shared" si="427"/>
        <v>1.0067731450162523</v>
      </c>
      <c r="P895" s="855">
        <f t="shared" si="427"/>
        <v>1.0069570205268981</v>
      </c>
      <c r="Q895" s="855">
        <f t="shared" si="427"/>
        <v>1.0078041079391946</v>
      </c>
    </row>
    <row r="896" spans="1:17">
      <c r="A896" s="853" t="s">
        <v>168</v>
      </c>
      <c r="B896" s="854"/>
      <c r="C896" s="855">
        <f t="shared" si="426"/>
        <v>1.0305297209866557</v>
      </c>
      <c r="D896" s="855">
        <f t="shared" si="427"/>
        <v>1.0195757853203411</v>
      </c>
      <c r="E896" s="855">
        <f t="shared" si="427"/>
        <v>1.0141754505997305</v>
      </c>
      <c r="F896" s="855">
        <f t="shared" si="427"/>
        <v>1.0160644263608383</v>
      </c>
      <c r="G896" s="855">
        <f t="shared" si="427"/>
        <v>1.0225537388994939</v>
      </c>
      <c r="H896" s="855">
        <f t="shared" si="427"/>
        <v>1.0311567883448653</v>
      </c>
      <c r="I896" s="855">
        <f t="shared" si="427"/>
        <v>1.0368861733423851</v>
      </c>
      <c r="J896" s="855">
        <f t="shared" si="427"/>
        <v>1.0365703224337199</v>
      </c>
      <c r="K896" s="855">
        <f t="shared" si="427"/>
        <v>1.0286891248626877</v>
      </c>
      <c r="L896" s="855">
        <f t="shared" si="427"/>
        <v>1.0166586576966201</v>
      </c>
      <c r="M896" s="855">
        <f t="shared" si="427"/>
        <v>1.0031073297971045</v>
      </c>
      <c r="N896" s="855">
        <f t="shared" si="427"/>
        <v>0.99261786546365216</v>
      </c>
      <c r="O896" s="855">
        <f t="shared" si="427"/>
        <v>0.98826425212078595</v>
      </c>
      <c r="P896" s="855">
        <f t="shared" si="427"/>
        <v>0.99271481942714812</v>
      </c>
      <c r="Q896" s="855">
        <f t="shared" si="427"/>
        <v>1.0037096441788156</v>
      </c>
    </row>
    <row r="897" spans="1:17">
      <c r="A897" s="853" t="s">
        <v>169</v>
      </c>
      <c r="B897" s="854"/>
      <c r="C897" s="855">
        <f t="shared" si="426"/>
        <v>1.0273579826461492</v>
      </c>
      <c r="D897" s="855">
        <f t="shared" si="427"/>
        <v>1.0119070833130208</v>
      </c>
      <c r="E897" s="855">
        <f t="shared" si="427"/>
        <v>1.0056245408230859</v>
      </c>
      <c r="F897" s="855">
        <f t="shared" si="427"/>
        <v>1.0115095333908211</v>
      </c>
      <c r="G897" s="855">
        <f t="shared" si="427"/>
        <v>1.0252672957836533</v>
      </c>
      <c r="H897" s="855">
        <f t="shared" si="427"/>
        <v>1.042533288678962</v>
      </c>
      <c r="I897" s="855">
        <f t="shared" si="427"/>
        <v>1.0541684205862154</v>
      </c>
      <c r="J897" s="855">
        <f t="shared" si="427"/>
        <v>1.0546109873481568</v>
      </c>
      <c r="K897" s="855">
        <f t="shared" si="427"/>
        <v>1.0420780980659818</v>
      </c>
      <c r="L897" s="855">
        <f t="shared" si="427"/>
        <v>1.0227855121242255</v>
      </c>
      <c r="M897" s="855">
        <f t="shared" si="427"/>
        <v>1.0010750979273981</v>
      </c>
      <c r="N897" s="855">
        <f t="shared" si="427"/>
        <v>0.98404960684335374</v>
      </c>
      <c r="O897" s="855">
        <f t="shared" si="427"/>
        <v>0.97662611270332345</v>
      </c>
      <c r="P897" s="855">
        <f t="shared" si="427"/>
        <v>0.98365578023729239</v>
      </c>
      <c r="Q897" s="855">
        <f t="shared" si="427"/>
        <v>1.0015904533285915</v>
      </c>
    </row>
    <row r="898" spans="1:17">
      <c r="A898" s="853" t="s">
        <v>170</v>
      </c>
      <c r="B898" s="854"/>
      <c r="C898" s="855">
        <f t="shared" si="426"/>
        <v>1.0305409369338279</v>
      </c>
      <c r="D898" s="855">
        <f t="shared" si="427"/>
        <v>1.0150411608762384</v>
      </c>
      <c r="E898" s="855">
        <f t="shared" si="427"/>
        <v>1.0088937152911419</v>
      </c>
      <c r="F898" s="855">
        <f t="shared" si="427"/>
        <v>1.0150827713059474</v>
      </c>
      <c r="G898" s="855">
        <f t="shared" si="427"/>
        <v>1.0290462001020106</v>
      </c>
      <c r="H898" s="855">
        <f t="shared" si="427"/>
        <v>1.0462786632927243</v>
      </c>
      <c r="I898" s="855">
        <f t="shared" si="427"/>
        <v>1.0576707307951232</v>
      </c>
      <c r="J898" s="855">
        <f t="shared" si="427"/>
        <v>1.0578618576143328</v>
      </c>
      <c r="K898" s="855">
        <f t="shared" si="427"/>
        <v>1.0452149884678381</v>
      </c>
      <c r="L898" s="855">
        <f t="shared" si="427"/>
        <v>1.0260215122538829</v>
      </c>
      <c r="M898" s="855">
        <f t="shared" si="427"/>
        <v>1.0045923032166901</v>
      </c>
      <c r="N898" s="855">
        <f t="shared" si="427"/>
        <v>0.98787878787878791</v>
      </c>
      <c r="O898" s="855">
        <f t="shared" si="427"/>
        <v>0.9804644150840679</v>
      </c>
      <c r="P898" s="855">
        <f t="shared" si="427"/>
        <v>0.98673813693247336</v>
      </c>
      <c r="Q898" s="855">
        <f t="shared" si="427"/>
        <v>1.0032680445839195</v>
      </c>
    </row>
    <row r="899" spans="1:17">
      <c r="A899" s="853" t="s">
        <v>171</v>
      </c>
      <c r="B899" s="854"/>
      <c r="C899" s="855">
        <f t="shared" si="426"/>
        <v>1.0399741113552365</v>
      </c>
      <c r="D899" s="855">
        <f t="shared" si="427"/>
        <v>1.0284638060923681</v>
      </c>
      <c r="E899" s="855">
        <f t="shared" si="427"/>
        <v>1.0232809962100704</v>
      </c>
      <c r="F899" s="855">
        <f t="shared" si="427"/>
        <v>1.0261282290694054</v>
      </c>
      <c r="G899" s="855">
        <f t="shared" si="427"/>
        <v>1.033728142677323</v>
      </c>
      <c r="H899" s="855">
        <f t="shared" si="427"/>
        <v>1.0431172336898318</v>
      </c>
      <c r="I899" s="855">
        <f t="shared" si="427"/>
        <v>1.0489015780146831</v>
      </c>
      <c r="J899" s="855">
        <f t="shared" si="427"/>
        <v>1.0481905093927246</v>
      </c>
      <c r="K899" s="855">
        <f t="shared" si="427"/>
        <v>1.0396940119990277</v>
      </c>
      <c r="L899" s="855">
        <f t="shared" si="427"/>
        <v>1.0271174762537527</v>
      </c>
      <c r="M899" s="855">
        <f t="shared" si="427"/>
        <v>1.0133325347388595</v>
      </c>
      <c r="N899" s="855">
        <f t="shared" si="427"/>
        <v>1.0026479732365561</v>
      </c>
      <c r="O899" s="855">
        <f t="shared" si="427"/>
        <v>0.99752408125729519</v>
      </c>
      <c r="P899" s="855">
        <f t="shared" si="427"/>
        <v>1.0001418322361033</v>
      </c>
      <c r="Q899" s="855">
        <f t="shared" si="427"/>
        <v>1.0082251031092309</v>
      </c>
    </row>
    <row r="900" spans="1:17">
      <c r="A900" s="853" t="s">
        <v>172</v>
      </c>
      <c r="B900" s="854"/>
      <c r="C900" s="855">
        <f t="shared" si="426"/>
        <v>1.0509793399517038</v>
      </c>
      <c r="D900" s="855">
        <f t="shared" ref="D900:Q902" si="428">D583/C583</f>
        <v>1.0434791147070952</v>
      </c>
      <c r="E900" s="855">
        <f t="shared" si="428"/>
        <v>1.0389573727298391</v>
      </c>
      <c r="F900" s="855">
        <f t="shared" si="428"/>
        <v>1.0379494610995381</v>
      </c>
      <c r="G900" s="855">
        <f t="shared" si="428"/>
        <v>1.0390226876090751</v>
      </c>
      <c r="H900" s="855">
        <f t="shared" si="428"/>
        <v>1.0405468959957</v>
      </c>
      <c r="I900" s="855">
        <f t="shared" si="428"/>
        <v>1.040774818401937</v>
      </c>
      <c r="J900" s="855">
        <f t="shared" si="428"/>
        <v>1.039068800794094</v>
      </c>
      <c r="K900" s="855">
        <f t="shared" si="428"/>
        <v>1.0349130532129263</v>
      </c>
      <c r="L900" s="855">
        <f t="shared" si="428"/>
        <v>1.029451639888078</v>
      </c>
      <c r="M900" s="855">
        <f t="shared" si="428"/>
        <v>1.0239576328177538</v>
      </c>
      <c r="N900" s="855">
        <f t="shared" si="428"/>
        <v>1.0195249432175795</v>
      </c>
      <c r="O900" s="855">
        <f t="shared" si="428"/>
        <v>1.0163595614188128</v>
      </c>
      <c r="P900" s="855">
        <f t="shared" si="428"/>
        <v>1.0147889927639571</v>
      </c>
      <c r="Q900" s="855">
        <f t="shared" si="428"/>
        <v>1.0144303336282725</v>
      </c>
    </row>
    <row r="901" spans="1:17">
      <c r="A901" s="853" t="s">
        <v>173</v>
      </c>
      <c r="B901" s="854"/>
      <c r="C901" s="855">
        <f t="shared" si="426"/>
        <v>1.0673059431927443</v>
      </c>
      <c r="D901" s="855">
        <f t="shared" si="428"/>
        <v>1.0655693798543986</v>
      </c>
      <c r="E901" s="855">
        <f t="shared" si="428"/>
        <v>1.0611232976875971</v>
      </c>
      <c r="F901" s="855">
        <f t="shared" si="428"/>
        <v>1.0538555955123925</v>
      </c>
      <c r="G901" s="855">
        <f t="shared" si="428"/>
        <v>1.0454229668982427</v>
      </c>
      <c r="H901" s="855">
        <f t="shared" si="428"/>
        <v>1.0362175791099038</v>
      </c>
      <c r="I901" s="855">
        <f t="shared" si="428"/>
        <v>1.0288026256224536</v>
      </c>
      <c r="J901" s="855">
        <f t="shared" si="428"/>
        <v>1.0256128192435325</v>
      </c>
      <c r="K901" s="855">
        <f t="shared" si="428"/>
        <v>1.027690382552735</v>
      </c>
      <c r="L901" s="855">
        <f t="shared" si="428"/>
        <v>1.0328062759832317</v>
      </c>
      <c r="M901" s="855">
        <f t="shared" si="428"/>
        <v>1.0395957894736843</v>
      </c>
      <c r="N901" s="855">
        <f t="shared" si="428"/>
        <v>1.0439199040922789</v>
      </c>
      <c r="O901" s="855">
        <f t="shared" si="428"/>
        <v>1.0426463056939337</v>
      </c>
      <c r="P901" s="855">
        <f t="shared" si="428"/>
        <v>1.0346208231003944</v>
      </c>
      <c r="Q901" s="855">
        <f t="shared" si="428"/>
        <v>1.0230754844556977</v>
      </c>
    </row>
    <row r="902" spans="1:17">
      <c r="A902" s="853" t="s">
        <v>174</v>
      </c>
      <c r="B902" s="854"/>
      <c r="C902" s="855">
        <f t="shared" si="426"/>
        <v>1.0848672802454316</v>
      </c>
      <c r="D902" s="855">
        <f t="shared" si="428"/>
        <v>1.0887714013463252</v>
      </c>
      <c r="E902" s="855">
        <f t="shared" si="428"/>
        <v>1.0835944778521216</v>
      </c>
      <c r="F902" s="855">
        <f t="shared" si="428"/>
        <v>1.0696159658173103</v>
      </c>
      <c r="G902" s="855">
        <f t="shared" si="428"/>
        <v>1.0521264675792859</v>
      </c>
      <c r="H902" s="855">
        <f t="shared" si="428"/>
        <v>1.0331990554243644</v>
      </c>
      <c r="I902" s="855">
        <f t="shared" si="428"/>
        <v>1.0188446715066775</v>
      </c>
      <c r="J902" s="855">
        <f t="shared" si="428"/>
        <v>1.0140755239833732</v>
      </c>
      <c r="K902" s="855">
        <f t="shared" si="428"/>
        <v>1.0217094276605434</v>
      </c>
      <c r="L902" s="855">
        <f t="shared" si="428"/>
        <v>1.0367225642114202</v>
      </c>
      <c r="M902" s="855">
        <f t="shared" si="428"/>
        <v>1.0549549549549548</v>
      </c>
      <c r="N902" s="855">
        <f t="shared" si="428"/>
        <v>1.0667844111482028</v>
      </c>
      <c r="O902" s="855">
        <f t="shared" si="428"/>
        <v>1.0661511871190756</v>
      </c>
      <c r="P902" s="855">
        <f t="shared" si="428"/>
        <v>1.0518421187351752</v>
      </c>
      <c r="Q902" s="855">
        <f t="shared" si="428"/>
        <v>1.0309219812131929</v>
      </c>
    </row>
    <row r="903" spans="1:17">
      <c r="A903" s="853" t="s">
        <v>175</v>
      </c>
      <c r="B903" s="854"/>
      <c r="C903" s="855">
        <f t="shared" si="426"/>
        <v>1.0939917973870026</v>
      </c>
      <c r="D903" s="855">
        <f t="shared" ref="D903:Q903" si="429">D586/C586</f>
        <v>1.1001777846486822</v>
      </c>
      <c r="E903" s="855">
        <f t="shared" si="429"/>
        <v>1.0948851261153658</v>
      </c>
      <c r="F903" s="855">
        <f t="shared" si="429"/>
        <v>1.0786087849327812</v>
      </c>
      <c r="G903" s="855">
        <f t="shared" si="429"/>
        <v>1.0581551000981648</v>
      </c>
      <c r="H903" s="855">
        <f t="shared" si="429"/>
        <v>1.0364612616664792</v>
      </c>
      <c r="I903" s="855">
        <f t="shared" si="429"/>
        <v>1.0203694160405761</v>
      </c>
      <c r="J903" s="855">
        <f t="shared" si="429"/>
        <v>1.0152046783625732</v>
      </c>
      <c r="K903" s="855">
        <f t="shared" si="429"/>
        <v>1.0239317134478425</v>
      </c>
      <c r="L903" s="855">
        <f t="shared" si="429"/>
        <v>1.0411445813941596</v>
      </c>
      <c r="M903" s="855">
        <f t="shared" si="429"/>
        <v>1.0615252363993612</v>
      </c>
      <c r="N903" s="855">
        <f t="shared" si="429"/>
        <v>1.0743637204997687</v>
      </c>
      <c r="O903" s="855">
        <f t="shared" si="429"/>
        <v>1.0734806391868028</v>
      </c>
      <c r="P903" s="855">
        <f t="shared" si="429"/>
        <v>1.0577779561048029</v>
      </c>
      <c r="Q903" s="855">
        <f t="shared" si="429"/>
        <v>1.0352577476008042</v>
      </c>
    </row>
    <row r="904" spans="1:17">
      <c r="A904" s="853" t="s">
        <v>176</v>
      </c>
      <c r="B904" s="854"/>
      <c r="C904" s="855">
        <f t="shared" si="426"/>
        <v>1.0913316781997782</v>
      </c>
      <c r="D904" s="855">
        <f t="shared" ref="D904:Q904" si="430">D587/C587</f>
        <v>1.096515004840271</v>
      </c>
      <c r="E904" s="855">
        <f t="shared" si="430"/>
        <v>1.0925664341838086</v>
      </c>
      <c r="F904" s="855">
        <f t="shared" si="430"/>
        <v>1.0798351581754273</v>
      </c>
      <c r="G904" s="855">
        <f t="shared" si="430"/>
        <v>1.0637931679574961</v>
      </c>
      <c r="H904" s="855">
        <f t="shared" si="430"/>
        <v>1.0470244794597636</v>
      </c>
      <c r="I904" s="855">
        <f t="shared" si="430"/>
        <v>1.0345997514192617</v>
      </c>
      <c r="J904" s="855">
        <f t="shared" si="430"/>
        <v>1.0300334426442417</v>
      </c>
      <c r="K904" s="855">
        <f t="shared" si="430"/>
        <v>1.0352414575715545</v>
      </c>
      <c r="L904" s="855">
        <f t="shared" si="430"/>
        <v>1.0457645697582365</v>
      </c>
      <c r="M904" s="855">
        <f t="shared" si="430"/>
        <v>1.0582326393943806</v>
      </c>
      <c r="N904" s="855">
        <f t="shared" si="430"/>
        <v>1.0656486449305269</v>
      </c>
      <c r="O904" s="855">
        <f t="shared" si="430"/>
        <v>1.0641088533732668</v>
      </c>
      <c r="P904" s="855">
        <f t="shared" si="430"/>
        <v>1.0528218566506526</v>
      </c>
      <c r="Q904" s="855">
        <f t="shared" si="430"/>
        <v>1.0366435435919892</v>
      </c>
    </row>
    <row r="905" spans="1:17">
      <c r="A905" s="853" t="s">
        <v>177</v>
      </c>
      <c r="B905" s="854"/>
      <c r="C905" s="855">
        <f t="shared" si="426"/>
        <v>1.0885352073859722</v>
      </c>
      <c r="D905" s="855">
        <f t="shared" ref="D905:Q905" si="431">D588/C588</f>
        <v>1.0933603392619786</v>
      </c>
      <c r="E905" s="855">
        <f t="shared" si="431"/>
        <v>1.0914669445409284</v>
      </c>
      <c r="F905" s="855">
        <f t="shared" si="431"/>
        <v>1.0827410629044236</v>
      </c>
      <c r="G905" s="855">
        <f t="shared" si="431"/>
        <v>1.071421573429999</v>
      </c>
      <c r="H905" s="855">
        <f t="shared" si="431"/>
        <v>1.0596653255303585</v>
      </c>
      <c r="I905" s="855">
        <f t="shared" si="431"/>
        <v>1.0509556888294431</v>
      </c>
      <c r="J905" s="855">
        <f t="shared" si="431"/>
        <v>1.0466787092536334</v>
      </c>
      <c r="K905" s="855">
        <f t="shared" si="431"/>
        <v>1.0475387330849186</v>
      </c>
      <c r="L905" s="855">
        <f t="shared" si="431"/>
        <v>1.0511476391957164</v>
      </c>
      <c r="M905" s="855">
        <f t="shared" si="431"/>
        <v>1.0554981654970967</v>
      </c>
      <c r="N905" s="855">
        <f t="shared" si="431"/>
        <v>1.0573723465289731</v>
      </c>
      <c r="O905" s="855">
        <f t="shared" si="431"/>
        <v>1.0552807123934762</v>
      </c>
      <c r="P905" s="855">
        <f t="shared" si="431"/>
        <v>1.0487251610561654</v>
      </c>
      <c r="Q905" s="855">
        <f t="shared" si="431"/>
        <v>1.0398281132837284</v>
      </c>
    </row>
    <row r="906" spans="1:17">
      <c r="A906" s="853" t="s">
        <v>178</v>
      </c>
      <c r="B906" s="854"/>
      <c r="C906" s="855">
        <f t="shared" si="426"/>
        <v>1.0793635760962212</v>
      </c>
      <c r="D906" s="855">
        <f t="shared" ref="D906:Q906" si="432">D589/C589</f>
        <v>1.0837939808721593</v>
      </c>
      <c r="E906" s="855">
        <f t="shared" si="432"/>
        <v>1.0856541450777202</v>
      </c>
      <c r="F906" s="855">
        <f t="shared" si="432"/>
        <v>1.0850857568978374</v>
      </c>
      <c r="G906" s="855">
        <f t="shared" si="432"/>
        <v>1.0823998350628823</v>
      </c>
      <c r="H906" s="855">
        <f t="shared" si="432"/>
        <v>1.0802539682539682</v>
      </c>
      <c r="I906" s="855">
        <f t="shared" si="432"/>
        <v>1.0776419419301753</v>
      </c>
      <c r="J906" s="855">
        <f t="shared" si="432"/>
        <v>1.0727024815925823</v>
      </c>
      <c r="K906" s="855">
        <f t="shared" si="432"/>
        <v>1.065690461663616</v>
      </c>
      <c r="L906" s="855">
        <f t="shared" si="432"/>
        <v>1.0578244274809161</v>
      </c>
      <c r="M906" s="855">
        <f t="shared" si="432"/>
        <v>1.0494317156774311</v>
      </c>
      <c r="N906" s="855">
        <f t="shared" si="432"/>
        <v>1.0426766374419802</v>
      </c>
      <c r="O906" s="855">
        <f t="shared" si="432"/>
        <v>1.0397757718148468</v>
      </c>
      <c r="P906" s="855">
        <f t="shared" si="432"/>
        <v>1.0411876635217634</v>
      </c>
      <c r="Q906" s="855">
        <f t="shared" si="432"/>
        <v>1.0450028555111364</v>
      </c>
    </row>
    <row r="907" spans="1:17">
      <c r="A907" s="853" t="s">
        <v>179</v>
      </c>
      <c r="B907" s="854"/>
      <c r="C907" s="855">
        <f t="shared" si="426"/>
        <v>1.0660478880817863</v>
      </c>
      <c r="D907" s="855">
        <f t="shared" ref="D907:Q907" si="433">D590/C590</f>
        <v>1.0695268138801264</v>
      </c>
      <c r="E907" s="855">
        <f t="shared" si="433"/>
        <v>1.0765691363850871</v>
      </c>
      <c r="F907" s="855">
        <f t="shared" si="433"/>
        <v>1.0866849315068494</v>
      </c>
      <c r="G907" s="855">
        <f t="shared" si="433"/>
        <v>1.0970149253731343</v>
      </c>
      <c r="H907" s="855">
        <f t="shared" si="433"/>
        <v>1.107280750137893</v>
      </c>
      <c r="I907" s="855">
        <f t="shared" si="433"/>
        <v>1.1115815691158157</v>
      </c>
      <c r="J907" s="855">
        <f t="shared" si="433"/>
        <v>1.1042646948987975</v>
      </c>
      <c r="K907" s="855">
        <f t="shared" si="433"/>
        <v>1.0865742306391615</v>
      </c>
      <c r="L907" s="855">
        <f t="shared" si="433"/>
        <v>1.0654217242452535</v>
      </c>
      <c r="M907" s="855">
        <f t="shared" si="433"/>
        <v>1.0431759756952559</v>
      </c>
      <c r="N907" s="855">
        <f t="shared" si="433"/>
        <v>1.0269392327079248</v>
      </c>
      <c r="O907" s="855">
        <f t="shared" si="433"/>
        <v>1.0225239965095987</v>
      </c>
      <c r="P907" s="855">
        <f t="shared" si="433"/>
        <v>1.0327484132487066</v>
      </c>
      <c r="Q907" s="855">
        <f t="shared" si="433"/>
        <v>1.0512833755099933</v>
      </c>
    </row>
    <row r="908" spans="1:17">
      <c r="A908" s="853" t="s">
        <v>180</v>
      </c>
      <c r="B908" s="854"/>
      <c r="C908" s="855">
        <f t="shared" si="426"/>
        <v>1.0612403100775194</v>
      </c>
      <c r="D908" s="855">
        <f t="shared" ref="D908:Q908" si="434">D591/C591</f>
        <v>1.0655588020452886</v>
      </c>
      <c r="E908" s="855">
        <f t="shared" si="434"/>
        <v>1.0760925449871466</v>
      </c>
      <c r="F908" s="855">
        <f t="shared" si="434"/>
        <v>1.0934862239210066</v>
      </c>
      <c r="G908" s="855">
        <f t="shared" si="434"/>
        <v>1.1105447130789396</v>
      </c>
      <c r="H908" s="855">
        <f t="shared" si="434"/>
        <v>1.1276065573770493</v>
      </c>
      <c r="I908" s="855">
        <f t="shared" si="434"/>
        <v>1.1343335659455687</v>
      </c>
      <c r="J908" s="855">
        <f t="shared" si="434"/>
        <v>1.1245770532143955</v>
      </c>
      <c r="K908" s="855">
        <f t="shared" si="434"/>
        <v>1.1008388037928518</v>
      </c>
      <c r="L908" s="855">
        <f t="shared" si="434"/>
        <v>1.0732979956932251</v>
      </c>
      <c r="M908" s="855">
        <f t="shared" si="434"/>
        <v>1.0451423720966124</v>
      </c>
      <c r="N908" s="855">
        <f t="shared" si="434"/>
        <v>1.0250295333727111</v>
      </c>
      <c r="O908" s="855">
        <f t="shared" si="434"/>
        <v>1.0198804293020243</v>
      </c>
      <c r="P908" s="855">
        <f t="shared" si="434"/>
        <v>1.0335475669185676</v>
      </c>
      <c r="Q908" s="855">
        <f t="shared" si="434"/>
        <v>1.0580155801558015</v>
      </c>
    </row>
    <row r="909" spans="1:17">
      <c r="A909" s="853" t="s">
        <v>181</v>
      </c>
      <c r="B909" s="854"/>
      <c r="C909" s="855">
        <f t="shared" si="426"/>
        <v>1.0716083916083916</v>
      </c>
      <c r="D909" s="855">
        <f t="shared" ref="D909:Q909" si="435">D592/C592</f>
        <v>1.080396763247194</v>
      </c>
      <c r="E909" s="855">
        <f t="shared" si="435"/>
        <v>1.0913264073447693</v>
      </c>
      <c r="F909" s="855">
        <f t="shared" si="435"/>
        <v>1.1053796767766217</v>
      </c>
      <c r="G909" s="855">
        <f t="shared" si="435"/>
        <v>1.1177648708191468</v>
      </c>
      <c r="H909" s="855">
        <f t="shared" si="435"/>
        <v>1.1293674968643612</v>
      </c>
      <c r="I909" s="855">
        <f t="shared" si="435"/>
        <v>1.1329525622719341</v>
      </c>
      <c r="J909" s="855">
        <f t="shared" si="435"/>
        <v>1.1239322223778183</v>
      </c>
      <c r="K909" s="855">
        <f t="shared" si="435"/>
        <v>1.1040368801395466</v>
      </c>
      <c r="L909" s="855">
        <f t="shared" si="435"/>
        <v>1.0814806455253356</v>
      </c>
      <c r="M909" s="855">
        <f t="shared" si="435"/>
        <v>1.0584368151935719</v>
      </c>
      <c r="N909" s="855">
        <f t="shared" si="435"/>
        <v>1.0422951789411414</v>
      </c>
      <c r="O909" s="855">
        <f t="shared" si="435"/>
        <v>1.0378357926598563</v>
      </c>
      <c r="P909" s="855">
        <f t="shared" si="435"/>
        <v>1.0473022238425083</v>
      </c>
      <c r="Q909" s="855">
        <f t="shared" si="435"/>
        <v>1.063876076929771</v>
      </c>
    </row>
    <row r="910" spans="1:17">
      <c r="A910" s="853" t="s">
        <v>182</v>
      </c>
      <c r="B910" s="854"/>
      <c r="C910" s="855">
        <f t="shared" ref="C910:C915" si="436">C593/B593</f>
        <v>1.0747056435241573</v>
      </c>
      <c r="D910" s="855">
        <f t="shared" ref="D910:Q910" si="437">D593/C593</f>
        <v>1.0846241027578392</v>
      </c>
      <c r="E910" s="855">
        <f t="shared" si="437"/>
        <v>1.0964820619993034</v>
      </c>
      <c r="F910" s="855">
        <f t="shared" si="437"/>
        <v>1.1083227445997459</v>
      </c>
      <c r="G910" s="855">
        <f t="shared" si="437"/>
        <v>1.1189452565204929</v>
      </c>
      <c r="H910" s="855">
        <f t="shared" si="437"/>
        <v>1.127049180327869</v>
      </c>
      <c r="I910" s="855">
        <f t="shared" si="437"/>
        <v>1.1295454545454544</v>
      </c>
      <c r="J910" s="855">
        <f t="shared" si="437"/>
        <v>1.1225352112676057</v>
      </c>
      <c r="K910" s="855">
        <f t="shared" si="437"/>
        <v>1.107904642409034</v>
      </c>
      <c r="L910" s="855">
        <f t="shared" si="437"/>
        <v>1.0904384403818153</v>
      </c>
      <c r="M910" s="855">
        <f t="shared" si="437"/>
        <v>1.073293768545994</v>
      </c>
      <c r="N910" s="855">
        <f t="shared" si="437"/>
        <v>1.0613768316284213</v>
      </c>
      <c r="O910" s="855">
        <f t="shared" si="437"/>
        <v>1.0569158635061213</v>
      </c>
      <c r="P910" s="855">
        <f t="shared" si="437"/>
        <v>1.0611213801601973</v>
      </c>
      <c r="Q910" s="855">
        <f t="shared" si="437"/>
        <v>1.0695621878991988</v>
      </c>
    </row>
    <row r="911" spans="1:17">
      <c r="A911" s="853" t="s">
        <v>183</v>
      </c>
      <c r="B911" s="854"/>
      <c r="C911" s="855">
        <f t="shared" si="436"/>
        <v>1.0640744797371304</v>
      </c>
      <c r="D911" s="855">
        <f t="shared" ref="D911:Q911" si="438">D594/C594</f>
        <v>1.0730828615542973</v>
      </c>
      <c r="E911" s="855">
        <f t="shared" si="438"/>
        <v>1.0810551558752999</v>
      </c>
      <c r="F911" s="855">
        <f t="shared" si="438"/>
        <v>1.0900621118012421</v>
      </c>
      <c r="G911" s="855">
        <f t="shared" si="438"/>
        <v>1.0964590964590966</v>
      </c>
      <c r="H911" s="855">
        <f t="shared" si="438"/>
        <v>1.1020786933927245</v>
      </c>
      <c r="I911" s="855">
        <f t="shared" si="438"/>
        <v>1.1044122600202089</v>
      </c>
      <c r="J911" s="855">
        <f t="shared" si="438"/>
        <v>1.1052150045745655</v>
      </c>
      <c r="K911" s="855">
        <f t="shared" si="438"/>
        <v>1.1026490066225165</v>
      </c>
      <c r="L911" s="855">
        <f t="shared" si="438"/>
        <v>1.0993493493493494</v>
      </c>
      <c r="M911" s="855">
        <f t="shared" si="438"/>
        <v>1.096289551559299</v>
      </c>
      <c r="N911" s="855">
        <f t="shared" si="438"/>
        <v>1.0921926910299002</v>
      </c>
      <c r="O911" s="855">
        <f t="shared" si="438"/>
        <v>1.0874524714828897</v>
      </c>
      <c r="P911" s="855">
        <f t="shared" si="438"/>
        <v>1.0805944055944057</v>
      </c>
      <c r="Q911" s="855">
        <f t="shared" si="438"/>
        <v>1.0734508979129591</v>
      </c>
    </row>
    <row r="912" spans="1:17">
      <c r="A912" s="853" t="s">
        <v>184</v>
      </c>
      <c r="B912" s="854"/>
      <c r="C912" s="855">
        <f t="shared" si="436"/>
        <v>1.0520833333333333</v>
      </c>
      <c r="D912" s="855">
        <f t="shared" ref="D912:Q912" si="439">D595/C595</f>
        <v>1.0579915134370581</v>
      </c>
      <c r="E912" s="855">
        <f t="shared" si="439"/>
        <v>1.0608288770053476</v>
      </c>
      <c r="F912" s="855">
        <f t="shared" si="439"/>
        <v>1.0630119722747322</v>
      </c>
      <c r="G912" s="855">
        <f t="shared" si="439"/>
        <v>1.0646117368109069</v>
      </c>
      <c r="H912" s="855">
        <f t="shared" si="439"/>
        <v>1.0623608017817372</v>
      </c>
      <c r="I912" s="855">
        <f t="shared" si="439"/>
        <v>1.0623689727463315</v>
      </c>
      <c r="J912" s="855">
        <f t="shared" si="439"/>
        <v>1.0715342871238283</v>
      </c>
      <c r="K912" s="855">
        <f t="shared" si="439"/>
        <v>1.0911602209944751</v>
      </c>
      <c r="L912" s="855">
        <f t="shared" si="439"/>
        <v>1.1122362869198312</v>
      </c>
      <c r="M912" s="855">
        <f t="shared" si="439"/>
        <v>1.1327769347496206</v>
      </c>
      <c r="N912" s="855">
        <f t="shared" si="439"/>
        <v>1.1419959812458138</v>
      </c>
      <c r="O912" s="855">
        <f t="shared" si="439"/>
        <v>1.1313782991202346</v>
      </c>
      <c r="P912" s="855">
        <f t="shared" si="439"/>
        <v>1.106791083462934</v>
      </c>
      <c r="Q912" s="855">
        <f t="shared" si="439"/>
        <v>1.0775175644028103</v>
      </c>
    </row>
    <row r="913" spans="1:17">
      <c r="A913" s="853" t="s">
        <v>185</v>
      </c>
      <c r="B913" s="854"/>
      <c r="C913" s="855">
        <f t="shared" si="436"/>
        <v>1.0400485436893203</v>
      </c>
      <c r="D913" s="855">
        <f t="shared" ref="D913:Q913" si="440">D596/C596</f>
        <v>1.044340723453909</v>
      </c>
      <c r="E913" s="855">
        <f t="shared" si="440"/>
        <v>1.0458100558659218</v>
      </c>
      <c r="F913" s="855">
        <f t="shared" si="440"/>
        <v>1.0470085470085468</v>
      </c>
      <c r="G913" s="855">
        <f t="shared" si="440"/>
        <v>1.0459183673469388</v>
      </c>
      <c r="H913" s="855">
        <f t="shared" si="440"/>
        <v>1.0390243902439025</v>
      </c>
      <c r="I913" s="855">
        <f t="shared" si="440"/>
        <v>1.0394366197183098</v>
      </c>
      <c r="J913" s="855">
        <f t="shared" si="440"/>
        <v>1.0560072267389342</v>
      </c>
      <c r="K913" s="855">
        <f t="shared" si="440"/>
        <v>1.0958083832335328</v>
      </c>
      <c r="L913" s="855">
        <f t="shared" si="440"/>
        <v>1.1412958626073382</v>
      </c>
      <c r="M913" s="855">
        <f t="shared" si="440"/>
        <v>1.1819425444596443</v>
      </c>
      <c r="N913" s="855">
        <f t="shared" si="440"/>
        <v>1.1956018518518519</v>
      </c>
      <c r="O913" s="855">
        <f t="shared" si="440"/>
        <v>1.1766698935140369</v>
      </c>
      <c r="P913" s="855">
        <f t="shared" si="440"/>
        <v>1.1341011929247224</v>
      </c>
      <c r="Q913" s="855">
        <f t="shared" si="440"/>
        <v>1.0885019949220165</v>
      </c>
    </row>
    <row r="914" spans="1:17">
      <c r="A914" s="853" t="s">
        <v>186</v>
      </c>
      <c r="B914" s="854"/>
      <c r="C914" s="855">
        <f t="shared" si="436"/>
        <v>1.0209580838323353</v>
      </c>
      <c r="D914" s="855">
        <f t="shared" ref="D914:Q914" si="441">D597/C597</f>
        <v>1.0263929618768326</v>
      </c>
      <c r="E914" s="855">
        <f t="shared" si="441"/>
        <v>1.0428571428571429</v>
      </c>
      <c r="F914" s="855">
        <f t="shared" si="441"/>
        <v>1.0520547945205481</v>
      </c>
      <c r="G914" s="855">
        <f t="shared" si="441"/>
        <v>1.0677083333333333</v>
      </c>
      <c r="H914" s="855">
        <f t="shared" si="441"/>
        <v>1.0780487804878049</v>
      </c>
      <c r="I914" s="855">
        <f t="shared" si="441"/>
        <v>1.088235294117647</v>
      </c>
      <c r="J914" s="855">
        <f t="shared" si="441"/>
        <v>1.1185031185031187</v>
      </c>
      <c r="K914" s="855">
        <f t="shared" si="441"/>
        <v>1.1635687732342006</v>
      </c>
      <c r="L914" s="855">
        <f t="shared" si="441"/>
        <v>1.2060702875399361</v>
      </c>
      <c r="M914" s="855">
        <f t="shared" si="441"/>
        <v>1.2357615894039735</v>
      </c>
      <c r="N914" s="855">
        <f t="shared" si="441"/>
        <v>1.2368703108252945</v>
      </c>
      <c r="O914" s="855">
        <f t="shared" si="441"/>
        <v>1.207105719237435</v>
      </c>
      <c r="P914" s="855">
        <f t="shared" si="441"/>
        <v>1.1593682699210337</v>
      </c>
      <c r="Q914" s="855">
        <f t="shared" si="441"/>
        <v>1.1120743034055729</v>
      </c>
    </row>
    <row r="915" spans="1:17">
      <c r="A915" s="853" t="s">
        <v>187</v>
      </c>
      <c r="B915" s="854"/>
      <c r="C915" s="855">
        <f t="shared" si="436"/>
        <v>1.066350710900474</v>
      </c>
      <c r="D915" s="855">
        <f t="shared" ref="D915:Q915" si="442">D598/C598</f>
        <v>1.0637037037037036</v>
      </c>
      <c r="E915" s="855">
        <f t="shared" si="442"/>
        <v>1.0626740947075211</v>
      </c>
      <c r="F915" s="855">
        <f t="shared" si="442"/>
        <v>1.0655307994757535</v>
      </c>
      <c r="G915" s="855">
        <f t="shared" si="442"/>
        <v>1.0725707257072572</v>
      </c>
      <c r="H915" s="855">
        <f t="shared" si="442"/>
        <v>1.0779816513761467</v>
      </c>
      <c r="I915" s="855">
        <f t="shared" si="442"/>
        <v>1.0840425531914892</v>
      </c>
      <c r="J915" s="855">
        <f t="shared" si="442"/>
        <v>1.0912659470068697</v>
      </c>
      <c r="K915" s="855">
        <f t="shared" si="442"/>
        <v>1.099820143884892</v>
      </c>
      <c r="L915" s="855">
        <f t="shared" si="442"/>
        <v>1.1087489779231399</v>
      </c>
      <c r="M915" s="855">
        <f t="shared" si="442"/>
        <v>1.1143067846607668</v>
      </c>
      <c r="N915" s="855">
        <f t="shared" si="442"/>
        <v>1.1171409662475182</v>
      </c>
      <c r="O915" s="855">
        <f t="shared" si="442"/>
        <v>1.1208530805687205</v>
      </c>
      <c r="P915" s="855">
        <f t="shared" si="442"/>
        <v>1.1226215644820297</v>
      </c>
      <c r="Q915" s="855">
        <f t="shared" si="442"/>
        <v>1.1247645951035781</v>
      </c>
    </row>
    <row r="916" spans="1:17">
      <c r="C916" s="84"/>
      <c r="D916" s="84"/>
      <c r="E916" s="84"/>
      <c r="F916" s="84"/>
      <c r="G916" s="84"/>
      <c r="H916" s="84"/>
      <c r="I916" s="84"/>
      <c r="J916" s="84"/>
      <c r="K916" s="84"/>
      <c r="L916" s="84"/>
      <c r="M916" s="84"/>
      <c r="N916" s="84"/>
      <c r="O916" s="84"/>
      <c r="P916" s="84"/>
      <c r="Q916" s="84"/>
    </row>
    <row r="917" spans="1:17">
      <c r="C917" s="84"/>
      <c r="D917" s="84"/>
      <c r="E917" s="84"/>
      <c r="F917" s="84"/>
      <c r="G917" s="84"/>
      <c r="H917" s="84"/>
      <c r="I917" s="84"/>
      <c r="J917" s="84"/>
      <c r="K917" s="84"/>
      <c r="L917" s="84"/>
      <c r="M917" s="84"/>
      <c r="N917" s="84"/>
      <c r="O917" s="84"/>
      <c r="P917" s="84"/>
      <c r="Q917" s="84"/>
    </row>
    <row r="918" spans="1:17" ht="15.75">
      <c r="A918" s="80" t="s">
        <v>193</v>
      </c>
      <c r="C918" s="84"/>
      <c r="D918" s="84"/>
      <c r="E918" s="84"/>
      <c r="F918" s="84"/>
      <c r="G918" s="84"/>
      <c r="H918" s="84"/>
      <c r="I918" s="84"/>
      <c r="J918" s="84"/>
      <c r="K918" s="84"/>
      <c r="L918" s="84"/>
      <c r="M918" s="84"/>
      <c r="N918" s="84"/>
      <c r="O918" s="84"/>
      <c r="P918" s="84"/>
      <c r="Q918" s="84"/>
    </row>
    <row r="919" spans="1:17">
      <c r="C919" s="84"/>
      <c r="D919" s="84"/>
      <c r="E919" s="84"/>
      <c r="F919" s="84"/>
      <c r="G919" s="84"/>
      <c r="H919" s="84"/>
      <c r="I919" s="84"/>
      <c r="J919" s="84"/>
      <c r="K919" s="84"/>
      <c r="L919" s="84"/>
      <c r="M919" s="84"/>
      <c r="N919" s="84"/>
      <c r="O919" s="84"/>
      <c r="P919" s="84"/>
      <c r="Q919" s="84"/>
    </row>
    <row r="920" spans="1:17" ht="15.75">
      <c r="A920" s="388"/>
      <c r="B920" s="389">
        <v>2005</v>
      </c>
      <c r="C920" s="389">
        <v>2006</v>
      </c>
      <c r="D920" s="389">
        <v>2007</v>
      </c>
      <c r="E920" s="389">
        <v>2008</v>
      </c>
      <c r="F920" s="389">
        <v>2009</v>
      </c>
      <c r="G920" s="389">
        <v>2010</v>
      </c>
      <c r="H920" s="389">
        <v>2011</v>
      </c>
      <c r="I920" s="389">
        <v>2012</v>
      </c>
      <c r="J920" s="389">
        <v>2013</v>
      </c>
      <c r="K920" s="389">
        <v>2014</v>
      </c>
      <c r="L920" s="389">
        <v>2015</v>
      </c>
      <c r="M920" s="389">
        <v>2016</v>
      </c>
      <c r="N920" s="389">
        <v>2017</v>
      </c>
      <c r="O920" s="389">
        <v>2018</v>
      </c>
      <c r="P920" s="389">
        <v>2019</v>
      </c>
      <c r="Q920" s="389">
        <v>2020</v>
      </c>
    </row>
    <row r="921" spans="1:17">
      <c r="A921" s="853" t="s">
        <v>87</v>
      </c>
      <c r="B921" s="854"/>
      <c r="C921" s="855">
        <f t="shared" ref="C921:C951" si="443">C604/B604</f>
        <v>0.99365345871734889</v>
      </c>
      <c r="D921" s="855">
        <f t="shared" ref="D921:Q931" si="444">D604/C604</f>
        <v>0.96942257329278669</v>
      </c>
      <c r="E921" s="855">
        <f t="shared" si="444"/>
        <v>0.9544520646503778</v>
      </c>
      <c r="F921" s="855">
        <f t="shared" si="444"/>
        <v>0.95500134702955397</v>
      </c>
      <c r="G921" s="855">
        <f t="shared" si="444"/>
        <v>0.96878230251281794</v>
      </c>
      <c r="H921" s="855">
        <f t="shared" si="444"/>
        <v>0.98793579359636363</v>
      </c>
      <c r="I921" s="855">
        <f t="shared" si="444"/>
        <v>1.0031726452575265</v>
      </c>
      <c r="J921" s="855">
        <f t="shared" si="444"/>
        <v>1.0128070034971735</v>
      </c>
      <c r="K921" s="855">
        <f t="shared" si="444"/>
        <v>1.0132485482710891</v>
      </c>
      <c r="L921" s="855">
        <f t="shared" si="444"/>
        <v>1.0073095005395223</v>
      </c>
      <c r="M921" s="855">
        <f t="shared" si="444"/>
        <v>1.0000034577620536</v>
      </c>
      <c r="N921" s="855">
        <f t="shared" si="444"/>
        <v>0.99507754696143302</v>
      </c>
      <c r="O921" s="855">
        <f t="shared" si="444"/>
        <v>0.99217184686453408</v>
      </c>
      <c r="P921" s="855">
        <f t="shared" si="444"/>
        <v>0.99260040136028205</v>
      </c>
      <c r="Q921" s="855">
        <f t="shared" si="444"/>
        <v>0.99539969839409326</v>
      </c>
    </row>
    <row r="922" spans="1:17">
      <c r="A922" s="853" t="s">
        <v>88</v>
      </c>
      <c r="B922" s="854"/>
      <c r="C922" s="855">
        <f t="shared" si="443"/>
        <v>0.99420138251350576</v>
      </c>
      <c r="D922" s="855">
        <f t="shared" si="444"/>
        <v>0.98388585095777747</v>
      </c>
      <c r="E922" s="855">
        <f t="shared" si="444"/>
        <v>0.97791009775948301</v>
      </c>
      <c r="F922" s="855">
        <f t="shared" si="444"/>
        <v>0.97908456268244226</v>
      </c>
      <c r="G922" s="855">
        <f t="shared" si="444"/>
        <v>0.98582109591745593</v>
      </c>
      <c r="H922" s="855">
        <f t="shared" si="444"/>
        <v>0.99428817911463629</v>
      </c>
      <c r="I922" s="855">
        <f t="shared" si="444"/>
        <v>1.0007190475050249</v>
      </c>
      <c r="J922" s="855">
        <f t="shared" si="444"/>
        <v>1.0047791801992323</v>
      </c>
      <c r="K922" s="855">
        <f t="shared" si="444"/>
        <v>1.0050744320068135</v>
      </c>
      <c r="L922" s="855">
        <f t="shared" si="444"/>
        <v>1.0026738843658254</v>
      </c>
      <c r="M922" s="855">
        <f t="shared" si="444"/>
        <v>0.99956492367399019</v>
      </c>
      <c r="N922" s="855">
        <f t="shared" si="444"/>
        <v>0.99736685110992751</v>
      </c>
      <c r="O922" s="855">
        <f t="shared" si="444"/>
        <v>0.99604577475835099</v>
      </c>
      <c r="P922" s="855">
        <f t="shared" si="444"/>
        <v>0.99618615804241917</v>
      </c>
      <c r="Q922" s="855">
        <f t="shared" si="444"/>
        <v>0.99732521882337732</v>
      </c>
    </row>
    <row r="923" spans="1:17">
      <c r="A923" s="853" t="s">
        <v>89</v>
      </c>
      <c r="B923" s="854"/>
      <c r="C923" s="855">
        <f t="shared" si="443"/>
        <v>0.99323635450971881</v>
      </c>
      <c r="D923" s="855">
        <f t="shared" si="444"/>
        <v>0.99434721499432466</v>
      </c>
      <c r="E923" s="855">
        <f t="shared" si="444"/>
        <v>0.99534876373409387</v>
      </c>
      <c r="F923" s="855">
        <f t="shared" si="444"/>
        <v>0.99641108623122654</v>
      </c>
      <c r="G923" s="855">
        <f t="shared" si="444"/>
        <v>0.9974660384048577</v>
      </c>
      <c r="H923" s="855">
        <f t="shared" si="444"/>
        <v>0.99830038359398043</v>
      </c>
      <c r="I923" s="855">
        <f t="shared" si="444"/>
        <v>0.99882187419368973</v>
      </c>
      <c r="J923" s="855">
        <f t="shared" si="444"/>
        <v>0.99917141478488458</v>
      </c>
      <c r="K923" s="855">
        <f t="shared" si="444"/>
        <v>0.99936375996259219</v>
      </c>
      <c r="L923" s="855">
        <f t="shared" si="444"/>
        <v>0.99941913979694308</v>
      </c>
      <c r="M923" s="855">
        <f t="shared" si="444"/>
        <v>0.99928972466015975</v>
      </c>
      <c r="N923" s="855">
        <f t="shared" si="444"/>
        <v>0.99905601687998213</v>
      </c>
      <c r="O923" s="855">
        <f t="shared" si="444"/>
        <v>0.99886782721365996</v>
      </c>
      <c r="P923" s="855">
        <f t="shared" si="444"/>
        <v>0.99878888121590448</v>
      </c>
      <c r="Q923" s="855">
        <f t="shared" si="444"/>
        <v>0.99875518904734484</v>
      </c>
    </row>
    <row r="924" spans="1:17">
      <c r="A924" s="853" t="s">
        <v>90</v>
      </c>
      <c r="B924" s="854"/>
      <c r="C924" s="855">
        <f t="shared" si="443"/>
        <v>0.99093237562292935</v>
      </c>
      <c r="D924" s="855">
        <f t="shared" si="444"/>
        <v>1.0002542613357008</v>
      </c>
      <c r="E924" s="855">
        <f t="shared" si="444"/>
        <v>1.0061877937832755</v>
      </c>
      <c r="F924" s="855">
        <f t="shared" si="444"/>
        <v>1.0070521025105625</v>
      </c>
      <c r="G924" s="855">
        <f t="shared" si="444"/>
        <v>1.0042771676723186</v>
      </c>
      <c r="H924" s="855">
        <f t="shared" si="444"/>
        <v>1.0003257007569093</v>
      </c>
      <c r="I924" s="855">
        <f t="shared" si="444"/>
        <v>0.99734005677212856</v>
      </c>
      <c r="J924" s="855">
        <f t="shared" si="444"/>
        <v>0.99551182425772877</v>
      </c>
      <c r="K924" s="855">
        <f t="shared" si="444"/>
        <v>0.99569446470878398</v>
      </c>
      <c r="L924" s="855">
        <f t="shared" si="444"/>
        <v>0.99732610059360294</v>
      </c>
      <c r="M924" s="855">
        <f t="shared" si="444"/>
        <v>0.99912543439673518</v>
      </c>
      <c r="N924" s="855">
        <f t="shared" si="444"/>
        <v>1.0001834694064766</v>
      </c>
      <c r="O924" s="855">
        <f t="shared" si="444"/>
        <v>1.0007358434158817</v>
      </c>
      <c r="P924" s="855">
        <f t="shared" si="444"/>
        <v>1.0005240166118161</v>
      </c>
      <c r="Q924" s="855">
        <f t="shared" si="444"/>
        <v>0.99974407258828624</v>
      </c>
    </row>
    <row r="925" spans="1:17">
      <c r="A925" s="853" t="s">
        <v>91</v>
      </c>
      <c r="B925" s="854"/>
      <c r="C925" s="855">
        <f t="shared" si="443"/>
        <v>0.98766952134573327</v>
      </c>
      <c r="D925" s="855">
        <f t="shared" si="444"/>
        <v>1.0017020342248413</v>
      </c>
      <c r="E925" s="855">
        <f t="shared" si="444"/>
        <v>1.0105964816513147</v>
      </c>
      <c r="F925" s="855">
        <f t="shared" si="444"/>
        <v>1.0115453856589811</v>
      </c>
      <c r="G925" s="855">
        <f t="shared" si="444"/>
        <v>1.0068934033325725</v>
      </c>
      <c r="H925" s="855">
        <f t="shared" si="444"/>
        <v>1.0006711566151174</v>
      </c>
      <c r="I925" s="855">
        <f t="shared" si="444"/>
        <v>0.99615150414677833</v>
      </c>
      <c r="J925" s="855">
        <f t="shared" si="444"/>
        <v>0.99340554226648392</v>
      </c>
      <c r="K925" s="855">
        <f t="shared" si="444"/>
        <v>0.99369059131542303</v>
      </c>
      <c r="L925" s="855">
        <f t="shared" si="444"/>
        <v>0.9961777516522935</v>
      </c>
      <c r="M925" s="855">
        <f t="shared" si="444"/>
        <v>0.99901817050334718</v>
      </c>
      <c r="N925" s="855">
        <f t="shared" si="444"/>
        <v>1.0007919878052116</v>
      </c>
      <c r="O925" s="855">
        <f t="shared" si="444"/>
        <v>1.0017586580086579</v>
      </c>
      <c r="P925" s="855">
        <f t="shared" si="444"/>
        <v>1.001496678130237</v>
      </c>
      <c r="Q925" s="855">
        <f t="shared" si="444"/>
        <v>1.0003458384801551</v>
      </c>
    </row>
    <row r="926" spans="1:17">
      <c r="A926" s="853" t="s">
        <v>92</v>
      </c>
      <c r="B926" s="854"/>
      <c r="C926" s="855">
        <f t="shared" si="443"/>
        <v>0.98393172242926208</v>
      </c>
      <c r="D926" s="855">
        <f t="shared" si="444"/>
        <v>0.99937435442997102</v>
      </c>
      <c r="E926" s="855">
        <f t="shared" si="444"/>
        <v>1.0094235820010427</v>
      </c>
      <c r="F926" s="855">
        <f t="shared" si="444"/>
        <v>1.0107952528451607</v>
      </c>
      <c r="G926" s="855">
        <f t="shared" si="444"/>
        <v>1.0060165587928043</v>
      </c>
      <c r="H926" s="855">
        <f t="shared" si="444"/>
        <v>0.99961872713731847</v>
      </c>
      <c r="I926" s="855">
        <f t="shared" si="444"/>
        <v>0.99515386495875269</v>
      </c>
      <c r="J926" s="855">
        <f t="shared" si="444"/>
        <v>0.99250444861284493</v>
      </c>
      <c r="K926" s="855">
        <f t="shared" si="444"/>
        <v>0.9929920845497926</v>
      </c>
      <c r="L926" s="855">
        <f t="shared" si="444"/>
        <v>0.99576404021334097</v>
      </c>
      <c r="M926" s="855">
        <f t="shared" si="444"/>
        <v>0.99890968549860693</v>
      </c>
      <c r="N926" s="855">
        <f t="shared" si="444"/>
        <v>1.0009293582444394</v>
      </c>
      <c r="O926" s="855">
        <f t="shared" si="444"/>
        <v>1.0020484402470471</v>
      </c>
      <c r="P926" s="855">
        <f t="shared" si="444"/>
        <v>1.0018126034023755</v>
      </c>
      <c r="Q926" s="855">
        <f t="shared" si="444"/>
        <v>1.0006035736590397</v>
      </c>
    </row>
    <row r="927" spans="1:17">
      <c r="A927" s="853" t="s">
        <v>93</v>
      </c>
      <c r="B927" s="854"/>
      <c r="C927" s="855">
        <f t="shared" si="443"/>
        <v>0.98019962600415467</v>
      </c>
      <c r="D927" s="855">
        <f t="shared" si="444"/>
        <v>0.99433785915450412</v>
      </c>
      <c r="E927" s="855">
        <f t="shared" si="444"/>
        <v>1.0039684567772484</v>
      </c>
      <c r="F927" s="855">
        <f t="shared" si="444"/>
        <v>1.005955984326502</v>
      </c>
      <c r="G927" s="855">
        <f t="shared" si="444"/>
        <v>1.0023893506354962</v>
      </c>
      <c r="H927" s="855">
        <f t="shared" si="444"/>
        <v>0.99743760471982834</v>
      </c>
      <c r="I927" s="855">
        <f t="shared" si="444"/>
        <v>0.99424647415290768</v>
      </c>
      <c r="J927" s="855">
        <f t="shared" si="444"/>
        <v>0.99248442539046577</v>
      </c>
      <c r="K927" s="855">
        <f t="shared" si="444"/>
        <v>0.99325996743657663</v>
      </c>
      <c r="L927" s="855">
        <f t="shared" si="444"/>
        <v>0.99586810597913877</v>
      </c>
      <c r="M927" s="855">
        <f t="shared" si="444"/>
        <v>0.99874779094064947</v>
      </c>
      <c r="N927" s="855">
        <f t="shared" si="444"/>
        <v>1.0006454822208235</v>
      </c>
      <c r="O927" s="855">
        <f t="shared" si="444"/>
        <v>1.0017178383843626</v>
      </c>
      <c r="P927" s="855">
        <f t="shared" si="444"/>
        <v>1.0015798009464807</v>
      </c>
      <c r="Q927" s="855">
        <f t="shared" si="444"/>
        <v>1.0005660701731336</v>
      </c>
    </row>
    <row r="928" spans="1:17">
      <c r="A928" s="853" t="s">
        <v>94</v>
      </c>
      <c r="B928" s="854"/>
      <c r="C928" s="855">
        <f t="shared" si="443"/>
        <v>0.97688188391107511</v>
      </c>
      <c r="D928" s="855">
        <f t="shared" si="444"/>
        <v>0.98776201102084116</v>
      </c>
      <c r="E928" s="855">
        <f t="shared" si="444"/>
        <v>0.99572356349508295</v>
      </c>
      <c r="F928" s="855">
        <f t="shared" si="444"/>
        <v>0.99828775923676794</v>
      </c>
      <c r="G928" s="855">
        <f t="shared" si="444"/>
        <v>0.99678709037603852</v>
      </c>
      <c r="H928" s="855">
        <f t="shared" si="444"/>
        <v>0.99439343413372439</v>
      </c>
      <c r="I928" s="855">
        <f t="shared" si="444"/>
        <v>0.99334011736975303</v>
      </c>
      <c r="J928" s="855">
        <f t="shared" si="444"/>
        <v>0.9930360909642556</v>
      </c>
      <c r="K928" s="855">
        <f t="shared" si="444"/>
        <v>0.99415466005991537</v>
      </c>
      <c r="L928" s="855">
        <f t="shared" si="444"/>
        <v>0.99627091122594391</v>
      </c>
      <c r="M928" s="855">
        <f t="shared" si="444"/>
        <v>0.99847158334172748</v>
      </c>
      <c r="N928" s="855">
        <f t="shared" si="444"/>
        <v>0.99999509597526703</v>
      </c>
      <c r="O928" s="855">
        <f t="shared" si="444"/>
        <v>1.0008869322512666</v>
      </c>
      <c r="P928" s="855">
        <f t="shared" si="444"/>
        <v>1.0009008454087682</v>
      </c>
      <c r="Q928" s="855">
        <f t="shared" si="444"/>
        <v>1.0002762344006237</v>
      </c>
    </row>
    <row r="929" spans="1:17">
      <c r="A929" s="853" t="s">
        <v>95</v>
      </c>
      <c r="B929" s="854"/>
      <c r="C929" s="855">
        <f t="shared" si="443"/>
        <v>0.97426824703680592</v>
      </c>
      <c r="D929" s="855">
        <f t="shared" si="444"/>
        <v>0.98073509750587806</v>
      </c>
      <c r="E929" s="855">
        <f t="shared" si="444"/>
        <v>0.98614840712557905</v>
      </c>
      <c r="F929" s="855">
        <f t="shared" si="444"/>
        <v>0.98905292399809586</v>
      </c>
      <c r="G929" s="855">
        <f t="shared" si="444"/>
        <v>0.98998001223631349</v>
      </c>
      <c r="H929" s="855">
        <f t="shared" si="444"/>
        <v>0.99076368627636602</v>
      </c>
      <c r="I929" s="855">
        <f t="shared" si="444"/>
        <v>0.9923482462456108</v>
      </c>
      <c r="J929" s="855">
        <f t="shared" si="444"/>
        <v>0.99384350029193869</v>
      </c>
      <c r="K929" s="855">
        <f t="shared" si="444"/>
        <v>0.99533187878385265</v>
      </c>
      <c r="L929" s="855">
        <f t="shared" si="444"/>
        <v>0.99675397584079262</v>
      </c>
      <c r="M929" s="855">
        <f t="shared" si="444"/>
        <v>0.99803516202066533</v>
      </c>
      <c r="N929" s="855">
        <f t="shared" si="444"/>
        <v>0.99903346800485548</v>
      </c>
      <c r="O929" s="855">
        <f t="shared" si="444"/>
        <v>0.99966981600636884</v>
      </c>
      <c r="P929" s="855">
        <f t="shared" si="444"/>
        <v>0.99988593693362093</v>
      </c>
      <c r="Q929" s="855">
        <f t="shared" si="444"/>
        <v>0.99977814652267416</v>
      </c>
    </row>
    <row r="930" spans="1:17">
      <c r="A930" s="853" t="s">
        <v>96</v>
      </c>
      <c r="B930" s="854"/>
      <c r="C930" s="855">
        <f t="shared" si="443"/>
        <v>0.97254821060184782</v>
      </c>
      <c r="D930" s="855">
        <f t="shared" si="444"/>
        <v>0.97415399636383981</v>
      </c>
      <c r="E930" s="855">
        <f t="shared" si="444"/>
        <v>0.9765230332667677</v>
      </c>
      <c r="F930" s="855">
        <f t="shared" si="444"/>
        <v>0.97943132366903718</v>
      </c>
      <c r="G930" s="855">
        <f t="shared" si="444"/>
        <v>0.98273373793951779</v>
      </c>
      <c r="H930" s="855">
        <f t="shared" si="444"/>
        <v>0.98682798623170009</v>
      </c>
      <c r="I930" s="855">
        <f t="shared" si="444"/>
        <v>0.99118536855556816</v>
      </c>
      <c r="J930" s="855">
        <f t="shared" si="444"/>
        <v>0.99459375223114987</v>
      </c>
      <c r="K930" s="855">
        <f t="shared" si="444"/>
        <v>0.99645493117279249</v>
      </c>
      <c r="L930" s="855">
        <f t="shared" si="444"/>
        <v>0.99710314989155846</v>
      </c>
      <c r="M930" s="855">
        <f t="shared" si="444"/>
        <v>0.99737817437849752</v>
      </c>
      <c r="N930" s="855">
        <f t="shared" si="444"/>
        <v>0.99781636728493306</v>
      </c>
      <c r="O930" s="855">
        <f t="shared" si="444"/>
        <v>0.99819133207589839</v>
      </c>
      <c r="P930" s="855">
        <f t="shared" si="444"/>
        <v>0.99864051665961517</v>
      </c>
      <c r="Q930" s="855">
        <f t="shared" si="444"/>
        <v>0.99911625330617193</v>
      </c>
    </row>
    <row r="931" spans="1:17">
      <c r="A931" s="853" t="s">
        <v>97</v>
      </c>
      <c r="B931" s="854"/>
      <c r="C931" s="855">
        <f t="shared" si="443"/>
        <v>0.97098519262851291</v>
      </c>
      <c r="D931" s="855">
        <f t="shared" si="444"/>
        <v>0.96711309068034401</v>
      </c>
      <c r="E931" s="855">
        <f t="shared" si="444"/>
        <v>0.9659411688397902</v>
      </c>
      <c r="F931" s="855">
        <f t="shared" si="444"/>
        <v>0.9687174895809032</v>
      </c>
      <c r="G931" s="855">
        <f t="shared" si="444"/>
        <v>0.9747483590045658</v>
      </c>
      <c r="H931" s="855">
        <f t="shared" si="444"/>
        <v>0.98286011519626504</v>
      </c>
      <c r="I931" s="855">
        <f t="shared" si="444"/>
        <v>0.99065320877285823</v>
      </c>
      <c r="J931" s="855">
        <f t="shared" si="444"/>
        <v>0.99637976095038305</v>
      </c>
      <c r="K931" s="855">
        <f t="shared" si="444"/>
        <v>0.99853742002268553</v>
      </c>
      <c r="L931" s="855">
        <f t="shared" si="444"/>
        <v>0.99799350283673627</v>
      </c>
      <c r="M931" s="855">
        <f t="shared" si="444"/>
        <v>0.99675939099757149</v>
      </c>
      <c r="N931" s="855">
        <f t="shared" si="444"/>
        <v>0.99625965919799564</v>
      </c>
      <c r="O931" s="855">
        <f t="shared" si="444"/>
        <v>0.99613711637197744</v>
      </c>
      <c r="P931" s="855">
        <f t="shared" si="444"/>
        <v>0.99683082070502549</v>
      </c>
      <c r="Q931" s="855">
        <f t="shared" si="444"/>
        <v>0.99807591688129027</v>
      </c>
    </row>
    <row r="932" spans="1:17">
      <c r="A932" s="853" t="s">
        <v>98</v>
      </c>
      <c r="B932" s="854"/>
      <c r="C932" s="855">
        <f t="shared" si="443"/>
        <v>0.96895788470383226</v>
      </c>
      <c r="D932" s="855">
        <f t="shared" ref="D932:Q947" si="445">D615/C615</f>
        <v>0.95886092342342333</v>
      </c>
      <c r="E932" s="855">
        <f t="shared" si="445"/>
        <v>0.9535872436854681</v>
      </c>
      <c r="F932" s="855">
        <f t="shared" si="445"/>
        <v>0.95620540440015056</v>
      </c>
      <c r="G932" s="855">
        <f t="shared" si="445"/>
        <v>0.96565838968920936</v>
      </c>
      <c r="H932" s="855">
        <f t="shared" si="445"/>
        <v>0.97907774552904514</v>
      </c>
      <c r="I932" s="855">
        <f t="shared" si="445"/>
        <v>0.9915447617438784</v>
      </c>
      <c r="J932" s="855">
        <f t="shared" si="445"/>
        <v>1.0003050139763723</v>
      </c>
      <c r="K932" s="855">
        <f t="shared" si="445"/>
        <v>1.0025904547374349</v>
      </c>
      <c r="L932" s="855">
        <f t="shared" si="445"/>
        <v>1.0000931578950973</v>
      </c>
      <c r="M932" s="855">
        <f t="shared" si="445"/>
        <v>0.9964322479851343</v>
      </c>
      <c r="N932" s="855">
        <f t="shared" si="445"/>
        <v>0.99428105586006199</v>
      </c>
      <c r="O932" s="855">
        <f t="shared" si="445"/>
        <v>0.99321739322803959</v>
      </c>
      <c r="P932" s="855">
        <f t="shared" si="445"/>
        <v>0.9941267489070309</v>
      </c>
      <c r="Q932" s="855">
        <f t="shared" si="445"/>
        <v>0.99644668806822367</v>
      </c>
    </row>
    <row r="933" spans="1:17">
      <c r="A933" s="853" t="s">
        <v>99</v>
      </c>
      <c r="B933" s="854"/>
      <c r="C933" s="855">
        <f t="shared" si="443"/>
        <v>0.97063620842542708</v>
      </c>
      <c r="D933" s="855">
        <f t="shared" si="445"/>
        <v>0.95734346936582715</v>
      </c>
      <c r="E933" s="855">
        <f t="shared" si="445"/>
        <v>0.94964022219057109</v>
      </c>
      <c r="F933" s="855">
        <f t="shared" si="445"/>
        <v>0.951331728715618</v>
      </c>
      <c r="G933" s="855">
        <f t="shared" si="445"/>
        <v>0.96130559179887143</v>
      </c>
      <c r="H933" s="855">
        <f t="shared" si="445"/>
        <v>0.97591207931911716</v>
      </c>
      <c r="I933" s="855">
        <f t="shared" si="445"/>
        <v>0.98937993015853809</v>
      </c>
      <c r="J933" s="855">
        <f t="shared" si="445"/>
        <v>0.99895913730691055</v>
      </c>
      <c r="K933" s="855">
        <f t="shared" si="445"/>
        <v>1.0014717844502301</v>
      </c>
      <c r="L933" s="855">
        <f t="shared" si="445"/>
        <v>0.99874769777410743</v>
      </c>
      <c r="M933" s="855">
        <f t="shared" si="445"/>
        <v>0.99482743614362146</v>
      </c>
      <c r="N933" s="855">
        <f t="shared" si="445"/>
        <v>0.99265500462394329</v>
      </c>
      <c r="O933" s="855">
        <f t="shared" si="445"/>
        <v>0.9916738449801038</v>
      </c>
      <c r="P933" s="855">
        <f t="shared" si="445"/>
        <v>0.99284959925676919</v>
      </c>
      <c r="Q933" s="855">
        <f t="shared" si="445"/>
        <v>0.99557032270066259</v>
      </c>
    </row>
    <row r="934" spans="1:17">
      <c r="A934" s="853" t="s">
        <v>100</v>
      </c>
      <c r="B934" s="854"/>
      <c r="C934" s="855">
        <f t="shared" si="443"/>
        <v>0.97759363543396727</v>
      </c>
      <c r="D934" s="855">
        <f t="shared" si="445"/>
        <v>0.96535833713985297</v>
      </c>
      <c r="E934" s="855">
        <f t="shared" si="445"/>
        <v>0.95773798330834481</v>
      </c>
      <c r="F934" s="855">
        <f t="shared" si="445"/>
        <v>0.95768792242892586</v>
      </c>
      <c r="G934" s="855">
        <f t="shared" si="445"/>
        <v>0.96414379469858635</v>
      </c>
      <c r="H934" s="855">
        <f t="shared" si="445"/>
        <v>0.97382272621727761</v>
      </c>
      <c r="I934" s="855">
        <f t="shared" si="445"/>
        <v>0.98267158493703044</v>
      </c>
      <c r="J934" s="855">
        <f t="shared" si="445"/>
        <v>0.9895688891790082</v>
      </c>
      <c r="K934" s="855">
        <f t="shared" si="445"/>
        <v>0.99240403598887783</v>
      </c>
      <c r="L934" s="855">
        <f t="shared" si="445"/>
        <v>0.99210754419405967</v>
      </c>
      <c r="M934" s="855">
        <f t="shared" si="445"/>
        <v>0.99130777278934967</v>
      </c>
      <c r="N934" s="855">
        <f t="shared" si="445"/>
        <v>0.99168486030155689</v>
      </c>
      <c r="O934" s="855">
        <f t="shared" si="445"/>
        <v>0.99243916845309643</v>
      </c>
      <c r="P934" s="855">
        <f t="shared" si="445"/>
        <v>0.99396934730358244</v>
      </c>
      <c r="Q934" s="855">
        <f t="shared" si="445"/>
        <v>0.99600472036182919</v>
      </c>
    </row>
    <row r="935" spans="1:17">
      <c r="A935" s="853" t="s">
        <v>101</v>
      </c>
      <c r="B935" s="854"/>
      <c r="C935" s="855">
        <f t="shared" si="443"/>
        <v>0.98790641132797752</v>
      </c>
      <c r="D935" s="855">
        <f t="shared" si="445"/>
        <v>0.97915924099928231</v>
      </c>
      <c r="E935" s="855">
        <f t="shared" si="445"/>
        <v>0.97284840861704924</v>
      </c>
      <c r="F935" s="855">
        <f t="shared" si="445"/>
        <v>0.97038333147470845</v>
      </c>
      <c r="G935" s="855">
        <f t="shared" si="445"/>
        <v>0.97113906033064601</v>
      </c>
      <c r="H935" s="855">
        <f t="shared" si="445"/>
        <v>0.97292199530739221</v>
      </c>
      <c r="I935" s="855">
        <f t="shared" si="445"/>
        <v>0.97447192881504097</v>
      </c>
      <c r="J935" s="855">
        <f t="shared" si="445"/>
        <v>0.97677341934878903</v>
      </c>
      <c r="K935" s="855">
        <f t="shared" si="445"/>
        <v>0.97958307333254635</v>
      </c>
      <c r="L935" s="855">
        <f t="shared" si="445"/>
        <v>0.98277232076048893</v>
      </c>
      <c r="M935" s="855">
        <f t="shared" si="445"/>
        <v>0.98673938075785173</v>
      </c>
      <c r="N935" s="855">
        <f t="shared" si="445"/>
        <v>0.990993439345355</v>
      </c>
      <c r="O935" s="855">
        <f t="shared" si="445"/>
        <v>0.99436159906511279</v>
      </c>
      <c r="P935" s="855">
        <f t="shared" si="445"/>
        <v>0.99626502392394223</v>
      </c>
      <c r="Q935" s="855">
        <f t="shared" si="445"/>
        <v>0.99701681475942894</v>
      </c>
    </row>
    <row r="936" spans="1:17">
      <c r="A936" s="853" t="s">
        <v>102</v>
      </c>
      <c r="B936" s="854"/>
      <c r="C936" s="855">
        <f t="shared" si="443"/>
        <v>0.99789974781898949</v>
      </c>
      <c r="D936" s="855">
        <f t="shared" si="445"/>
        <v>0.9918699537900022</v>
      </c>
      <c r="E936" s="855">
        <f t="shared" si="445"/>
        <v>0.98619362432863777</v>
      </c>
      <c r="F936" s="855">
        <f t="shared" si="445"/>
        <v>0.98120177998989544</v>
      </c>
      <c r="G936" s="855">
        <f t="shared" si="445"/>
        <v>0.97693655064020479</v>
      </c>
      <c r="H936" s="855">
        <f t="shared" si="445"/>
        <v>0.9721375910348673</v>
      </c>
      <c r="I936" s="855">
        <f t="shared" si="445"/>
        <v>0.96764150552527062</v>
      </c>
      <c r="J936" s="855">
        <f t="shared" si="445"/>
        <v>0.96599483741528236</v>
      </c>
      <c r="K936" s="855">
        <f t="shared" si="445"/>
        <v>0.96857299713091105</v>
      </c>
      <c r="L936" s="855">
        <f t="shared" si="445"/>
        <v>0.97464200165270232</v>
      </c>
      <c r="M936" s="855">
        <f t="shared" si="445"/>
        <v>0.98284912813550596</v>
      </c>
      <c r="N936" s="855">
        <f t="shared" si="445"/>
        <v>0.99067946349416713</v>
      </c>
      <c r="O936" s="855">
        <f t="shared" si="445"/>
        <v>0.99643703990487764</v>
      </c>
      <c r="P936" s="855">
        <f t="shared" si="445"/>
        <v>0.99858893966524487</v>
      </c>
      <c r="Q936" s="855">
        <f t="shared" si="445"/>
        <v>0.9980178469927421</v>
      </c>
    </row>
    <row r="937" spans="1:17">
      <c r="A937" s="853" t="s">
        <v>103</v>
      </c>
      <c r="B937" s="854"/>
      <c r="C937" s="855">
        <f t="shared" si="443"/>
        <v>1.0087087551699041</v>
      </c>
      <c r="D937" s="855">
        <f t="shared" si="445"/>
        <v>1.0052224820561566</v>
      </c>
      <c r="E937" s="855">
        <f t="shared" si="445"/>
        <v>0.99974103842516981</v>
      </c>
      <c r="F937" s="855">
        <f t="shared" si="445"/>
        <v>0.99173902809439818</v>
      </c>
      <c r="G937" s="855">
        <f t="shared" si="445"/>
        <v>0.98221494657602093</v>
      </c>
      <c r="H937" s="855">
        <f t="shared" si="445"/>
        <v>0.97082155240661916</v>
      </c>
      <c r="I937" s="855">
        <f t="shared" si="445"/>
        <v>0.96029586592381955</v>
      </c>
      <c r="J937" s="855">
        <f t="shared" si="445"/>
        <v>0.95466752039236669</v>
      </c>
      <c r="K937" s="855">
        <f t="shared" si="445"/>
        <v>0.95703809035588561</v>
      </c>
      <c r="L937" s="855">
        <f t="shared" si="445"/>
        <v>0.96631270098805977</v>
      </c>
      <c r="M937" s="855">
        <f t="shared" si="445"/>
        <v>0.97949359350744403</v>
      </c>
      <c r="N937" s="855">
        <f t="shared" si="445"/>
        <v>0.99166102112459198</v>
      </c>
      <c r="O937" s="855">
        <f t="shared" si="445"/>
        <v>1.0002111591394645</v>
      </c>
      <c r="P937" s="855">
        <f t="shared" si="445"/>
        <v>1.0024229880299425</v>
      </c>
      <c r="Q937" s="855">
        <f t="shared" si="445"/>
        <v>0.99995870504527995</v>
      </c>
    </row>
    <row r="938" spans="1:17">
      <c r="A938" s="853" t="s">
        <v>104</v>
      </c>
      <c r="B938" s="854"/>
      <c r="C938" s="855">
        <f t="shared" si="443"/>
        <v>1.0162882625742278</v>
      </c>
      <c r="D938" s="855">
        <f t="shared" si="445"/>
        <v>1.0147168581323267</v>
      </c>
      <c r="E938" s="855">
        <f t="shared" si="445"/>
        <v>1.0096328922674289</v>
      </c>
      <c r="F938" s="855">
        <f t="shared" si="445"/>
        <v>1.0001279023848999</v>
      </c>
      <c r="G938" s="855">
        <f t="shared" si="445"/>
        <v>0.98790144889541098</v>
      </c>
      <c r="H938" s="855">
        <f t="shared" si="445"/>
        <v>0.97336790426577402</v>
      </c>
      <c r="I938" s="855">
        <f t="shared" si="445"/>
        <v>0.96010065438650649</v>
      </c>
      <c r="J938" s="855">
        <f t="shared" si="445"/>
        <v>0.95235223125622992</v>
      </c>
      <c r="K938" s="855">
        <f t="shared" si="445"/>
        <v>0.95379370740620661</v>
      </c>
      <c r="L938" s="855">
        <f t="shared" si="445"/>
        <v>0.96324611940706306</v>
      </c>
      <c r="M938" s="855">
        <f t="shared" si="445"/>
        <v>0.97704475741284325</v>
      </c>
      <c r="N938" s="855">
        <f t="shared" si="445"/>
        <v>0.98965399206427984</v>
      </c>
      <c r="O938" s="855">
        <f t="shared" si="445"/>
        <v>0.99861034078373501</v>
      </c>
      <c r="P938" s="855">
        <f t="shared" si="445"/>
        <v>1.0009372929177001</v>
      </c>
      <c r="Q938" s="855">
        <f t="shared" si="445"/>
        <v>0.99835171810352696</v>
      </c>
    </row>
    <row r="939" spans="1:17">
      <c r="A939" s="853" t="s">
        <v>105</v>
      </c>
      <c r="B939" s="854"/>
      <c r="C939" s="855">
        <f t="shared" si="443"/>
        <v>1.0180887187442185</v>
      </c>
      <c r="D939" s="855">
        <f t="shared" si="445"/>
        <v>1.0174765760985343</v>
      </c>
      <c r="E939" s="855">
        <f t="shared" si="445"/>
        <v>1.0134494179557478</v>
      </c>
      <c r="F939" s="855">
        <f t="shared" si="445"/>
        <v>1.0051540494127205</v>
      </c>
      <c r="G939" s="855">
        <f t="shared" si="445"/>
        <v>0.99422717763418389</v>
      </c>
      <c r="H939" s="855">
        <f t="shared" si="445"/>
        <v>0.98159073459632074</v>
      </c>
      <c r="I939" s="855">
        <f t="shared" si="445"/>
        <v>0.97023863814130795</v>
      </c>
      <c r="J939" s="855">
        <f t="shared" si="445"/>
        <v>0.96309117334209948</v>
      </c>
      <c r="K939" s="855">
        <f t="shared" si="445"/>
        <v>0.96270661853701478</v>
      </c>
      <c r="L939" s="855">
        <f t="shared" si="445"/>
        <v>0.96802491348120179</v>
      </c>
      <c r="M939" s="855">
        <f t="shared" si="445"/>
        <v>0.97600034531877244</v>
      </c>
      <c r="N939" s="855">
        <f t="shared" si="445"/>
        <v>0.98317971211305266</v>
      </c>
      <c r="O939" s="855">
        <f t="shared" si="445"/>
        <v>0.98885813588271632</v>
      </c>
      <c r="P939" s="855">
        <f t="shared" si="445"/>
        <v>0.99132551043822015</v>
      </c>
      <c r="Q939" s="855">
        <f t="shared" si="445"/>
        <v>0.99132316064232084</v>
      </c>
    </row>
    <row r="940" spans="1:17">
      <c r="A940" s="853" t="s">
        <v>106</v>
      </c>
      <c r="B940" s="854"/>
      <c r="C940" s="855">
        <f t="shared" si="443"/>
        <v>1.0158249178017849</v>
      </c>
      <c r="D940" s="855">
        <f t="shared" si="445"/>
        <v>1.0155570056521013</v>
      </c>
      <c r="E940" s="855">
        <f t="shared" si="445"/>
        <v>1.0131383571163113</v>
      </c>
      <c r="F940" s="855">
        <f t="shared" si="445"/>
        <v>1.0080150369013019</v>
      </c>
      <c r="G940" s="855">
        <f t="shared" si="445"/>
        <v>1.0011457728449606</v>
      </c>
      <c r="H940" s="855">
        <f t="shared" si="445"/>
        <v>0.99368319567509322</v>
      </c>
      <c r="I940" s="855">
        <f t="shared" si="445"/>
        <v>0.98699870597659534</v>
      </c>
      <c r="J940" s="855">
        <f t="shared" si="445"/>
        <v>0.98169668220084794</v>
      </c>
      <c r="K940" s="855">
        <f t="shared" si="445"/>
        <v>0.97856356580900894</v>
      </c>
      <c r="L940" s="855">
        <f t="shared" si="445"/>
        <v>0.9772573930901326</v>
      </c>
      <c r="M940" s="855">
        <f t="shared" si="445"/>
        <v>0.9762475061967234</v>
      </c>
      <c r="N940" s="855">
        <f t="shared" si="445"/>
        <v>0.97525283144590902</v>
      </c>
      <c r="O940" s="855">
        <f t="shared" si="445"/>
        <v>0.97568211301527974</v>
      </c>
      <c r="P940" s="855">
        <f t="shared" si="445"/>
        <v>0.97789921851001449</v>
      </c>
      <c r="Q940" s="855">
        <f t="shared" si="445"/>
        <v>0.98153458721024267</v>
      </c>
    </row>
    <row r="941" spans="1:17">
      <c r="A941" s="853" t="s">
        <v>107</v>
      </c>
      <c r="B941" s="854"/>
      <c r="C941" s="855">
        <f t="shared" si="443"/>
        <v>1.0142382136497543</v>
      </c>
      <c r="D941" s="855">
        <f t="shared" si="445"/>
        <v>1.0146876566778222</v>
      </c>
      <c r="E941" s="855">
        <f t="shared" si="445"/>
        <v>1.014013408904282</v>
      </c>
      <c r="F941" s="855">
        <f t="shared" si="445"/>
        <v>1.0118880797258174</v>
      </c>
      <c r="G941" s="855">
        <f t="shared" si="445"/>
        <v>1.0086645988998375</v>
      </c>
      <c r="H941" s="855">
        <f t="shared" si="445"/>
        <v>1.0057404685349427</v>
      </c>
      <c r="I941" s="855">
        <f t="shared" si="445"/>
        <v>1.0028907159640454</v>
      </c>
      <c r="J941" s="855">
        <f t="shared" si="445"/>
        <v>0.99856926995444284</v>
      </c>
      <c r="K941" s="855">
        <f t="shared" si="445"/>
        <v>0.9923700219390893</v>
      </c>
      <c r="L941" s="855">
        <f t="shared" si="445"/>
        <v>0.98505984905768051</v>
      </c>
      <c r="M941" s="855">
        <f t="shared" si="445"/>
        <v>0.97646431788754717</v>
      </c>
      <c r="N941" s="855">
        <f t="shared" si="445"/>
        <v>0.96866781092351972</v>
      </c>
      <c r="O941" s="855">
        <f t="shared" si="445"/>
        <v>0.9645907290219683</v>
      </c>
      <c r="P941" s="855">
        <f t="shared" si="445"/>
        <v>0.96635521733194907</v>
      </c>
      <c r="Q941" s="855">
        <f t="shared" si="445"/>
        <v>0.97298588350938442</v>
      </c>
    </row>
    <row r="942" spans="1:17">
      <c r="A942" s="853" t="s">
        <v>108</v>
      </c>
      <c r="B942" s="854"/>
      <c r="C942" s="855">
        <f t="shared" si="443"/>
        <v>1.012657996039364</v>
      </c>
      <c r="D942" s="855">
        <f t="shared" si="445"/>
        <v>1.0142183759460575</v>
      </c>
      <c r="E942" s="855">
        <f t="shared" si="445"/>
        <v>1.0156453090511119</v>
      </c>
      <c r="F942" s="855">
        <f t="shared" si="445"/>
        <v>1.0167984763989548</v>
      </c>
      <c r="G942" s="855">
        <f t="shared" si="445"/>
        <v>1.0173532782615167</v>
      </c>
      <c r="H942" s="855">
        <f t="shared" si="445"/>
        <v>1.0190165803278612</v>
      </c>
      <c r="I942" s="855">
        <f t="shared" si="445"/>
        <v>1.0197402236417505</v>
      </c>
      <c r="J942" s="855">
        <f t="shared" si="445"/>
        <v>1.0157188394043837</v>
      </c>
      <c r="K942" s="855">
        <f t="shared" si="445"/>
        <v>1.0057492136346575</v>
      </c>
      <c r="L942" s="855">
        <f t="shared" si="445"/>
        <v>0.99213747023021959</v>
      </c>
      <c r="M942" s="855">
        <f t="shared" si="445"/>
        <v>0.97601488727302632</v>
      </c>
      <c r="N942" s="855">
        <f t="shared" si="445"/>
        <v>0.96154724214670939</v>
      </c>
      <c r="O942" s="855">
        <f t="shared" si="445"/>
        <v>0.95300810976754213</v>
      </c>
      <c r="P942" s="855">
        <f t="shared" si="445"/>
        <v>0.95434286126104628</v>
      </c>
      <c r="Q942" s="855">
        <f t="shared" si="445"/>
        <v>0.96425806997614083</v>
      </c>
    </row>
    <row r="943" spans="1:17">
      <c r="A943" s="853" t="s">
        <v>109</v>
      </c>
      <c r="B943" s="854"/>
      <c r="C943" s="855">
        <f t="shared" si="443"/>
        <v>1.0102201647971378</v>
      </c>
      <c r="D943" s="855">
        <f t="shared" si="445"/>
        <v>1.0120272770810861</v>
      </c>
      <c r="E943" s="855">
        <f t="shared" si="445"/>
        <v>1.0148808117294081</v>
      </c>
      <c r="F943" s="855">
        <f t="shared" si="445"/>
        <v>1.0189127095547725</v>
      </c>
      <c r="G943" s="855">
        <f t="shared" si="445"/>
        <v>1.0230651223630465</v>
      </c>
      <c r="H943" s="855">
        <f t="shared" si="445"/>
        <v>1.0288033225780162</v>
      </c>
      <c r="I943" s="855">
        <f t="shared" si="445"/>
        <v>1.0325109035657141</v>
      </c>
      <c r="J943" s="855">
        <f t="shared" si="445"/>
        <v>1.0290026630053657</v>
      </c>
      <c r="K943" s="855">
        <f t="shared" si="445"/>
        <v>1.0167940482719122</v>
      </c>
      <c r="L943" s="855">
        <f t="shared" si="445"/>
        <v>0.9994736870692138</v>
      </c>
      <c r="M943" s="855">
        <f t="shared" si="445"/>
        <v>0.97933201857901098</v>
      </c>
      <c r="N943" s="855">
        <f t="shared" si="445"/>
        <v>0.96152840921387117</v>
      </c>
      <c r="O943" s="855">
        <f t="shared" si="445"/>
        <v>0.95045992593400541</v>
      </c>
      <c r="P943" s="855">
        <f t="shared" si="445"/>
        <v>0.95071214017293926</v>
      </c>
      <c r="Q943" s="855">
        <f t="shared" si="445"/>
        <v>0.96088743954225508</v>
      </c>
    </row>
    <row r="944" spans="1:17">
      <c r="A944" s="853" t="s">
        <v>110</v>
      </c>
      <c r="B944" s="854"/>
      <c r="C944" s="855">
        <f t="shared" si="443"/>
        <v>1.0071676141597929</v>
      </c>
      <c r="D944" s="855">
        <f t="shared" si="445"/>
        <v>1.00776549735704</v>
      </c>
      <c r="E944" s="855">
        <f t="shared" si="445"/>
        <v>1.0106442801792375</v>
      </c>
      <c r="F944" s="855">
        <f t="shared" si="445"/>
        <v>1.0163631334906043</v>
      </c>
      <c r="G944" s="855">
        <f t="shared" si="445"/>
        <v>1.0232908964129781</v>
      </c>
      <c r="H944" s="855">
        <f t="shared" si="445"/>
        <v>1.0318813573745544</v>
      </c>
      <c r="I944" s="855">
        <f t="shared" si="445"/>
        <v>1.0377334234837896</v>
      </c>
      <c r="J944" s="855">
        <f t="shared" si="445"/>
        <v>1.0356852980825924</v>
      </c>
      <c r="K944" s="855">
        <f t="shared" si="445"/>
        <v>1.0242452281946974</v>
      </c>
      <c r="L944" s="855">
        <f t="shared" si="445"/>
        <v>1.0073649222579297</v>
      </c>
      <c r="M944" s="855">
        <f t="shared" si="445"/>
        <v>0.98826345249057823</v>
      </c>
      <c r="N944" s="855">
        <f t="shared" si="445"/>
        <v>0.97177564601617139</v>
      </c>
      <c r="O944" s="855">
        <f t="shared" si="445"/>
        <v>0.96095623654811935</v>
      </c>
      <c r="P944" s="855">
        <f t="shared" si="445"/>
        <v>0.959342035173542</v>
      </c>
      <c r="Q944" s="855">
        <f t="shared" si="445"/>
        <v>0.96551046865764389</v>
      </c>
    </row>
    <row r="945" spans="1:17">
      <c r="A945" s="853" t="s">
        <v>111</v>
      </c>
      <c r="B945" s="854"/>
      <c r="C945" s="855">
        <f t="shared" si="443"/>
        <v>1.003866991737776</v>
      </c>
      <c r="D945" s="855">
        <f t="shared" si="445"/>
        <v>1.0023267737517794</v>
      </c>
      <c r="E945" s="855">
        <f t="shared" si="445"/>
        <v>1.0042092963932912</v>
      </c>
      <c r="F945" s="855">
        <f t="shared" si="445"/>
        <v>1.0106037950071483</v>
      </c>
      <c r="G945" s="855">
        <f t="shared" si="445"/>
        <v>1.0195246956893131</v>
      </c>
      <c r="H945" s="855">
        <f t="shared" si="445"/>
        <v>1.0300005073916556</v>
      </c>
      <c r="I945" s="855">
        <f t="shared" si="445"/>
        <v>1.0374373260460288</v>
      </c>
      <c r="J945" s="855">
        <f t="shared" si="445"/>
        <v>1.0376776603470812</v>
      </c>
      <c r="K945" s="855">
        <f t="shared" si="445"/>
        <v>1.02927905862089</v>
      </c>
      <c r="L945" s="855">
        <f t="shared" si="445"/>
        <v>1.0157540364018556</v>
      </c>
      <c r="M945" s="855">
        <f t="shared" si="445"/>
        <v>1.0009993765820424</v>
      </c>
      <c r="N945" s="855">
        <f t="shared" si="445"/>
        <v>0.98857946557302789</v>
      </c>
      <c r="O945" s="855">
        <f t="shared" si="445"/>
        <v>0.97932372716143123</v>
      </c>
      <c r="P945" s="855">
        <f t="shared" si="445"/>
        <v>0.9750147071085129</v>
      </c>
      <c r="Q945" s="855">
        <f t="shared" si="445"/>
        <v>0.97469987914995215</v>
      </c>
    </row>
    <row r="946" spans="1:17">
      <c r="A946" s="853" t="s">
        <v>112</v>
      </c>
      <c r="B946" s="854"/>
      <c r="C946" s="855">
        <f t="shared" si="443"/>
        <v>1.0000928974082313</v>
      </c>
      <c r="D946" s="855">
        <f t="shared" si="445"/>
        <v>0.99639591537075334</v>
      </c>
      <c r="E946" s="855">
        <f t="shared" si="445"/>
        <v>0.99733031883561574</v>
      </c>
      <c r="F946" s="855">
        <f t="shared" si="445"/>
        <v>1.0046183235970025</v>
      </c>
      <c r="G946" s="855">
        <f t="shared" si="445"/>
        <v>1.015931993353169</v>
      </c>
      <c r="H946" s="855">
        <f t="shared" si="445"/>
        <v>1.0288066820756387</v>
      </c>
      <c r="I946" s="855">
        <f t="shared" si="445"/>
        <v>1.0382401524568166</v>
      </c>
      <c r="J946" s="855">
        <f t="shared" si="445"/>
        <v>1.0408952508945777</v>
      </c>
      <c r="K946" s="855">
        <f t="shared" si="445"/>
        <v>1.0353242315612845</v>
      </c>
      <c r="L946" s="855">
        <f t="shared" si="445"/>
        <v>1.0247022720267427</v>
      </c>
      <c r="M946" s="855">
        <f t="shared" si="445"/>
        <v>1.0136551788395916</v>
      </c>
      <c r="N946" s="855">
        <f t="shared" si="445"/>
        <v>1.00449948735349</v>
      </c>
      <c r="O946" s="855">
        <f t="shared" si="445"/>
        <v>0.99598046265349338</v>
      </c>
      <c r="P946" s="855">
        <f t="shared" si="445"/>
        <v>0.98867480661987017</v>
      </c>
      <c r="Q946" s="855">
        <f t="shared" si="445"/>
        <v>0.98247945812118387</v>
      </c>
    </row>
    <row r="947" spans="1:17">
      <c r="A947" s="853" t="s">
        <v>113</v>
      </c>
      <c r="B947" s="854"/>
      <c r="C947" s="855">
        <f t="shared" si="443"/>
        <v>0.99556229974781507</v>
      </c>
      <c r="D947" s="855">
        <f t="shared" si="445"/>
        <v>0.98927087289824744</v>
      </c>
      <c r="E947" s="855">
        <f t="shared" si="445"/>
        <v>0.98901257216664951</v>
      </c>
      <c r="F947" s="855">
        <f t="shared" si="445"/>
        <v>0.99734927880147795</v>
      </c>
      <c r="G947" s="855">
        <f t="shared" si="445"/>
        <v>1.0116181939708855</v>
      </c>
      <c r="H947" s="855">
        <f t="shared" si="445"/>
        <v>1.0276208947559702</v>
      </c>
      <c r="I947" s="855">
        <f t="shared" si="445"/>
        <v>1.0396429305551422</v>
      </c>
      <c r="J947" s="855">
        <f t="shared" si="445"/>
        <v>1.0451698629699258</v>
      </c>
      <c r="K947" s="855">
        <f t="shared" si="445"/>
        <v>1.0426584900420637</v>
      </c>
      <c r="L947" s="855">
        <f t="shared" si="445"/>
        <v>1.0349509889564796</v>
      </c>
      <c r="M947" s="855">
        <f t="shared" si="445"/>
        <v>1.0275570891610868</v>
      </c>
      <c r="N947" s="855">
        <f t="shared" si="445"/>
        <v>1.0213656434479363</v>
      </c>
      <c r="O947" s="855">
        <f t="shared" si="445"/>
        <v>1.0129167852406593</v>
      </c>
      <c r="P947" s="855">
        <f t="shared" si="445"/>
        <v>1.0019205559451452</v>
      </c>
      <c r="Q947" s="855">
        <f t="shared" si="445"/>
        <v>0.9895455804932114</v>
      </c>
    </row>
    <row r="948" spans="1:17">
      <c r="A948" s="853" t="s">
        <v>114</v>
      </c>
      <c r="B948" s="854"/>
      <c r="C948" s="855">
        <f t="shared" si="443"/>
        <v>0.99345410454833594</v>
      </c>
      <c r="D948" s="855">
        <f t="shared" ref="D948:Q963" si="446">D631/C631</f>
        <v>0.98595160377520286</v>
      </c>
      <c r="E948" s="855">
        <f t="shared" si="446"/>
        <v>0.98484767225109937</v>
      </c>
      <c r="F948" s="855">
        <f t="shared" si="446"/>
        <v>0.9930214639839694</v>
      </c>
      <c r="G948" s="855">
        <f t="shared" si="446"/>
        <v>1.0078916672471723</v>
      </c>
      <c r="H948" s="855">
        <f t="shared" si="446"/>
        <v>1.0244160679741214</v>
      </c>
      <c r="I948" s="855">
        <f t="shared" si="446"/>
        <v>1.0371289082966926</v>
      </c>
      <c r="J948" s="855">
        <f t="shared" si="446"/>
        <v>1.0445382094196198</v>
      </c>
      <c r="K948" s="855">
        <f t="shared" si="446"/>
        <v>1.0451276417986395</v>
      </c>
      <c r="L948" s="855">
        <f t="shared" si="446"/>
        <v>1.0409235388163458</v>
      </c>
      <c r="M948" s="855">
        <f t="shared" si="446"/>
        <v>1.0373950447287437</v>
      </c>
      <c r="N948" s="855">
        <f t="shared" si="446"/>
        <v>1.0340733774330579</v>
      </c>
      <c r="O948" s="855">
        <f t="shared" si="446"/>
        <v>1.026185768226572</v>
      </c>
      <c r="P948" s="855">
        <f t="shared" si="446"/>
        <v>1.0130683157241347</v>
      </c>
      <c r="Q948" s="855">
        <f t="shared" si="446"/>
        <v>0.99701015727391862</v>
      </c>
    </row>
    <row r="949" spans="1:17">
      <c r="A949" s="853" t="s">
        <v>115</v>
      </c>
      <c r="B949" s="854"/>
      <c r="C949" s="855">
        <f t="shared" si="443"/>
        <v>0.99537290649460297</v>
      </c>
      <c r="D949" s="855">
        <f t="shared" si="446"/>
        <v>0.98910902862976802</v>
      </c>
      <c r="E949" s="855">
        <f t="shared" si="446"/>
        <v>0.98805662911332259</v>
      </c>
      <c r="F949" s="855">
        <f t="shared" si="446"/>
        <v>0.99443913542838325</v>
      </c>
      <c r="G949" s="855">
        <f t="shared" si="446"/>
        <v>1.0062268851323979</v>
      </c>
      <c r="H949" s="855">
        <f t="shared" si="446"/>
        <v>1.0190707389466458</v>
      </c>
      <c r="I949" s="855">
        <f t="shared" si="446"/>
        <v>1.0292320262983461</v>
      </c>
      <c r="J949" s="855">
        <f t="shared" si="446"/>
        <v>1.0364247797370063</v>
      </c>
      <c r="K949" s="855">
        <f t="shared" si="446"/>
        <v>1.0395059218980631</v>
      </c>
      <c r="L949" s="855">
        <f t="shared" si="446"/>
        <v>1.0392354870692513</v>
      </c>
      <c r="M949" s="855">
        <f t="shared" si="446"/>
        <v>1.0395940643945756</v>
      </c>
      <c r="N949" s="855">
        <f t="shared" si="446"/>
        <v>1.0391361834477473</v>
      </c>
      <c r="O949" s="855">
        <f t="shared" si="446"/>
        <v>1.0331799093483427</v>
      </c>
      <c r="P949" s="855">
        <f t="shared" si="446"/>
        <v>1.0209660612519897</v>
      </c>
      <c r="Q949" s="855">
        <f t="shared" si="446"/>
        <v>1.0052344446069763</v>
      </c>
    </row>
    <row r="950" spans="1:17">
      <c r="A950" s="853" t="s">
        <v>116</v>
      </c>
      <c r="B950" s="854"/>
      <c r="C950" s="855">
        <f t="shared" si="443"/>
        <v>1.000047710133779</v>
      </c>
      <c r="D950" s="855">
        <f t="shared" si="446"/>
        <v>0.99660760433891971</v>
      </c>
      <c r="E950" s="855">
        <f t="shared" si="446"/>
        <v>0.99610336144912814</v>
      </c>
      <c r="F950" s="855">
        <f t="shared" si="446"/>
        <v>0.99961701857090268</v>
      </c>
      <c r="G950" s="855">
        <f t="shared" si="446"/>
        <v>1.0060472120399873</v>
      </c>
      <c r="H950" s="855">
        <f t="shared" si="446"/>
        <v>1.0126819212412257</v>
      </c>
      <c r="I950" s="855">
        <f t="shared" si="446"/>
        <v>1.0181980668682946</v>
      </c>
      <c r="J950" s="855">
        <f t="shared" si="446"/>
        <v>1.0235162254255017</v>
      </c>
      <c r="K950" s="855">
        <f t="shared" si="446"/>
        <v>1.0282646570574911</v>
      </c>
      <c r="L950" s="855">
        <f t="shared" si="446"/>
        <v>1.031933970924281</v>
      </c>
      <c r="M950" s="855">
        <f t="shared" si="446"/>
        <v>1.036105235377301</v>
      </c>
      <c r="N950" s="855">
        <f t="shared" si="446"/>
        <v>1.0385975250441957</v>
      </c>
      <c r="O950" s="855">
        <f t="shared" si="446"/>
        <v>1.0357440707694654</v>
      </c>
      <c r="P950" s="855">
        <f t="shared" si="446"/>
        <v>1.0267318288003751</v>
      </c>
      <c r="Q950" s="855">
        <f t="shared" si="446"/>
        <v>1.0141254330654004</v>
      </c>
    </row>
    <row r="951" spans="1:17">
      <c r="A951" s="853" t="s">
        <v>117</v>
      </c>
      <c r="B951" s="854"/>
      <c r="C951" s="855">
        <f t="shared" si="443"/>
        <v>1.0046303269264323</v>
      </c>
      <c r="D951" s="855">
        <f t="shared" si="446"/>
        <v>1.0037116808474005</v>
      </c>
      <c r="E951" s="855">
        <f t="shared" si="446"/>
        <v>1.0034642911808833</v>
      </c>
      <c r="F951" s="855">
        <f t="shared" si="446"/>
        <v>1.0040116310773188</v>
      </c>
      <c r="G951" s="855">
        <f t="shared" si="446"/>
        <v>1.0052932187790367</v>
      </c>
      <c r="H951" s="855">
        <f t="shared" si="446"/>
        <v>1.0059808280584941</v>
      </c>
      <c r="I951" s="855">
        <f t="shared" si="446"/>
        <v>1.0069235693104444</v>
      </c>
      <c r="J951" s="855">
        <f t="shared" si="446"/>
        <v>1.0102944843820498</v>
      </c>
      <c r="K951" s="855">
        <f t="shared" si="446"/>
        <v>1.0167265333785156</v>
      </c>
      <c r="L951" s="855">
        <f t="shared" si="446"/>
        <v>1.0246349385442168</v>
      </c>
      <c r="M951" s="855">
        <f t="shared" si="446"/>
        <v>1.0331929492973952</v>
      </c>
      <c r="N951" s="855">
        <f t="shared" si="446"/>
        <v>1.0391363452286029</v>
      </c>
      <c r="O951" s="855">
        <f t="shared" si="446"/>
        <v>1.0395911973353711</v>
      </c>
      <c r="P951" s="855">
        <f t="shared" si="446"/>
        <v>1.0335861348366033</v>
      </c>
      <c r="Q951" s="855">
        <f t="shared" si="446"/>
        <v>1.0236244590736134</v>
      </c>
    </row>
    <row r="952" spans="1:17">
      <c r="A952" s="853" t="s">
        <v>118</v>
      </c>
      <c r="B952" s="854"/>
      <c r="C952" s="855">
        <f t="shared" ref="C952:C983" si="447">C635/B635</f>
        <v>1.0097620856073795</v>
      </c>
      <c r="D952" s="855">
        <f t="shared" si="446"/>
        <v>1.0114601082339389</v>
      </c>
      <c r="E952" s="855">
        <f t="shared" si="446"/>
        <v>1.0112857745558834</v>
      </c>
      <c r="F952" s="855">
        <f t="shared" si="446"/>
        <v>1.0084910294667535</v>
      </c>
      <c r="G952" s="855">
        <f t="shared" si="446"/>
        <v>1.0042632049210065</v>
      </c>
      <c r="H952" s="855">
        <f t="shared" si="446"/>
        <v>0.99860571685048383</v>
      </c>
      <c r="I952" s="855">
        <f t="shared" si="446"/>
        <v>0.99448757420642886</v>
      </c>
      <c r="J952" s="855">
        <f t="shared" si="446"/>
        <v>0.9954593333697811</v>
      </c>
      <c r="K952" s="855">
        <f t="shared" si="446"/>
        <v>1.0035215393132375</v>
      </c>
      <c r="L952" s="855">
        <f t="shared" si="446"/>
        <v>1.0162222116819479</v>
      </c>
      <c r="M952" s="855">
        <f t="shared" si="446"/>
        <v>1.0300588236983679</v>
      </c>
      <c r="N952" s="855">
        <f t="shared" si="446"/>
        <v>1.0402440716153465</v>
      </c>
      <c r="O952" s="855">
        <f t="shared" si="446"/>
        <v>1.0445964320441865</v>
      </c>
      <c r="P952" s="855">
        <f t="shared" si="446"/>
        <v>1.0418565861012654</v>
      </c>
      <c r="Q952" s="855">
        <f t="shared" si="446"/>
        <v>1.0345032696641667</v>
      </c>
    </row>
    <row r="953" spans="1:17">
      <c r="A953" s="853" t="s">
        <v>119</v>
      </c>
      <c r="B953" s="854"/>
      <c r="C953" s="855">
        <f t="shared" si="447"/>
        <v>1.0140691254594802</v>
      </c>
      <c r="D953" s="855">
        <f t="shared" si="446"/>
        <v>1.0176417114887799</v>
      </c>
      <c r="E953" s="855">
        <f t="shared" si="446"/>
        <v>1.0174584996481102</v>
      </c>
      <c r="F953" s="855">
        <f t="shared" si="446"/>
        <v>1.0122505355774631</v>
      </c>
      <c r="G953" s="855">
        <f t="shared" si="446"/>
        <v>1.0041425690277843</v>
      </c>
      <c r="H953" s="855">
        <f t="shared" si="446"/>
        <v>0.99416784756495424</v>
      </c>
      <c r="I953" s="855">
        <f t="shared" si="446"/>
        <v>0.98648697487495307</v>
      </c>
      <c r="J953" s="855">
        <f t="shared" si="446"/>
        <v>0.98524749319489868</v>
      </c>
      <c r="K953" s="855">
        <f t="shared" si="446"/>
        <v>0.99339382486608063</v>
      </c>
      <c r="L953" s="855">
        <f t="shared" si="446"/>
        <v>1.008308328991262</v>
      </c>
      <c r="M953" s="855">
        <f t="shared" si="446"/>
        <v>1.0248079615938037</v>
      </c>
      <c r="N953" s="855">
        <f t="shared" si="446"/>
        <v>1.0374127259778638</v>
      </c>
      <c r="O953" s="855">
        <f t="shared" si="446"/>
        <v>1.0447441510308895</v>
      </c>
      <c r="P953" s="855">
        <f t="shared" si="446"/>
        <v>1.0453084882308625</v>
      </c>
      <c r="Q953" s="855">
        <f t="shared" si="446"/>
        <v>1.0411192182993663</v>
      </c>
    </row>
    <row r="954" spans="1:17">
      <c r="A954" s="853" t="s">
        <v>120</v>
      </c>
      <c r="B954" s="854"/>
      <c r="C954" s="855">
        <f t="shared" si="447"/>
        <v>1.0164759438690276</v>
      </c>
      <c r="D954" s="855">
        <f t="shared" si="446"/>
        <v>1.020607496581776</v>
      </c>
      <c r="E954" s="855">
        <f t="shared" si="446"/>
        <v>1.0204143099220719</v>
      </c>
      <c r="F954" s="855">
        <f t="shared" si="446"/>
        <v>1.014502325486248</v>
      </c>
      <c r="G954" s="855">
        <f t="shared" si="446"/>
        <v>1.005258548922797</v>
      </c>
      <c r="H954" s="855">
        <f t="shared" si="446"/>
        <v>0.99428539907643676</v>
      </c>
      <c r="I954" s="855">
        <f t="shared" si="446"/>
        <v>0.98575207090317096</v>
      </c>
      <c r="J954" s="855">
        <f t="shared" si="446"/>
        <v>0.98329491150798254</v>
      </c>
      <c r="K954" s="855">
        <f t="shared" si="446"/>
        <v>0.98978362302282541</v>
      </c>
      <c r="L954" s="855">
        <f t="shared" si="446"/>
        <v>1.0029507032046185</v>
      </c>
      <c r="M954" s="855">
        <f t="shared" si="446"/>
        <v>1.0176236787482515</v>
      </c>
      <c r="N954" s="855">
        <f t="shared" si="446"/>
        <v>1.0291932668732873</v>
      </c>
      <c r="O954" s="855">
        <f t="shared" si="446"/>
        <v>1.0373057283764904</v>
      </c>
      <c r="P954" s="855">
        <f t="shared" si="446"/>
        <v>1.0405702804878467</v>
      </c>
      <c r="Q954" s="855">
        <f t="shared" si="446"/>
        <v>1.0400052459815583</v>
      </c>
    </row>
    <row r="955" spans="1:17">
      <c r="A955" s="853" t="s">
        <v>121</v>
      </c>
      <c r="B955" s="854"/>
      <c r="C955" s="855">
        <f t="shared" si="447"/>
        <v>1.0176726555819997</v>
      </c>
      <c r="D955" s="855">
        <f t="shared" si="446"/>
        <v>1.021478034974626</v>
      </c>
      <c r="E955" s="855">
        <f t="shared" si="446"/>
        <v>1.0212883795564498</v>
      </c>
      <c r="F955" s="855">
        <f t="shared" si="446"/>
        <v>1.0158115511676922</v>
      </c>
      <c r="G955" s="855">
        <f t="shared" si="446"/>
        <v>1.0072156797109688</v>
      </c>
      <c r="H955" s="855">
        <f t="shared" si="446"/>
        <v>0.99737850517494531</v>
      </c>
      <c r="I955" s="855">
        <f t="shared" si="446"/>
        <v>0.98974929802009337</v>
      </c>
      <c r="J955" s="855">
        <f t="shared" si="446"/>
        <v>0.986792346047354</v>
      </c>
      <c r="K955" s="855">
        <f t="shared" si="446"/>
        <v>0.99065008937414578</v>
      </c>
      <c r="L955" s="855">
        <f t="shared" si="446"/>
        <v>0.99967342018871852</v>
      </c>
      <c r="M955" s="855">
        <f t="shared" si="446"/>
        <v>1.009668435476075</v>
      </c>
      <c r="N955" s="855">
        <f t="shared" si="446"/>
        <v>1.0178346749968197</v>
      </c>
      <c r="O955" s="855">
        <f t="shared" si="446"/>
        <v>1.0249268133386122</v>
      </c>
      <c r="P955" s="855">
        <f t="shared" si="446"/>
        <v>1.0300789350882611</v>
      </c>
      <c r="Q955" s="855">
        <f t="shared" si="446"/>
        <v>1.0332025141910826</v>
      </c>
    </row>
    <row r="956" spans="1:17">
      <c r="A956" s="853" t="s">
        <v>122</v>
      </c>
      <c r="B956" s="854"/>
      <c r="C956" s="855">
        <f t="shared" si="447"/>
        <v>1.0194185785089782</v>
      </c>
      <c r="D956" s="855">
        <f t="shared" si="446"/>
        <v>1.0230829523187461</v>
      </c>
      <c r="E956" s="855">
        <f t="shared" si="446"/>
        <v>1.0229008952304697</v>
      </c>
      <c r="F956" s="855">
        <f t="shared" si="446"/>
        <v>1.017629319491673</v>
      </c>
      <c r="G956" s="855">
        <f t="shared" si="446"/>
        <v>1.0093124408321597</v>
      </c>
      <c r="H956" s="855">
        <f t="shared" si="446"/>
        <v>1.0001951681233978</v>
      </c>
      <c r="I956" s="855">
        <f t="shared" si="446"/>
        <v>0.99310754953122327</v>
      </c>
      <c r="J956" s="855">
        <f t="shared" si="446"/>
        <v>0.98941719734220801</v>
      </c>
      <c r="K956" s="855">
        <f t="shared" si="446"/>
        <v>0.99067591945996281</v>
      </c>
      <c r="L956" s="855">
        <f t="shared" si="446"/>
        <v>0.99581614536141361</v>
      </c>
      <c r="M956" s="855">
        <f t="shared" si="446"/>
        <v>1.0013862221317738</v>
      </c>
      <c r="N956" s="855">
        <f t="shared" si="446"/>
        <v>1.0061873934160184</v>
      </c>
      <c r="O956" s="855">
        <f t="shared" si="446"/>
        <v>1.0122094099687737</v>
      </c>
      <c r="P956" s="855">
        <f t="shared" si="446"/>
        <v>1.0193135917395608</v>
      </c>
      <c r="Q956" s="855">
        <f t="shared" si="446"/>
        <v>1.0264482564180766</v>
      </c>
    </row>
    <row r="957" spans="1:17">
      <c r="A957" s="853" t="s">
        <v>123</v>
      </c>
      <c r="B957" s="854"/>
      <c r="C957" s="855">
        <f t="shared" si="447"/>
        <v>1.0213584555428754</v>
      </c>
      <c r="D957" s="855">
        <f t="shared" si="446"/>
        <v>1.0249654406100073</v>
      </c>
      <c r="E957" s="855">
        <f t="shared" si="446"/>
        <v>1.0248322977433133</v>
      </c>
      <c r="F957" s="855">
        <f t="shared" si="446"/>
        <v>1.0197852430158374</v>
      </c>
      <c r="G957" s="855">
        <f t="shared" si="446"/>
        <v>1.0117377783772983</v>
      </c>
      <c r="H957" s="855">
        <f t="shared" si="446"/>
        <v>1.003360272072952</v>
      </c>
      <c r="I957" s="855">
        <f t="shared" si="446"/>
        <v>0.99682507649519159</v>
      </c>
      <c r="J957" s="855">
        <f t="shared" si="446"/>
        <v>0.99229902837875417</v>
      </c>
      <c r="K957" s="855">
        <f t="shared" si="446"/>
        <v>0.99073639715892237</v>
      </c>
      <c r="L957" s="855">
        <f t="shared" si="446"/>
        <v>0.99170263183845819</v>
      </c>
      <c r="M957" s="855">
        <f t="shared" si="446"/>
        <v>0.99241629370849249</v>
      </c>
      <c r="N957" s="855">
        <f t="shared" si="446"/>
        <v>0.99332202163564787</v>
      </c>
      <c r="O957" s="855">
        <f t="shared" si="446"/>
        <v>0.99783568567154202</v>
      </c>
      <c r="P957" s="855">
        <f t="shared" si="446"/>
        <v>1.0069002426940901</v>
      </c>
      <c r="Q957" s="855">
        <f t="shared" si="446"/>
        <v>1.0186202843943368</v>
      </c>
    </row>
    <row r="958" spans="1:17">
      <c r="A958" s="853" t="s">
        <v>124</v>
      </c>
      <c r="B958" s="854"/>
      <c r="C958" s="855">
        <f t="shared" si="447"/>
        <v>1.0235377355108115</v>
      </c>
      <c r="D958" s="855">
        <f t="shared" si="446"/>
        <v>1.026696340511259</v>
      </c>
      <c r="E958" s="855">
        <f t="shared" si="446"/>
        <v>1.0263820314679803</v>
      </c>
      <c r="F958" s="855">
        <f t="shared" si="446"/>
        <v>1.021517680117956</v>
      </c>
      <c r="G958" s="855">
        <f t="shared" si="446"/>
        <v>1.0138452894125405</v>
      </c>
      <c r="H958" s="855">
        <f t="shared" si="446"/>
        <v>1.0061818874335859</v>
      </c>
      <c r="I958" s="855">
        <f t="shared" si="446"/>
        <v>1.0001375236944816</v>
      </c>
      <c r="J958" s="855">
        <f t="shared" si="446"/>
        <v>0.99509944289298724</v>
      </c>
      <c r="K958" s="855">
        <f t="shared" si="446"/>
        <v>0.99158728327157886</v>
      </c>
      <c r="L958" s="855">
        <f t="shared" si="446"/>
        <v>0.98960876639119055</v>
      </c>
      <c r="M958" s="855">
        <f t="shared" si="446"/>
        <v>0.98695622823769713</v>
      </c>
      <c r="N958" s="855">
        <f t="shared" si="446"/>
        <v>0.98502168494644771</v>
      </c>
      <c r="O958" s="855">
        <f t="shared" si="446"/>
        <v>0.98789098752886695</v>
      </c>
      <c r="P958" s="855">
        <f t="shared" si="446"/>
        <v>0.99728065965543422</v>
      </c>
      <c r="Q958" s="855">
        <f t="shared" si="446"/>
        <v>1.0111017895184375</v>
      </c>
    </row>
    <row r="959" spans="1:17">
      <c r="A959" s="853" t="s">
        <v>125</v>
      </c>
      <c r="B959" s="854"/>
      <c r="C959" s="855">
        <f t="shared" si="447"/>
        <v>1.0261776555357558</v>
      </c>
      <c r="D959" s="855">
        <f t="shared" si="446"/>
        <v>1.0284032817725095</v>
      </c>
      <c r="E959" s="855">
        <f t="shared" si="446"/>
        <v>1.0275301061544495</v>
      </c>
      <c r="F959" s="855">
        <f t="shared" si="446"/>
        <v>1.0226358306130743</v>
      </c>
      <c r="G959" s="855">
        <f t="shared" si="446"/>
        <v>1.0152717978277133</v>
      </c>
      <c r="H959" s="855">
        <f t="shared" si="446"/>
        <v>1.0080049031555103</v>
      </c>
      <c r="I959" s="855">
        <f t="shared" si="446"/>
        <v>1.0021696972024345</v>
      </c>
      <c r="J959" s="855">
        <f t="shared" si="446"/>
        <v>0.99705301730438733</v>
      </c>
      <c r="K959" s="855">
        <f t="shared" si="446"/>
        <v>0.99304027870200029</v>
      </c>
      <c r="L959" s="855">
        <f t="shared" si="446"/>
        <v>0.99022006642270588</v>
      </c>
      <c r="M959" s="855">
        <f t="shared" si="446"/>
        <v>0.98683033452513635</v>
      </c>
      <c r="N959" s="855">
        <f t="shared" si="446"/>
        <v>0.98423207360076981</v>
      </c>
      <c r="O959" s="855">
        <f t="shared" si="446"/>
        <v>0.98600932215072679</v>
      </c>
      <c r="P959" s="855">
        <f t="shared" si="446"/>
        <v>0.99377942699083255</v>
      </c>
      <c r="Q959" s="855">
        <f t="shared" si="446"/>
        <v>1.005826037161615</v>
      </c>
    </row>
    <row r="960" spans="1:17">
      <c r="A960" s="853" t="s">
        <v>126</v>
      </c>
      <c r="B960" s="854"/>
      <c r="C960" s="855">
        <f t="shared" si="447"/>
        <v>1.0291812168162275</v>
      </c>
      <c r="D960" s="855">
        <f t="shared" si="446"/>
        <v>1.0301658740581134</v>
      </c>
      <c r="E960" s="855">
        <f t="shared" si="446"/>
        <v>1.0284966398098985</v>
      </c>
      <c r="F960" s="855">
        <f t="shared" si="446"/>
        <v>1.0234434697327968</v>
      </c>
      <c r="G960" s="855">
        <f t="shared" si="446"/>
        <v>1.0163492664214668</v>
      </c>
      <c r="H960" s="855">
        <f t="shared" si="446"/>
        <v>1.0092780918597613</v>
      </c>
      <c r="I960" s="855">
        <f t="shared" si="446"/>
        <v>1.0034816871138175</v>
      </c>
      <c r="J960" s="855">
        <f t="shared" si="446"/>
        <v>0.99858074510881778</v>
      </c>
      <c r="K960" s="855">
        <f t="shared" si="446"/>
        <v>0.99499623591686004</v>
      </c>
      <c r="L960" s="855">
        <f t="shared" si="446"/>
        <v>0.99266893144448565</v>
      </c>
      <c r="M960" s="855">
        <f t="shared" si="446"/>
        <v>0.99021023564198052</v>
      </c>
      <c r="N960" s="855">
        <f t="shared" si="446"/>
        <v>0.98834666159851459</v>
      </c>
      <c r="O960" s="855">
        <f t="shared" si="446"/>
        <v>0.98944957317551219</v>
      </c>
      <c r="P960" s="855">
        <f t="shared" si="446"/>
        <v>0.99448652390132242</v>
      </c>
      <c r="Q960" s="855">
        <f t="shared" si="446"/>
        <v>1.0024157476077411</v>
      </c>
    </row>
    <row r="961" spans="1:17">
      <c r="A961" s="853" t="s">
        <v>127</v>
      </c>
      <c r="B961" s="854"/>
      <c r="C961" s="855">
        <f t="shared" si="447"/>
        <v>1.0321121128471817</v>
      </c>
      <c r="D961" s="855">
        <f t="shared" si="446"/>
        <v>1.0317468787545094</v>
      </c>
      <c r="E961" s="855">
        <f t="shared" si="446"/>
        <v>1.0293140414007547</v>
      </c>
      <c r="F961" s="855">
        <f t="shared" si="446"/>
        <v>1.0242759912296731</v>
      </c>
      <c r="G961" s="855">
        <f t="shared" si="446"/>
        <v>1.017702449890628</v>
      </c>
      <c r="H961" s="855">
        <f t="shared" si="446"/>
        <v>1.0111289314239305</v>
      </c>
      <c r="I961" s="855">
        <f t="shared" si="446"/>
        <v>1.0055985646409942</v>
      </c>
      <c r="J961" s="855">
        <f t="shared" si="446"/>
        <v>1.0009617781187219</v>
      </c>
      <c r="K961" s="855">
        <f t="shared" si="446"/>
        <v>0.99759607104722314</v>
      </c>
      <c r="L961" s="855">
        <f t="shared" si="446"/>
        <v>0.99536614103561927</v>
      </c>
      <c r="M961" s="855">
        <f t="shared" si="446"/>
        <v>0.9933687922761173</v>
      </c>
      <c r="N961" s="855">
        <f t="shared" si="446"/>
        <v>0.99182007065410327</v>
      </c>
      <c r="O961" s="855">
        <f t="shared" si="446"/>
        <v>0.99198879223084502</v>
      </c>
      <c r="P961" s="855">
        <f t="shared" si="446"/>
        <v>0.99432645823998189</v>
      </c>
      <c r="Q961" s="855">
        <f t="shared" si="446"/>
        <v>0.99840862022167776</v>
      </c>
    </row>
    <row r="962" spans="1:17">
      <c r="A962" s="853" t="s">
        <v>128</v>
      </c>
      <c r="B962" s="854"/>
      <c r="C962" s="855">
        <f t="shared" si="447"/>
        <v>1.0349106556171652</v>
      </c>
      <c r="D962" s="855">
        <f t="shared" si="446"/>
        <v>1.0329617436787046</v>
      </c>
      <c r="E962" s="855">
        <f t="shared" si="446"/>
        <v>1.0297128980392845</v>
      </c>
      <c r="F962" s="855">
        <f t="shared" si="446"/>
        <v>1.0248670045383326</v>
      </c>
      <c r="G962" s="855">
        <f t="shared" si="446"/>
        <v>1.0191098208143485</v>
      </c>
      <c r="H962" s="855">
        <f t="shared" si="446"/>
        <v>1.0133475486365213</v>
      </c>
      <c r="I962" s="855">
        <f t="shared" si="446"/>
        <v>1.0083110435974101</v>
      </c>
      <c r="J962" s="855">
        <f t="shared" si="446"/>
        <v>1.0040709794736093</v>
      </c>
      <c r="K962" s="855">
        <f t="shared" si="446"/>
        <v>1.0009116440365147</v>
      </c>
      <c r="L962" s="855">
        <f t="shared" si="446"/>
        <v>0.99866725995558969</v>
      </c>
      <c r="M962" s="855">
        <f t="shared" si="446"/>
        <v>0.99701589814688674</v>
      </c>
      <c r="N962" s="855">
        <f t="shared" si="446"/>
        <v>0.9956858088710645</v>
      </c>
      <c r="O962" s="855">
        <f t="shared" si="446"/>
        <v>0.99473604703859064</v>
      </c>
      <c r="P962" s="855">
        <f t="shared" si="446"/>
        <v>0.99412994719872905</v>
      </c>
      <c r="Q962" s="855">
        <f t="shared" si="446"/>
        <v>0.99409381738277225</v>
      </c>
    </row>
    <row r="963" spans="1:17">
      <c r="A963" s="853" t="s">
        <v>129</v>
      </c>
      <c r="B963" s="854"/>
      <c r="C963" s="855">
        <f t="shared" si="447"/>
        <v>1.0383741866662948</v>
      </c>
      <c r="D963" s="855">
        <f t="shared" si="446"/>
        <v>1.0353747891260374</v>
      </c>
      <c r="E963" s="855">
        <f t="shared" si="446"/>
        <v>1.0315105648588136</v>
      </c>
      <c r="F963" s="855">
        <f t="shared" si="446"/>
        <v>1.02661946262839</v>
      </c>
      <c r="G963" s="855">
        <f t="shared" si="446"/>
        <v>1.0211817083000667</v>
      </c>
      <c r="H963" s="855">
        <f t="shared" si="446"/>
        <v>1.0157012489936537</v>
      </c>
      <c r="I963" s="855">
        <f t="shared" si="446"/>
        <v>1.0107802329185671</v>
      </c>
      <c r="J963" s="855">
        <f t="shared" si="446"/>
        <v>1.0066859571535069</v>
      </c>
      <c r="K963" s="855">
        <f t="shared" si="446"/>
        <v>1.0036939417324753</v>
      </c>
      <c r="L963" s="855">
        <f t="shared" si="446"/>
        <v>1.0015500380463884</v>
      </c>
      <c r="M963" s="855">
        <f t="shared" si="446"/>
        <v>1.0002554145724836</v>
      </c>
      <c r="N963" s="855">
        <f t="shared" si="446"/>
        <v>0.99912575306419227</v>
      </c>
      <c r="O963" s="855">
        <f t="shared" si="446"/>
        <v>0.99742116951262139</v>
      </c>
      <c r="P963" s="855">
        <f t="shared" si="446"/>
        <v>0.99477109801151153</v>
      </c>
      <c r="Q963" s="855">
        <f t="shared" si="446"/>
        <v>0.99183382715043278</v>
      </c>
    </row>
    <row r="964" spans="1:17">
      <c r="A964" s="853" t="s">
        <v>130</v>
      </c>
      <c r="B964" s="854"/>
      <c r="C964" s="855">
        <f t="shared" si="447"/>
        <v>1.0429266673940742</v>
      </c>
      <c r="D964" s="855">
        <f t="shared" ref="D964:Q966" si="448">D647/C647</f>
        <v>1.0398248261014296</v>
      </c>
      <c r="E964" s="855">
        <f t="shared" si="448"/>
        <v>1.0356744621141254</v>
      </c>
      <c r="F964" s="855">
        <f t="shared" si="448"/>
        <v>1.0302987969760615</v>
      </c>
      <c r="G964" s="855">
        <f t="shared" si="448"/>
        <v>1.0242934824112848</v>
      </c>
      <c r="H964" s="855">
        <f t="shared" si="448"/>
        <v>1.0181879597486687</v>
      </c>
      <c r="I964" s="855">
        <f t="shared" si="448"/>
        <v>1.0127395864154916</v>
      </c>
      <c r="J964" s="855">
        <f t="shared" si="448"/>
        <v>1.0083466258619238</v>
      </c>
      <c r="K964" s="855">
        <f t="shared" si="448"/>
        <v>1.0053412901483927</v>
      </c>
      <c r="L964" s="855">
        <f t="shared" si="448"/>
        <v>1.0033624184959218</v>
      </c>
      <c r="M964" s="855">
        <f t="shared" si="448"/>
        <v>1.0022819739292097</v>
      </c>
      <c r="N964" s="855">
        <f t="shared" si="448"/>
        <v>1.0012245101778363</v>
      </c>
      <c r="O964" s="855">
        <f t="shared" si="448"/>
        <v>0.99932849959052206</v>
      </c>
      <c r="P964" s="855">
        <f t="shared" si="448"/>
        <v>0.99613175748983762</v>
      </c>
      <c r="Q964" s="855">
        <f t="shared" si="448"/>
        <v>0.9923779690849206</v>
      </c>
    </row>
    <row r="965" spans="1:17">
      <c r="A965" s="853" t="s">
        <v>131</v>
      </c>
      <c r="B965" s="854"/>
      <c r="C965" s="855">
        <f t="shared" si="447"/>
        <v>1.0483234120642129</v>
      </c>
      <c r="D965" s="855">
        <f t="shared" si="448"/>
        <v>1.0457345015289972</v>
      </c>
      <c r="E965" s="855">
        <f t="shared" si="448"/>
        <v>1.0414781122519421</v>
      </c>
      <c r="F965" s="855">
        <f t="shared" si="448"/>
        <v>1.0353024388275778</v>
      </c>
      <c r="G965" s="855">
        <f t="shared" si="448"/>
        <v>1.0281289790997103</v>
      </c>
      <c r="H965" s="855">
        <f t="shared" si="448"/>
        <v>1.0208281923604434</v>
      </c>
      <c r="I965" s="855">
        <f t="shared" si="448"/>
        <v>1.0144599604135662</v>
      </c>
      <c r="J965" s="855">
        <f t="shared" si="448"/>
        <v>1.0094933541292241</v>
      </c>
      <c r="K965" s="855">
        <f t="shared" si="448"/>
        <v>1.0063761853141291</v>
      </c>
      <c r="L965" s="855">
        <f t="shared" si="448"/>
        <v>1.0045990888583671</v>
      </c>
      <c r="M965" s="855">
        <f t="shared" si="448"/>
        <v>1.0036397383604123</v>
      </c>
      <c r="N965" s="855">
        <f t="shared" si="448"/>
        <v>1.0025691324893529</v>
      </c>
      <c r="O965" s="855">
        <f t="shared" si="448"/>
        <v>1.0008473941357416</v>
      </c>
      <c r="P965" s="855">
        <f t="shared" si="448"/>
        <v>0.99806245494081258</v>
      </c>
      <c r="Q965" s="855">
        <f t="shared" si="448"/>
        <v>0.9948154156915231</v>
      </c>
    </row>
    <row r="966" spans="1:17">
      <c r="A966" s="853" t="s">
        <v>132</v>
      </c>
      <c r="B966" s="854"/>
      <c r="C966" s="855">
        <f t="shared" si="447"/>
        <v>1.0538554849313559</v>
      </c>
      <c r="D966" s="855">
        <f t="shared" si="448"/>
        <v>1.0517189272282252</v>
      </c>
      <c r="E966" s="855">
        <f t="shared" si="448"/>
        <v>1.0473033498594249</v>
      </c>
      <c r="F966" s="855">
        <f t="shared" si="448"/>
        <v>1.0403143511637853</v>
      </c>
      <c r="G966" s="855">
        <f t="shared" si="448"/>
        <v>1.0320151410313809</v>
      </c>
      <c r="H966" s="855">
        <f t="shared" si="448"/>
        <v>1.0235600999858809</v>
      </c>
      <c r="I966" s="855">
        <f t="shared" si="448"/>
        <v>1.0163233789132335</v>
      </c>
      <c r="J966" s="855">
        <f t="shared" si="448"/>
        <v>1.0108800982689203</v>
      </c>
      <c r="K966" s="855">
        <f t="shared" si="448"/>
        <v>1.0077806506103082</v>
      </c>
      <c r="L966" s="855">
        <f t="shared" si="448"/>
        <v>1.0063547968370408</v>
      </c>
      <c r="M966" s="855">
        <f t="shared" si="448"/>
        <v>1.0056941475789334</v>
      </c>
      <c r="N966" s="855">
        <f t="shared" si="448"/>
        <v>1.0047485308382405</v>
      </c>
      <c r="O966" s="855">
        <f t="shared" si="448"/>
        <v>1.0031817110535</v>
      </c>
      <c r="P966" s="855">
        <f t="shared" si="448"/>
        <v>1.0005763928460161</v>
      </c>
      <c r="Q966" s="855">
        <f t="shared" si="448"/>
        <v>0.99745585296011408</v>
      </c>
    </row>
    <row r="967" spans="1:17">
      <c r="A967" s="853" t="s">
        <v>133</v>
      </c>
      <c r="B967" s="854"/>
      <c r="C967" s="855">
        <f t="shared" si="447"/>
        <v>1.05970383381339</v>
      </c>
      <c r="D967" s="855">
        <f t="shared" ref="D967:Q967" si="449">D650/C650</f>
        <v>1.0582420739456682</v>
      </c>
      <c r="E967" s="855">
        <f t="shared" si="449"/>
        <v>1.053697636751822</v>
      </c>
      <c r="F967" s="855">
        <f t="shared" si="449"/>
        <v>1.0457506179093268</v>
      </c>
      <c r="G967" s="855">
        <f t="shared" si="449"/>
        <v>1.0361090185689683</v>
      </c>
      <c r="H967" s="855">
        <f t="shared" si="449"/>
        <v>1.0262943229540309</v>
      </c>
      <c r="I967" s="855">
        <f t="shared" si="449"/>
        <v>1.0180619227775634</v>
      </c>
      <c r="J967" s="855">
        <f t="shared" si="449"/>
        <v>1.012128267557868</v>
      </c>
      <c r="K967" s="855">
        <f t="shared" si="449"/>
        <v>1.0091817593519259</v>
      </c>
      <c r="L967" s="855">
        <f t="shared" si="449"/>
        <v>1.0083217836925367</v>
      </c>
      <c r="M967" s="855">
        <f t="shared" si="449"/>
        <v>1.0081939276995806</v>
      </c>
      <c r="N967" s="855">
        <f t="shared" si="449"/>
        <v>1.0075396448015976</v>
      </c>
      <c r="O967" s="855">
        <f t="shared" si="449"/>
        <v>1.006214143499742</v>
      </c>
      <c r="P967" s="855">
        <f t="shared" si="449"/>
        <v>1.003769071627018</v>
      </c>
      <c r="Q967" s="855">
        <f t="shared" si="449"/>
        <v>1.0006724247446463</v>
      </c>
    </row>
    <row r="968" spans="1:17">
      <c r="A968" s="853" t="s">
        <v>134</v>
      </c>
      <c r="B968" s="854"/>
      <c r="C968" s="855">
        <f t="shared" si="447"/>
        <v>1.0652983877894266</v>
      </c>
      <c r="D968" s="855">
        <f t="shared" ref="D968:Q968" si="450">D651/C651</f>
        <v>1.0639176856960322</v>
      </c>
      <c r="E968" s="855">
        <f t="shared" si="450"/>
        <v>1.0590752471980385</v>
      </c>
      <c r="F968" s="855">
        <f t="shared" si="450"/>
        <v>1.0504905037638046</v>
      </c>
      <c r="G968" s="855">
        <f t="shared" si="450"/>
        <v>1.0401141907236851</v>
      </c>
      <c r="H968" s="855">
        <f t="shared" si="450"/>
        <v>1.029609421563922</v>
      </c>
      <c r="I968" s="855">
        <f t="shared" si="450"/>
        <v>1.0208750316007786</v>
      </c>
      <c r="J968" s="855">
        <f t="shared" si="450"/>
        <v>1.0146594678490142</v>
      </c>
      <c r="K968" s="855">
        <f t="shared" si="450"/>
        <v>1.0116845202841034</v>
      </c>
      <c r="L968" s="855">
        <f t="shared" si="450"/>
        <v>1.0109372491082178</v>
      </c>
      <c r="M968" s="855">
        <f t="shared" si="450"/>
        <v>1.0108280395153524</v>
      </c>
      <c r="N968" s="855">
        <f t="shared" si="450"/>
        <v>1.0100895352272889</v>
      </c>
      <c r="O968" s="855">
        <f t="shared" si="450"/>
        <v>1.0087583949815075</v>
      </c>
      <c r="P968" s="855">
        <f t="shared" si="450"/>
        <v>1.0064326285824754</v>
      </c>
      <c r="Q968" s="855">
        <f t="shared" si="450"/>
        <v>1.0034743503646637</v>
      </c>
    </row>
    <row r="969" spans="1:17">
      <c r="A969" s="853" t="s">
        <v>135</v>
      </c>
      <c r="B969" s="854"/>
      <c r="C969" s="855">
        <f t="shared" si="447"/>
        <v>1.070130556097785</v>
      </c>
      <c r="D969" s="855">
        <f t="shared" ref="D969:Q969" si="451">D652/C652</f>
        <v>1.0676913106272117</v>
      </c>
      <c r="E969" s="855">
        <f t="shared" si="451"/>
        <v>1.062282172187986</v>
      </c>
      <c r="F969" s="855">
        <f t="shared" si="451"/>
        <v>1.0537649972659142</v>
      </c>
      <c r="G969" s="855">
        <f t="shared" si="451"/>
        <v>1.0438278881400396</v>
      </c>
      <c r="H969" s="855">
        <f t="shared" si="451"/>
        <v>1.0338658696540306</v>
      </c>
      <c r="I969" s="855">
        <f t="shared" si="451"/>
        <v>1.0254864606297576</v>
      </c>
      <c r="J969" s="855">
        <f t="shared" si="451"/>
        <v>1.0193333906607196</v>
      </c>
      <c r="K969" s="855">
        <f t="shared" si="451"/>
        <v>1.0159790786920682</v>
      </c>
      <c r="L969" s="855">
        <f t="shared" si="451"/>
        <v>1.0145363137594039</v>
      </c>
      <c r="M969" s="855">
        <f t="shared" si="451"/>
        <v>1.0135837233129985</v>
      </c>
      <c r="N969" s="855">
        <f t="shared" si="451"/>
        <v>1.0121295361021856</v>
      </c>
      <c r="O969" s="855">
        <f t="shared" si="451"/>
        <v>1.0103569813098674</v>
      </c>
      <c r="P969" s="855">
        <f t="shared" si="451"/>
        <v>1.0079773247022192</v>
      </c>
      <c r="Q969" s="855">
        <f t="shared" si="451"/>
        <v>1.0052189760253749</v>
      </c>
    </row>
    <row r="970" spans="1:17">
      <c r="A970" s="853" t="s">
        <v>136</v>
      </c>
      <c r="B970" s="854"/>
      <c r="C970" s="855">
        <f t="shared" si="447"/>
        <v>1.0742913167446795</v>
      </c>
      <c r="D970" s="855">
        <f t="shared" ref="D970:Q970" si="452">D653/C653</f>
        <v>1.0700550974792846</v>
      </c>
      <c r="E970" s="855">
        <f t="shared" si="452"/>
        <v>1.0639671460860585</v>
      </c>
      <c r="F970" s="855">
        <f t="shared" si="452"/>
        <v>1.0560675814509046</v>
      </c>
      <c r="G970" s="855">
        <f t="shared" si="452"/>
        <v>1.0474291289419113</v>
      </c>
      <c r="H970" s="855">
        <f t="shared" si="452"/>
        <v>1.0388789638030571</v>
      </c>
      <c r="I970" s="855">
        <f t="shared" si="452"/>
        <v>1.031432421462219</v>
      </c>
      <c r="J970" s="855">
        <f t="shared" si="452"/>
        <v>1.0255407448677696</v>
      </c>
      <c r="K970" s="855">
        <f t="shared" si="452"/>
        <v>1.0215394760849306</v>
      </c>
      <c r="L970" s="855">
        <f t="shared" si="452"/>
        <v>1.0188459064816944</v>
      </c>
      <c r="M970" s="855">
        <f t="shared" si="452"/>
        <v>1.0164864233847479</v>
      </c>
      <c r="N970" s="855">
        <f t="shared" si="452"/>
        <v>1.0139314132720416</v>
      </c>
      <c r="O970" s="855">
        <f t="shared" si="452"/>
        <v>1.011444148755628</v>
      </c>
      <c r="P970" s="855">
        <f t="shared" si="452"/>
        <v>1.0089135767649751</v>
      </c>
      <c r="Q970" s="855">
        <f t="shared" si="452"/>
        <v>1.0063929165916103</v>
      </c>
    </row>
    <row r="971" spans="1:17">
      <c r="A971" s="853" t="s">
        <v>137</v>
      </c>
      <c r="B971" s="854"/>
      <c r="C971" s="855">
        <f t="shared" si="447"/>
        <v>1.0784900262793056</v>
      </c>
      <c r="D971" s="855">
        <f t="shared" ref="D971:Q971" si="453">D654/C654</f>
        <v>1.0724203553565497</v>
      </c>
      <c r="E971" s="855">
        <f t="shared" si="453"/>
        <v>1.0656825998863937</v>
      </c>
      <c r="F971" s="855">
        <f t="shared" si="453"/>
        <v>1.0584550556787264</v>
      </c>
      <c r="G971" s="855">
        <f t="shared" si="453"/>
        <v>1.0511663732394367</v>
      </c>
      <c r="H971" s="855">
        <f t="shared" si="453"/>
        <v>1.0440623812339502</v>
      </c>
      <c r="I971" s="855">
        <f t="shared" si="453"/>
        <v>1.0375438304913891</v>
      </c>
      <c r="J971" s="855">
        <f t="shared" si="453"/>
        <v>1.0318750973951638</v>
      </c>
      <c r="K971" s="855">
        <f t="shared" si="453"/>
        <v>1.0271909287639682</v>
      </c>
      <c r="L971" s="855">
        <f t="shared" si="453"/>
        <v>1.0232473712827941</v>
      </c>
      <c r="M971" s="855">
        <f t="shared" si="453"/>
        <v>1.0195028487307134</v>
      </c>
      <c r="N971" s="855">
        <f t="shared" si="453"/>
        <v>1.0158780897792721</v>
      </c>
      <c r="O971" s="855">
        <f t="shared" si="453"/>
        <v>1.0127654264726627</v>
      </c>
      <c r="P971" s="855">
        <f t="shared" si="453"/>
        <v>1.0102115702049279</v>
      </c>
      <c r="Q971" s="855">
        <f t="shared" si="453"/>
        <v>1.0080827393744549</v>
      </c>
    </row>
    <row r="972" spans="1:17">
      <c r="A972" s="853" t="s">
        <v>138</v>
      </c>
      <c r="B972" s="854"/>
      <c r="C972" s="855">
        <f t="shared" si="447"/>
        <v>1.0825619186835505</v>
      </c>
      <c r="D972" s="855">
        <f t="shared" ref="D972:Q972" si="454">D655/C655</f>
        <v>1.0741068803714124</v>
      </c>
      <c r="E972" s="855">
        <f t="shared" si="454"/>
        <v>1.0665590820711692</v>
      </c>
      <c r="F972" s="855">
        <f t="shared" si="454"/>
        <v>1.0602635969969849</v>
      </c>
      <c r="G972" s="855">
        <f t="shared" si="454"/>
        <v>1.0547825932068955</v>
      </c>
      <c r="H972" s="855">
        <f t="shared" si="454"/>
        <v>1.0495612370789933</v>
      </c>
      <c r="I972" s="855">
        <f t="shared" si="454"/>
        <v>1.0442121661538519</v>
      </c>
      <c r="J972" s="855">
        <f t="shared" si="454"/>
        <v>1.0388162432554671</v>
      </c>
      <c r="K972" s="855">
        <f t="shared" si="454"/>
        <v>1.0333025921211176</v>
      </c>
      <c r="L972" s="855">
        <f t="shared" si="454"/>
        <v>1.0278815431277313</v>
      </c>
      <c r="M972" s="855">
        <f t="shared" si="454"/>
        <v>1.0225241432791485</v>
      </c>
      <c r="N972" s="855">
        <f t="shared" si="454"/>
        <v>1.0177017598123297</v>
      </c>
      <c r="O972" s="855">
        <f t="shared" si="454"/>
        <v>1.0139488730778856</v>
      </c>
      <c r="P972" s="855">
        <f t="shared" si="454"/>
        <v>1.0115085262904659</v>
      </c>
      <c r="Q972" s="855">
        <f t="shared" si="454"/>
        <v>1.0099867536008116</v>
      </c>
    </row>
    <row r="973" spans="1:17">
      <c r="A973" s="853" t="s">
        <v>139</v>
      </c>
      <c r="B973" s="854"/>
      <c r="C973" s="855">
        <f t="shared" si="447"/>
        <v>1.0857294128434398</v>
      </c>
      <c r="D973" s="855">
        <f t="shared" ref="D973:Q973" si="455">D656/C656</f>
        <v>1.0765301535670211</v>
      </c>
      <c r="E973" s="855">
        <f t="shared" si="455"/>
        <v>1.0689626812226853</v>
      </c>
      <c r="F973" s="855">
        <f t="shared" si="455"/>
        <v>1.0634365060858471</v>
      </c>
      <c r="G973" s="855">
        <f t="shared" si="455"/>
        <v>1.0590769148573833</v>
      </c>
      <c r="H973" s="855">
        <f t="shared" si="455"/>
        <v>1.054976468684117</v>
      </c>
      <c r="I973" s="855">
        <f t="shared" si="455"/>
        <v>1.0503173913736492</v>
      </c>
      <c r="J973" s="855">
        <f t="shared" si="455"/>
        <v>1.0450101819471753</v>
      </c>
      <c r="K973" s="855">
        <f t="shared" si="455"/>
        <v>1.0389055085807228</v>
      </c>
      <c r="L973" s="855">
        <f t="shared" si="455"/>
        <v>1.0325247218113689</v>
      </c>
      <c r="M973" s="855">
        <f t="shared" si="455"/>
        <v>1.026170479563673</v>
      </c>
      <c r="N973" s="855">
        <f t="shared" si="455"/>
        <v>1.0205978581723554</v>
      </c>
      <c r="O973" s="855">
        <f t="shared" si="455"/>
        <v>1.0163898666722682</v>
      </c>
      <c r="P973" s="855">
        <f t="shared" si="455"/>
        <v>1.013871313383103</v>
      </c>
      <c r="Q973" s="855">
        <f t="shared" si="455"/>
        <v>1.0125157289408591</v>
      </c>
    </row>
    <row r="974" spans="1:17">
      <c r="A974" s="853" t="s">
        <v>140</v>
      </c>
      <c r="B974" s="854"/>
      <c r="C974" s="855">
        <f t="shared" si="447"/>
        <v>1.0874969898376923</v>
      </c>
      <c r="D974" s="855">
        <f t="shared" ref="D974:Q974" si="456">D657/C657</f>
        <v>1.0808410504420636</v>
      </c>
      <c r="E974" s="855">
        <f t="shared" si="456"/>
        <v>1.0746593603514023</v>
      </c>
      <c r="F974" s="855">
        <f t="shared" si="456"/>
        <v>1.0693670931122223</v>
      </c>
      <c r="G974" s="855">
        <f t="shared" si="456"/>
        <v>1.0645631708369334</v>
      </c>
      <c r="H974" s="855">
        <f t="shared" si="456"/>
        <v>1.0599352919898719</v>
      </c>
      <c r="I974" s="855">
        <f t="shared" si="456"/>
        <v>1.0549672899017379</v>
      </c>
      <c r="J974" s="855">
        <f t="shared" si="456"/>
        <v>1.0494635014232412</v>
      </c>
      <c r="K974" s="855">
        <f t="shared" si="456"/>
        <v>1.0433372117028454</v>
      </c>
      <c r="L974" s="855">
        <f t="shared" si="456"/>
        <v>1.0370389958073536</v>
      </c>
      <c r="M974" s="855">
        <f t="shared" si="456"/>
        <v>1.0308185512731005</v>
      </c>
      <c r="N974" s="855">
        <f t="shared" si="456"/>
        <v>1.0252970097718093</v>
      </c>
      <c r="O974" s="855">
        <f t="shared" si="456"/>
        <v>1.0209349514021941</v>
      </c>
      <c r="P974" s="855">
        <f t="shared" si="456"/>
        <v>1.017982794601902</v>
      </c>
      <c r="Q974" s="855">
        <f t="shared" si="456"/>
        <v>1.0159945118676059</v>
      </c>
    </row>
    <row r="975" spans="1:17">
      <c r="A975" s="853" t="s">
        <v>141</v>
      </c>
      <c r="B975" s="854"/>
      <c r="C975" s="855">
        <f t="shared" si="447"/>
        <v>1.0877405134821132</v>
      </c>
      <c r="D975" s="855">
        <f t="shared" ref="D975:Q975" si="457">D658/C658</f>
        <v>1.0863122073238127</v>
      </c>
      <c r="E975" s="855">
        <f t="shared" si="457"/>
        <v>1.0826821841722036</v>
      </c>
      <c r="F975" s="855">
        <f t="shared" si="457"/>
        <v>1.0772169846316177</v>
      </c>
      <c r="G975" s="855">
        <f t="shared" si="457"/>
        <v>1.0708159186593902</v>
      </c>
      <c r="H975" s="855">
        <f t="shared" si="457"/>
        <v>1.064492576689674</v>
      </c>
      <c r="I975" s="855">
        <f t="shared" si="457"/>
        <v>1.0585634172212699</v>
      </c>
      <c r="J975" s="855">
        <f t="shared" si="457"/>
        <v>1.052725373967309</v>
      </c>
      <c r="K975" s="855">
        <f t="shared" si="457"/>
        <v>1.0470332967185232</v>
      </c>
      <c r="L975" s="855">
        <f t="shared" si="457"/>
        <v>1.0415718495546111</v>
      </c>
      <c r="M975" s="855">
        <f t="shared" si="457"/>
        <v>1.0362805068922469</v>
      </c>
      <c r="N975" s="855">
        <f t="shared" si="457"/>
        <v>1.0313401222864476</v>
      </c>
      <c r="O975" s="855">
        <f t="shared" si="457"/>
        <v>1.0269953627967596</v>
      </c>
      <c r="P975" s="855">
        <f t="shared" si="457"/>
        <v>1.0233256106951549</v>
      </c>
      <c r="Q975" s="855">
        <f t="shared" si="457"/>
        <v>1.0201602657105808</v>
      </c>
    </row>
    <row r="976" spans="1:17">
      <c r="A976" s="853" t="s">
        <v>142</v>
      </c>
      <c r="B976" s="854"/>
      <c r="C976" s="855">
        <f t="shared" si="447"/>
        <v>1.0873400177451999</v>
      </c>
      <c r="D976" s="855">
        <f t="shared" ref="D976:Q976" si="458">D659/C659</f>
        <v>1.0918603534895626</v>
      </c>
      <c r="E976" s="855">
        <f t="shared" si="458"/>
        <v>1.0911055101289855</v>
      </c>
      <c r="F976" s="855">
        <f t="shared" si="458"/>
        <v>1.0854352792654591</v>
      </c>
      <c r="G976" s="855">
        <f t="shared" si="458"/>
        <v>1.0773042098693129</v>
      </c>
      <c r="H976" s="855">
        <f t="shared" si="458"/>
        <v>1.0691971577915715</v>
      </c>
      <c r="I976" s="855">
        <f t="shared" si="458"/>
        <v>1.0622970972978134</v>
      </c>
      <c r="J976" s="855">
        <f t="shared" si="458"/>
        <v>1.0561382417545377</v>
      </c>
      <c r="K976" s="855">
        <f t="shared" si="458"/>
        <v>1.0509095744680852</v>
      </c>
      <c r="L976" s="855">
        <f t="shared" si="458"/>
        <v>1.0463084157087832</v>
      </c>
      <c r="M976" s="855">
        <f t="shared" si="458"/>
        <v>1.0419455863529543</v>
      </c>
      <c r="N976" s="855">
        <f t="shared" si="458"/>
        <v>1.0375586374930823</v>
      </c>
      <c r="O976" s="855">
        <f t="shared" si="458"/>
        <v>1.0331831341366826</v>
      </c>
      <c r="P976" s="855">
        <f t="shared" si="458"/>
        <v>1.0287669642888078</v>
      </c>
      <c r="Q976" s="855">
        <f t="shared" si="458"/>
        <v>1.0244305145681341</v>
      </c>
    </row>
    <row r="977" spans="1:17">
      <c r="A977" s="853" t="s">
        <v>143</v>
      </c>
      <c r="B977" s="854"/>
      <c r="C977" s="855">
        <f t="shared" si="447"/>
        <v>1.0868006508868118</v>
      </c>
      <c r="D977" s="855">
        <f t="shared" ref="D977:Q977" si="459">D660/C660</f>
        <v>1.0993501362936042</v>
      </c>
      <c r="E977" s="855">
        <f t="shared" si="459"/>
        <v>1.1021728232687757</v>
      </c>
      <c r="F977" s="855">
        <f t="shared" si="459"/>
        <v>1.0957171408915884</v>
      </c>
      <c r="G977" s="855">
        <f t="shared" si="459"/>
        <v>1.0847967006726309</v>
      </c>
      <c r="H977" s="855">
        <f t="shared" si="459"/>
        <v>1.0739811172736897</v>
      </c>
      <c r="I977" s="855">
        <f t="shared" si="459"/>
        <v>1.0655876711524068</v>
      </c>
      <c r="J977" s="855">
        <f t="shared" si="459"/>
        <v>1.058942948154078</v>
      </c>
      <c r="K977" s="855">
        <f t="shared" si="459"/>
        <v>1.0543809655303535</v>
      </c>
      <c r="L977" s="855">
        <f t="shared" si="459"/>
        <v>1.0510287977502764</v>
      </c>
      <c r="M977" s="855">
        <f t="shared" si="459"/>
        <v>1.0479814381359707</v>
      </c>
      <c r="N977" s="855">
        <f t="shared" si="459"/>
        <v>1.0443540999964918</v>
      </c>
      <c r="O977" s="855">
        <f t="shared" si="459"/>
        <v>1.0399836896479653</v>
      </c>
      <c r="P977" s="855">
        <f t="shared" si="459"/>
        <v>1.0346673987921722</v>
      </c>
      <c r="Q977" s="855">
        <f t="shared" si="459"/>
        <v>1.028929883923198</v>
      </c>
    </row>
    <row r="978" spans="1:17">
      <c r="A978" s="853" t="s">
        <v>144</v>
      </c>
      <c r="B978" s="854"/>
      <c r="C978" s="855">
        <f t="shared" si="447"/>
        <v>1.0813694382936736</v>
      </c>
      <c r="D978" s="855">
        <f t="shared" ref="D978:Q978" si="460">D661/C661</f>
        <v>1.0993796475083193</v>
      </c>
      <c r="E978" s="855">
        <f t="shared" si="460"/>
        <v>1.1055345763511919</v>
      </c>
      <c r="F978" s="855">
        <f t="shared" si="460"/>
        <v>1.1000910873192931</v>
      </c>
      <c r="G978" s="855">
        <f t="shared" si="460"/>
        <v>1.0890033136090849</v>
      </c>
      <c r="H978" s="855">
        <f t="shared" si="460"/>
        <v>1.0778740560889226</v>
      </c>
      <c r="I978" s="855">
        <f t="shared" si="460"/>
        <v>1.069544731240571</v>
      </c>
      <c r="J978" s="855">
        <f t="shared" si="460"/>
        <v>1.063170396476679</v>
      </c>
      <c r="K978" s="855">
        <f t="shared" si="460"/>
        <v>1.0591431787368555</v>
      </c>
      <c r="L978" s="855">
        <f t="shared" si="460"/>
        <v>1.0563885390320158</v>
      </c>
      <c r="M978" s="855">
        <f t="shared" si="460"/>
        <v>1.0539135425465098</v>
      </c>
      <c r="N978" s="855">
        <f t="shared" si="460"/>
        <v>1.0505832537886066</v>
      </c>
      <c r="O978" s="855">
        <f t="shared" si="460"/>
        <v>1.0460479795633544</v>
      </c>
      <c r="P978" s="855">
        <f t="shared" si="460"/>
        <v>1.0400847077302817</v>
      </c>
      <c r="Q978" s="855">
        <f t="shared" si="460"/>
        <v>1.0334563969245789</v>
      </c>
    </row>
    <row r="979" spans="1:17">
      <c r="A979" s="853" t="s">
        <v>145</v>
      </c>
      <c r="B979" s="854"/>
      <c r="C979" s="855">
        <f t="shared" si="447"/>
        <v>1.0685595601710445</v>
      </c>
      <c r="D979" s="855">
        <f t="shared" ref="D979:Q979" si="461">D662/C662</f>
        <v>1.0850178821334162</v>
      </c>
      <c r="E979" s="855">
        <f t="shared" si="461"/>
        <v>1.0930352148741695</v>
      </c>
      <c r="F979" s="855">
        <f t="shared" si="461"/>
        <v>1.0922871945564379</v>
      </c>
      <c r="G979" s="855">
        <f t="shared" si="461"/>
        <v>1.0866063894763227</v>
      </c>
      <c r="H979" s="855">
        <f t="shared" si="461"/>
        <v>1.0802412778041315</v>
      </c>
      <c r="I979" s="855">
        <f t="shared" si="461"/>
        <v>1.0751080158027158</v>
      </c>
      <c r="J979" s="855">
        <f t="shared" si="461"/>
        <v>1.0704008437638133</v>
      </c>
      <c r="K979" s="855">
        <f t="shared" si="461"/>
        <v>1.0664317889864496</v>
      </c>
      <c r="L979" s="855">
        <f t="shared" si="461"/>
        <v>1.0627898085425511</v>
      </c>
      <c r="M979" s="855">
        <f t="shared" si="461"/>
        <v>1.0593130834224993</v>
      </c>
      <c r="N979" s="855">
        <f t="shared" si="461"/>
        <v>1.0553389540870193</v>
      </c>
      <c r="O979" s="855">
        <f t="shared" si="461"/>
        <v>1.0503950163988531</v>
      </c>
      <c r="P979" s="855">
        <f t="shared" si="461"/>
        <v>1.0443618782414708</v>
      </c>
      <c r="Q979" s="855">
        <f t="shared" si="461"/>
        <v>1.0378715370686202</v>
      </c>
    </row>
    <row r="980" spans="1:17">
      <c r="A980" s="853" t="s">
        <v>146</v>
      </c>
      <c r="B980" s="854"/>
      <c r="C980" s="855">
        <f t="shared" si="447"/>
        <v>1.0515329710037322</v>
      </c>
      <c r="D980" s="855">
        <f t="shared" ref="D980:Q980" si="462">D663/C663</f>
        <v>1.0608815790093062</v>
      </c>
      <c r="E980" s="855">
        <f t="shared" si="462"/>
        <v>1.0686447427680199</v>
      </c>
      <c r="F980" s="855">
        <f t="shared" si="462"/>
        <v>1.074524271199671</v>
      </c>
      <c r="G980" s="855">
        <f t="shared" si="462"/>
        <v>1.0784131504562589</v>
      </c>
      <c r="H980" s="855">
        <f t="shared" si="462"/>
        <v>1.0809690341906679</v>
      </c>
      <c r="I980" s="855">
        <f t="shared" si="462"/>
        <v>1.0816977648427635</v>
      </c>
      <c r="J980" s="855">
        <f t="shared" si="462"/>
        <v>1.0798175441392104</v>
      </c>
      <c r="K980" s="855">
        <f t="shared" si="462"/>
        <v>1.0755125265344581</v>
      </c>
      <c r="L980" s="855">
        <f t="shared" si="462"/>
        <v>1.0698571562389094</v>
      </c>
      <c r="M980" s="855">
        <f t="shared" si="462"/>
        <v>1.0642549728083264</v>
      </c>
      <c r="N980" s="855">
        <f t="shared" si="462"/>
        <v>1.0590186729083504</v>
      </c>
      <c r="O980" s="855">
        <f t="shared" si="462"/>
        <v>1.0535587871970973</v>
      </c>
      <c r="P980" s="855">
        <f t="shared" si="462"/>
        <v>1.0479219523542966</v>
      </c>
      <c r="Q980" s="855">
        <f t="shared" si="462"/>
        <v>1.0423252527394771</v>
      </c>
    </row>
    <row r="981" spans="1:17">
      <c r="A981" s="853" t="s">
        <v>147</v>
      </c>
      <c r="B981" s="854"/>
      <c r="C981" s="855">
        <f t="shared" si="447"/>
        <v>1.0343198495815171</v>
      </c>
      <c r="D981" s="855">
        <f>D664/C664</f>
        <v>1.0363011858338962</v>
      </c>
      <c r="E981" s="855">
        <f>E664/D664</f>
        <v>1.0427890050546103</v>
      </c>
      <c r="F981" s="855">
        <f>F664/E664</f>
        <v>1.0546788727788319</v>
      </c>
      <c r="G981" s="855">
        <f>G664/F664</f>
        <v>1.0685966350503553</v>
      </c>
      <c r="H981" s="855">
        <f t="shared" ref="D981:Q996" si="463">H664/G664</f>
        <v>1.0811840533595147</v>
      </c>
      <c r="I981" s="855">
        <f t="shared" si="463"/>
        <v>1.0886560870292519</v>
      </c>
      <c r="J981" s="855">
        <f t="shared" si="463"/>
        <v>1.0899498505648142</v>
      </c>
      <c r="K981" s="855">
        <f t="shared" si="463"/>
        <v>1.0851973893146565</v>
      </c>
      <c r="L981" s="855">
        <f t="shared" si="463"/>
        <v>1.0773009410474863</v>
      </c>
      <c r="M981" s="855">
        <f t="shared" si="463"/>
        <v>1.0694154204957298</v>
      </c>
      <c r="N981" s="855">
        <f t="shared" si="463"/>
        <v>1.0628725857435111</v>
      </c>
      <c r="O981" s="855">
        <f t="shared" si="463"/>
        <v>1.0568964371526601</v>
      </c>
      <c r="P981" s="855">
        <f t="shared" si="463"/>
        <v>1.051681442090157</v>
      </c>
      <c r="Q981" s="855">
        <f t="shared" si="463"/>
        <v>1.0469989280762222</v>
      </c>
    </row>
    <row r="982" spans="1:17">
      <c r="A982" s="853" t="s">
        <v>148</v>
      </c>
      <c r="B982" s="854"/>
      <c r="C982" s="855">
        <f t="shared" si="447"/>
        <v>1.0159122877524365</v>
      </c>
      <c r="D982" s="855">
        <f t="shared" si="463"/>
        <v>1.0084904377495643</v>
      </c>
      <c r="E982" s="855">
        <f t="shared" si="463"/>
        <v>1.0117777140349458</v>
      </c>
      <c r="F982" s="855">
        <f t="shared" si="463"/>
        <v>1.0294165396553854</v>
      </c>
      <c r="G982" s="855">
        <f t="shared" si="463"/>
        <v>1.0554665009544928</v>
      </c>
      <c r="H982" s="855">
        <f t="shared" si="463"/>
        <v>1.0813653971815156</v>
      </c>
      <c r="I982" s="855">
        <f t="shared" si="463"/>
        <v>1.0979106213689545</v>
      </c>
      <c r="J982" s="855">
        <f t="shared" si="463"/>
        <v>1.1031471421379679</v>
      </c>
      <c r="K982" s="855">
        <f t="shared" si="463"/>
        <v>1.097253889627716</v>
      </c>
      <c r="L982" s="855">
        <f t="shared" si="463"/>
        <v>1.0859367361855798</v>
      </c>
      <c r="M982" s="855">
        <f t="shared" si="463"/>
        <v>1.0747645253995315</v>
      </c>
      <c r="N982" s="855">
        <f t="shared" si="463"/>
        <v>1.0663565021527137</v>
      </c>
      <c r="O982" s="855">
        <f t="shared" si="463"/>
        <v>1.0596698916056404</v>
      </c>
      <c r="P982" s="855">
        <f t="shared" si="463"/>
        <v>1.0550814101123398</v>
      </c>
      <c r="Q982" s="855">
        <f t="shared" si="463"/>
        <v>1.0516972752812435</v>
      </c>
    </row>
    <row r="983" spans="1:17">
      <c r="A983" s="853" t="s">
        <v>149</v>
      </c>
      <c r="B983" s="854"/>
      <c r="C983" s="855">
        <f t="shared" si="447"/>
        <v>1.0032717509201801</v>
      </c>
      <c r="D983" s="855">
        <f t="shared" si="463"/>
        <v>0.9900775013229155</v>
      </c>
      <c r="E983" s="855">
        <f t="shared" si="463"/>
        <v>0.99026191559985888</v>
      </c>
      <c r="F983" s="855">
        <f t="shared" si="463"/>
        <v>1.0097796164592983</v>
      </c>
      <c r="G983" s="855">
        <f t="shared" si="463"/>
        <v>1.0423890276992798</v>
      </c>
      <c r="H983" s="855">
        <f t="shared" si="463"/>
        <v>1.0766248932766758</v>
      </c>
      <c r="I983" s="855">
        <f t="shared" si="463"/>
        <v>1.0995948298650042</v>
      </c>
      <c r="J983" s="855">
        <f t="shared" si="463"/>
        <v>1.1084547585346494</v>
      </c>
      <c r="K983" s="855">
        <f t="shared" si="463"/>
        <v>1.1032221154457378</v>
      </c>
      <c r="L983" s="855">
        <f t="shared" si="463"/>
        <v>1.091122160535253</v>
      </c>
      <c r="M983" s="855">
        <f t="shared" si="463"/>
        <v>1.0791028896706505</v>
      </c>
      <c r="N983" s="855">
        <f t="shared" si="463"/>
        <v>1.0704199201180238</v>
      </c>
      <c r="O983" s="855">
        <f t="shared" si="463"/>
        <v>1.063817313678481</v>
      </c>
      <c r="P983" s="855">
        <f t="shared" si="463"/>
        <v>1.059734921545777</v>
      </c>
      <c r="Q983" s="855">
        <f t="shared" si="463"/>
        <v>1.0570154409116173</v>
      </c>
    </row>
    <row r="984" spans="1:17">
      <c r="A984" s="853" t="s">
        <v>150</v>
      </c>
      <c r="B984" s="854"/>
      <c r="C984" s="855">
        <f t="shared" ref="C984:C1015" si="464">C667/B667</f>
        <v>0.99957028578615437</v>
      </c>
      <c r="D984" s="855">
        <f t="shared" si="463"/>
        <v>0.98820923496336677</v>
      </c>
      <c r="E984" s="855">
        <f t="shared" si="463"/>
        <v>0.98835768872666696</v>
      </c>
      <c r="F984" s="855">
        <f t="shared" si="463"/>
        <v>1.005228154740498</v>
      </c>
      <c r="G984" s="855">
        <f t="shared" si="463"/>
        <v>1.0338169410432896</v>
      </c>
      <c r="H984" s="855">
        <f t="shared" si="463"/>
        <v>1.0642438767393574</v>
      </c>
      <c r="I984" s="855">
        <f t="shared" si="463"/>
        <v>1.0860059016520742</v>
      </c>
      <c r="J984" s="855">
        <f t="shared" si="463"/>
        <v>1.0969208768127277</v>
      </c>
      <c r="K984" s="855">
        <f t="shared" si="463"/>
        <v>1.0962508020900175</v>
      </c>
      <c r="L984" s="855">
        <f t="shared" si="463"/>
        <v>1.0892419470226979</v>
      </c>
      <c r="M984" s="855">
        <f t="shared" si="463"/>
        <v>1.0816351945900671</v>
      </c>
      <c r="N984" s="855">
        <f t="shared" si="463"/>
        <v>1.0759281048019504</v>
      </c>
      <c r="O984" s="855">
        <f t="shared" si="463"/>
        <v>1.070879173232675</v>
      </c>
      <c r="P984" s="855">
        <f t="shared" si="463"/>
        <v>1.0668640584126254</v>
      </c>
      <c r="Q984" s="855">
        <f t="shared" si="463"/>
        <v>1.0633342443220384</v>
      </c>
    </row>
    <row r="985" spans="1:17">
      <c r="A985" s="853" t="s">
        <v>151</v>
      </c>
      <c r="B985" s="854"/>
      <c r="C985" s="855">
        <f t="shared" si="464"/>
        <v>1.0021104264922851</v>
      </c>
      <c r="D985" s="855">
        <f t="shared" si="463"/>
        <v>0.99792406446326132</v>
      </c>
      <c r="E985" s="855">
        <f t="shared" si="463"/>
        <v>1.000301089396179</v>
      </c>
      <c r="F985" s="855">
        <f t="shared" si="463"/>
        <v>1.011673279518402</v>
      </c>
      <c r="G985" s="855">
        <f t="shared" si="463"/>
        <v>1.0292197254108559</v>
      </c>
      <c r="H985" s="855">
        <f t="shared" si="463"/>
        <v>1.0473406058567378</v>
      </c>
      <c r="I985" s="855">
        <f t="shared" si="463"/>
        <v>1.0617238723016664</v>
      </c>
      <c r="J985" s="855">
        <f t="shared" si="463"/>
        <v>1.0724100280763449</v>
      </c>
      <c r="K985" s="855">
        <f t="shared" si="463"/>
        <v>1.0785285970236087</v>
      </c>
      <c r="L985" s="855">
        <f t="shared" si="463"/>
        <v>1.0810964334242603</v>
      </c>
      <c r="M985" s="855">
        <f t="shared" si="463"/>
        <v>1.0823124057350866</v>
      </c>
      <c r="N985" s="855">
        <f t="shared" si="463"/>
        <v>1.0823738965676817</v>
      </c>
      <c r="O985" s="855">
        <f t="shared" si="463"/>
        <v>1.0801173251416547</v>
      </c>
      <c r="P985" s="855">
        <f t="shared" si="463"/>
        <v>1.0758042881426315</v>
      </c>
      <c r="Q985" s="855">
        <f t="shared" si="463"/>
        <v>1.0703407139177727</v>
      </c>
    </row>
    <row r="986" spans="1:17">
      <c r="A986" s="853" t="s">
        <v>152</v>
      </c>
      <c r="B986" s="854"/>
      <c r="C986" s="855">
        <f t="shared" si="464"/>
        <v>1.0047582209429982</v>
      </c>
      <c r="D986" s="855">
        <f t="shared" si="463"/>
        <v>1.0072040195315264</v>
      </c>
      <c r="E986" s="855">
        <f t="shared" si="463"/>
        <v>1.0111573267382385</v>
      </c>
      <c r="F986" s="855">
        <f t="shared" si="463"/>
        <v>1.0167569971372188</v>
      </c>
      <c r="G986" s="855">
        <f t="shared" si="463"/>
        <v>1.0237330483107767</v>
      </c>
      <c r="H986" s="855">
        <f t="shared" si="463"/>
        <v>1.0300586647298673</v>
      </c>
      <c r="I986" s="855">
        <f t="shared" si="463"/>
        <v>1.0366525127152255</v>
      </c>
      <c r="J986" s="855">
        <f t="shared" si="463"/>
        <v>1.0460393551339471</v>
      </c>
      <c r="K986" s="855">
        <f t="shared" si="463"/>
        <v>1.0584019430658749</v>
      </c>
      <c r="L986" s="855">
        <f t="shared" si="463"/>
        <v>1.071168501461361</v>
      </c>
      <c r="M986" s="855">
        <f t="shared" si="463"/>
        <v>1.0824401630374045</v>
      </c>
      <c r="N986" s="855">
        <f t="shared" si="463"/>
        <v>1.0892442494701406</v>
      </c>
      <c r="O986" s="855">
        <f t="shared" si="463"/>
        <v>1.090178608154776</v>
      </c>
      <c r="P986" s="855">
        <f t="shared" si="463"/>
        <v>1.08546854314685</v>
      </c>
      <c r="Q986" s="855">
        <f t="shared" si="463"/>
        <v>1.0778139314866226</v>
      </c>
    </row>
    <row r="987" spans="1:17">
      <c r="A987" s="853" t="s">
        <v>153</v>
      </c>
      <c r="B987" s="854"/>
      <c r="C987" s="855">
        <f t="shared" si="464"/>
        <v>1.0091779209332317</v>
      </c>
      <c r="D987" s="855">
        <f t="shared" si="463"/>
        <v>1.0195927865719805</v>
      </c>
      <c r="E987" s="855">
        <f t="shared" si="463"/>
        <v>1.0251752030861039</v>
      </c>
      <c r="F987" s="855">
        <f t="shared" si="463"/>
        <v>1.0238279497532528</v>
      </c>
      <c r="G987" s="855">
        <f t="shared" si="463"/>
        <v>1.0186970405709621</v>
      </c>
      <c r="H987" s="855">
        <f t="shared" si="463"/>
        <v>1.0113612839917734</v>
      </c>
      <c r="I987" s="855">
        <f t="shared" si="463"/>
        <v>1.0078789763710456</v>
      </c>
      <c r="J987" s="855">
        <f t="shared" si="463"/>
        <v>1.0138544922261346</v>
      </c>
      <c r="K987" s="855">
        <f t="shared" si="463"/>
        <v>1.0322547917837297</v>
      </c>
      <c r="L987" s="855">
        <f t="shared" si="463"/>
        <v>1.0575393075222967</v>
      </c>
      <c r="M987" s="855">
        <f t="shared" si="463"/>
        <v>1.0823946296697875</v>
      </c>
      <c r="N987" s="855">
        <f t="shared" si="463"/>
        <v>1.0984313595984283</v>
      </c>
      <c r="O987" s="855">
        <f t="shared" si="463"/>
        <v>1.1034325869270669</v>
      </c>
      <c r="P987" s="855">
        <f t="shared" si="463"/>
        <v>1.0976569808311643</v>
      </c>
      <c r="Q987" s="855">
        <f t="shared" si="463"/>
        <v>1.0866220304091398</v>
      </c>
    </row>
    <row r="988" spans="1:17">
      <c r="A988" s="853" t="s">
        <v>154</v>
      </c>
      <c r="B988" s="854"/>
      <c r="C988" s="855">
        <f t="shared" si="464"/>
        <v>1.0119539614235196</v>
      </c>
      <c r="D988" s="855">
        <f t="shared" si="463"/>
        <v>1.0260373749706786</v>
      </c>
      <c r="E988" s="855">
        <f t="shared" si="463"/>
        <v>1.0316548449498799</v>
      </c>
      <c r="F988" s="855">
        <f t="shared" si="463"/>
        <v>1.025825330984715</v>
      </c>
      <c r="G988" s="855">
        <f t="shared" si="463"/>
        <v>1.0136704794084248</v>
      </c>
      <c r="H988" s="855">
        <f t="shared" si="463"/>
        <v>0.9985027567854079</v>
      </c>
      <c r="I988" s="855">
        <f t="shared" si="463"/>
        <v>0.988619759315708</v>
      </c>
      <c r="J988" s="855">
        <f t="shared" si="463"/>
        <v>0.99120672905266838</v>
      </c>
      <c r="K988" s="855">
        <f t="shared" si="463"/>
        <v>1.0116720000446775</v>
      </c>
      <c r="L988" s="855">
        <f t="shared" si="463"/>
        <v>1.04399092469818</v>
      </c>
      <c r="M988" s="855">
        <f t="shared" si="463"/>
        <v>1.0776517554991538</v>
      </c>
      <c r="N988" s="855">
        <f t="shared" si="463"/>
        <v>1.100411912337989</v>
      </c>
      <c r="O988" s="855">
        <f t="shared" si="463"/>
        <v>1.1091652918357338</v>
      </c>
      <c r="P988" s="855">
        <f t="shared" si="463"/>
        <v>1.1040130249947235</v>
      </c>
      <c r="Q988" s="855">
        <f t="shared" si="463"/>
        <v>1.092097980526243</v>
      </c>
    </row>
    <row r="989" spans="1:17">
      <c r="A989" s="853" t="s">
        <v>155</v>
      </c>
      <c r="B989" s="854"/>
      <c r="C989" s="855">
        <f t="shared" si="464"/>
        <v>1.0103581395920673</v>
      </c>
      <c r="D989" s="855">
        <f t="shared" si="463"/>
        <v>1.020038452412098</v>
      </c>
      <c r="E989" s="855">
        <f t="shared" si="463"/>
        <v>1.0233638031046361</v>
      </c>
      <c r="F989" s="855">
        <f t="shared" si="463"/>
        <v>1.017919851721897</v>
      </c>
      <c r="G989" s="855">
        <f t="shared" si="463"/>
        <v>1.00759831428506</v>
      </c>
      <c r="H989" s="855">
        <f t="shared" si="463"/>
        <v>0.99481448647788562</v>
      </c>
      <c r="I989" s="855">
        <f t="shared" si="463"/>
        <v>0.98650165516098909</v>
      </c>
      <c r="J989" s="855">
        <f t="shared" si="463"/>
        <v>0.98896902351248295</v>
      </c>
      <c r="K989" s="855">
        <f t="shared" si="463"/>
        <v>1.0069061218276192</v>
      </c>
      <c r="L989" s="855">
        <f t="shared" si="463"/>
        <v>1.0354800255858581</v>
      </c>
      <c r="M989" s="855">
        <f t="shared" si="463"/>
        <v>1.065667442572225</v>
      </c>
      <c r="N989" s="855">
        <f t="shared" si="463"/>
        <v>1.0874318235712592</v>
      </c>
      <c r="O989" s="855">
        <f t="shared" si="463"/>
        <v>1.0982450274161464</v>
      </c>
      <c r="P989" s="855">
        <f t="shared" si="463"/>
        <v>1.0975135683713542</v>
      </c>
      <c r="Q989" s="855">
        <f t="shared" si="463"/>
        <v>1.0904737877895465</v>
      </c>
    </row>
    <row r="990" spans="1:17">
      <c r="A990" s="853" t="s">
        <v>156</v>
      </c>
      <c r="B990" s="854"/>
      <c r="C990" s="855">
        <f t="shared" si="464"/>
        <v>1.0063107377787064</v>
      </c>
      <c r="D990" s="855">
        <f t="shared" si="463"/>
        <v>1.0066161676299341</v>
      </c>
      <c r="E990" s="855">
        <f t="shared" si="463"/>
        <v>1.0059327020485413</v>
      </c>
      <c r="F990" s="855">
        <f t="shared" si="463"/>
        <v>1.0036664716843458</v>
      </c>
      <c r="G990" s="855">
        <f t="shared" si="463"/>
        <v>1.0009102652687236</v>
      </c>
      <c r="H990" s="855">
        <f t="shared" si="463"/>
        <v>0.99764386669988259</v>
      </c>
      <c r="I990" s="855">
        <f t="shared" si="463"/>
        <v>0.9966815889863655</v>
      </c>
      <c r="J990" s="855">
        <f t="shared" si="463"/>
        <v>1.0014972002958178</v>
      </c>
      <c r="K990" s="855">
        <f t="shared" si="463"/>
        <v>1.0139218339808487</v>
      </c>
      <c r="L990" s="855">
        <f t="shared" si="463"/>
        <v>1.0314268727705114</v>
      </c>
      <c r="M990" s="855">
        <f t="shared" si="463"/>
        <v>1.0492719873649747</v>
      </c>
      <c r="N990" s="855">
        <f t="shared" si="463"/>
        <v>1.0636419569970446</v>
      </c>
      <c r="O990" s="855">
        <f t="shared" si="463"/>
        <v>1.0741688573951937</v>
      </c>
      <c r="P990" s="855">
        <f t="shared" si="463"/>
        <v>1.0800920283008661</v>
      </c>
      <c r="Q990" s="855">
        <f t="shared" si="463"/>
        <v>1.0824574758387977</v>
      </c>
    </row>
    <row r="991" spans="1:17">
      <c r="A991" s="853" t="s">
        <v>157</v>
      </c>
      <c r="B991" s="854"/>
      <c r="C991" s="855">
        <f t="shared" si="464"/>
        <v>1.0037585298602874</v>
      </c>
      <c r="D991" s="855">
        <f t="shared" si="463"/>
        <v>0.99581357518837388</v>
      </c>
      <c r="E991" s="855">
        <f t="shared" si="463"/>
        <v>0.9911542883208867</v>
      </c>
      <c r="F991" s="855">
        <f t="shared" si="463"/>
        <v>0.99116863247517728</v>
      </c>
      <c r="G991" s="855">
        <f t="shared" si="463"/>
        <v>0.99501789854458644</v>
      </c>
      <c r="H991" s="855">
        <f t="shared" si="463"/>
        <v>1.0006022329916475</v>
      </c>
      <c r="I991" s="855">
        <f t="shared" si="463"/>
        <v>1.0064315065039831</v>
      </c>
      <c r="J991" s="855">
        <f t="shared" si="463"/>
        <v>1.0128684816131002</v>
      </c>
      <c r="K991" s="855">
        <f t="shared" si="463"/>
        <v>1.0193975177359773</v>
      </c>
      <c r="L991" s="855">
        <f t="shared" si="463"/>
        <v>1.0261545925948388</v>
      </c>
      <c r="M991" s="855">
        <f t="shared" si="463"/>
        <v>1.0321104035225106</v>
      </c>
      <c r="N991" s="855">
        <f t="shared" si="463"/>
        <v>1.0386644944611623</v>
      </c>
      <c r="O991" s="855">
        <f t="shared" si="463"/>
        <v>1.0479015340509696</v>
      </c>
      <c r="P991" s="855">
        <f t="shared" si="463"/>
        <v>1.0600591357966234</v>
      </c>
      <c r="Q991" s="855">
        <f t="shared" si="463"/>
        <v>1.0725731004310461</v>
      </c>
    </row>
    <row r="992" spans="1:17">
      <c r="A992" s="853" t="s">
        <v>158</v>
      </c>
      <c r="B992" s="854"/>
      <c r="C992" s="855">
        <f t="shared" si="464"/>
        <v>1.0013160287368896</v>
      </c>
      <c r="D992" s="855">
        <f t="shared" si="463"/>
        <v>0.98446233779025383</v>
      </c>
      <c r="E992" s="855">
        <f t="shared" si="463"/>
        <v>0.97527201100550276</v>
      </c>
      <c r="F992" s="855">
        <f t="shared" si="463"/>
        <v>0.97759760972779242</v>
      </c>
      <c r="G992" s="855">
        <f t="shared" si="463"/>
        <v>0.989099602220743</v>
      </c>
      <c r="H992" s="855">
        <f t="shared" si="463"/>
        <v>1.0054472695685617</v>
      </c>
      <c r="I992" s="855">
        <f t="shared" si="463"/>
        <v>1.0194452321754786</v>
      </c>
      <c r="J992" s="855">
        <f t="shared" si="463"/>
        <v>1.0274874740829152</v>
      </c>
      <c r="K992" s="855">
        <f t="shared" si="463"/>
        <v>1.0267836062167686</v>
      </c>
      <c r="L992" s="855">
        <f t="shared" si="463"/>
        <v>1.0211120138580168</v>
      </c>
      <c r="M992" s="855">
        <f t="shared" si="463"/>
        <v>1.0131541415578995</v>
      </c>
      <c r="N992" s="855">
        <f t="shared" si="463"/>
        <v>1.0094952464496549</v>
      </c>
      <c r="O992" s="855">
        <f t="shared" si="463"/>
        <v>1.0153125330264565</v>
      </c>
      <c r="P992" s="855">
        <f t="shared" si="463"/>
        <v>1.0335895122769279</v>
      </c>
      <c r="Q992" s="855">
        <f t="shared" si="463"/>
        <v>1.0587351630491035</v>
      </c>
    </row>
    <row r="993" spans="1:17">
      <c r="A993" s="853" t="s">
        <v>159</v>
      </c>
      <c r="B993" s="854"/>
      <c r="C993" s="855">
        <f t="shared" si="464"/>
        <v>1.0018238862953373</v>
      </c>
      <c r="D993" s="855">
        <f t="shared" si="463"/>
        <v>0.98001150823971106</v>
      </c>
      <c r="E993" s="855">
        <f t="shared" si="463"/>
        <v>0.96809186462865271</v>
      </c>
      <c r="F993" s="855">
        <f t="shared" si="463"/>
        <v>0.97131550951012668</v>
      </c>
      <c r="G993" s="855">
        <f t="shared" si="463"/>
        <v>0.98669628355784844</v>
      </c>
      <c r="H993" s="855">
        <f t="shared" si="463"/>
        <v>1.0087662573441178</v>
      </c>
      <c r="I993" s="855">
        <f t="shared" si="463"/>
        <v>1.026889534883721</v>
      </c>
      <c r="J993" s="855">
        <f t="shared" si="463"/>
        <v>1.0350385236817154</v>
      </c>
      <c r="K993" s="855">
        <f t="shared" si="463"/>
        <v>1.0294918271773768</v>
      </c>
      <c r="L993" s="855">
        <f t="shared" si="463"/>
        <v>1.0162752666073507</v>
      </c>
      <c r="M993" s="855">
        <f t="shared" si="463"/>
        <v>0.99998766920167337</v>
      </c>
      <c r="N993" s="855">
        <f t="shared" si="463"/>
        <v>0.98954027134256317</v>
      </c>
      <c r="O993" s="855">
        <f t="shared" si="463"/>
        <v>0.9918098157597961</v>
      </c>
      <c r="P993" s="855">
        <f t="shared" si="463"/>
        <v>1.0123066291834844</v>
      </c>
      <c r="Q993" s="855">
        <f t="shared" si="463"/>
        <v>1.0449046335053354</v>
      </c>
    </row>
    <row r="994" spans="1:17">
      <c r="A994" s="853" t="s">
        <v>160</v>
      </c>
      <c r="B994" s="854"/>
      <c r="C994" s="855">
        <f t="shared" si="464"/>
        <v>1.0073296017783298</v>
      </c>
      <c r="D994" s="855">
        <f t="shared" si="463"/>
        <v>0.98730960262157752</v>
      </c>
      <c r="E994" s="855">
        <f t="shared" si="463"/>
        <v>0.97608843754299901</v>
      </c>
      <c r="F994" s="855">
        <f t="shared" si="463"/>
        <v>0.97797131147540972</v>
      </c>
      <c r="G994" s="855">
        <f t="shared" si="463"/>
        <v>0.99007175477515541</v>
      </c>
      <c r="H994" s="855">
        <f t="shared" si="463"/>
        <v>1.0075918712293648</v>
      </c>
      <c r="I994" s="855">
        <f t="shared" si="463"/>
        <v>1.0218004969075436</v>
      </c>
      <c r="J994" s="855">
        <f t="shared" si="463"/>
        <v>1.0278401467884846</v>
      </c>
      <c r="K994" s="855">
        <f t="shared" si="463"/>
        <v>1.0224956629408783</v>
      </c>
      <c r="L994" s="855">
        <f t="shared" si="463"/>
        <v>1.0106853244157694</v>
      </c>
      <c r="M994" s="855">
        <f t="shared" si="463"/>
        <v>0.99622694197218598</v>
      </c>
      <c r="N994" s="855">
        <f t="shared" si="463"/>
        <v>0.98693006443706366</v>
      </c>
      <c r="O994" s="855">
        <f t="shared" si="463"/>
        <v>0.98885736837064619</v>
      </c>
      <c r="P994" s="855">
        <f t="shared" si="463"/>
        <v>1.0070234147221191</v>
      </c>
      <c r="Q994" s="855">
        <f t="shared" si="463"/>
        <v>1.0364010214572348</v>
      </c>
    </row>
    <row r="995" spans="1:17">
      <c r="A995" s="853" t="s">
        <v>161</v>
      </c>
      <c r="B995" s="854"/>
      <c r="C995" s="855">
        <f t="shared" si="464"/>
        <v>1.0169616116624269</v>
      </c>
      <c r="D995" s="855">
        <f t="shared" si="463"/>
        <v>1.0035998253762641</v>
      </c>
      <c r="E995" s="855">
        <f t="shared" si="463"/>
        <v>0.99520081008614292</v>
      </c>
      <c r="F995" s="855">
        <f t="shared" si="463"/>
        <v>0.99376249471549671</v>
      </c>
      <c r="G995" s="855">
        <f t="shared" si="463"/>
        <v>0.99746914848743773</v>
      </c>
      <c r="H995" s="855">
        <f t="shared" si="463"/>
        <v>1.003690250293666</v>
      </c>
      <c r="I995" s="855">
        <f t="shared" si="463"/>
        <v>1.008678554966582</v>
      </c>
      <c r="J995" s="855">
        <f t="shared" si="463"/>
        <v>1.0109137255181968</v>
      </c>
      <c r="K995" s="855">
        <f t="shared" si="463"/>
        <v>1.0089029993325398</v>
      </c>
      <c r="L995" s="855">
        <f t="shared" si="463"/>
        <v>1.0045819856904832</v>
      </c>
      <c r="M995" s="855">
        <f t="shared" si="463"/>
        <v>0.99938326021889046</v>
      </c>
      <c r="N995" s="855">
        <f t="shared" si="463"/>
        <v>0.99720726877161647</v>
      </c>
      <c r="O995" s="855">
        <f t="shared" si="463"/>
        <v>1.0014055206894745</v>
      </c>
      <c r="P995" s="855">
        <f t="shared" si="463"/>
        <v>1.0141891019038674</v>
      </c>
      <c r="Q995" s="855">
        <f t="shared" si="463"/>
        <v>1.0327078191000445</v>
      </c>
    </row>
    <row r="996" spans="1:17">
      <c r="A996" s="853" t="s">
        <v>162</v>
      </c>
      <c r="B996" s="854"/>
      <c r="C996" s="855">
        <f t="shared" si="464"/>
        <v>1.0277928416485902</v>
      </c>
      <c r="D996" s="855">
        <f t="shared" si="463"/>
        <v>1.0209385693335506</v>
      </c>
      <c r="E996" s="855">
        <f t="shared" si="463"/>
        <v>1.0147595867011716</v>
      </c>
      <c r="F996" s="855">
        <f t="shared" si="463"/>
        <v>1.0095418203606268</v>
      </c>
      <c r="G996" s="855">
        <f t="shared" si="463"/>
        <v>1.0052711038900821</v>
      </c>
      <c r="H996" s="855">
        <f t="shared" si="463"/>
        <v>1.0013210137119746</v>
      </c>
      <c r="I996" s="855">
        <f t="shared" si="463"/>
        <v>0.99799161267974157</v>
      </c>
      <c r="J996" s="855">
        <f t="shared" si="463"/>
        <v>0.99633700986274853</v>
      </c>
      <c r="K996" s="855">
        <f t="shared" si="463"/>
        <v>0.99680533679236549</v>
      </c>
      <c r="L996" s="855">
        <f t="shared" si="463"/>
        <v>0.99918947959384741</v>
      </c>
      <c r="M996" s="855">
        <f t="shared" si="463"/>
        <v>1.0027907495953412</v>
      </c>
      <c r="N996" s="855">
        <f t="shared" si="463"/>
        <v>1.0073136792890407</v>
      </c>
      <c r="O996" s="855">
        <f t="shared" si="463"/>
        <v>1.0130403070734457</v>
      </c>
      <c r="P996" s="855">
        <f t="shared" si="463"/>
        <v>1.0198722936954101</v>
      </c>
      <c r="Q996" s="855">
        <f t="shared" si="463"/>
        <v>1.0275750434091224</v>
      </c>
    </row>
    <row r="997" spans="1:17">
      <c r="A997" s="853" t="s">
        <v>163</v>
      </c>
      <c r="B997" s="854"/>
      <c r="C997" s="855">
        <f t="shared" si="464"/>
        <v>1.0419528732783345</v>
      </c>
      <c r="D997" s="855">
        <f t="shared" ref="D997:Q1012" si="465">D680/C680</f>
        <v>1.0430841506564779</v>
      </c>
      <c r="E997" s="855">
        <f t="shared" si="465"/>
        <v>1.0388368096560601</v>
      </c>
      <c r="F997" s="855">
        <f t="shared" si="465"/>
        <v>1.0283022935833761</v>
      </c>
      <c r="G997" s="855">
        <f t="shared" si="465"/>
        <v>1.0144668976795783</v>
      </c>
      <c r="H997" s="855">
        <f t="shared" si="465"/>
        <v>0.99913572174749565</v>
      </c>
      <c r="I997" s="855">
        <f t="shared" si="465"/>
        <v>0.98659209892887212</v>
      </c>
      <c r="J997" s="855">
        <f t="shared" si="465"/>
        <v>0.98035246623437522</v>
      </c>
      <c r="K997" s="855">
        <f t="shared" si="465"/>
        <v>0.983431128946335</v>
      </c>
      <c r="L997" s="855">
        <f t="shared" si="465"/>
        <v>0.99377639299666276</v>
      </c>
      <c r="M997" s="855">
        <f t="shared" si="465"/>
        <v>1.0083434791950152</v>
      </c>
      <c r="N997" s="855">
        <f t="shared" si="465"/>
        <v>1.021090553247235</v>
      </c>
      <c r="O997" s="855">
        <f t="shared" si="465"/>
        <v>1.0282986057439638</v>
      </c>
      <c r="P997" s="855">
        <f t="shared" si="465"/>
        <v>1.0275799608416416</v>
      </c>
      <c r="Q997" s="855">
        <f t="shared" si="465"/>
        <v>1.0224328732656032</v>
      </c>
    </row>
    <row r="998" spans="1:17">
      <c r="A998" s="853" t="s">
        <v>164</v>
      </c>
      <c r="B998" s="854"/>
      <c r="C998" s="855">
        <f t="shared" si="464"/>
        <v>1.0530765525309425</v>
      </c>
      <c r="D998" s="855">
        <f t="shared" si="465"/>
        <v>1.0598534353995519</v>
      </c>
      <c r="E998" s="855">
        <f t="shared" si="465"/>
        <v>1.0565525867270318</v>
      </c>
      <c r="F998" s="855">
        <f t="shared" si="465"/>
        <v>1.0420251433906895</v>
      </c>
      <c r="G998" s="855">
        <f t="shared" si="465"/>
        <v>1.0218572240045443</v>
      </c>
      <c r="H998" s="855">
        <f t="shared" si="465"/>
        <v>0.99955764337443731</v>
      </c>
      <c r="I998" s="855">
        <f t="shared" si="465"/>
        <v>0.98143629791217091</v>
      </c>
      <c r="J998" s="855">
        <f t="shared" si="465"/>
        <v>0.97224228542241142</v>
      </c>
      <c r="K998" s="855">
        <f t="shared" si="465"/>
        <v>0.97653104362566223</v>
      </c>
      <c r="L998" s="855">
        <f t="shared" si="465"/>
        <v>0.99144260958377295</v>
      </c>
      <c r="M998" s="855">
        <f t="shared" si="465"/>
        <v>1.0125229453085587</v>
      </c>
      <c r="N998" s="855">
        <f t="shared" si="465"/>
        <v>1.0299446075003873</v>
      </c>
      <c r="O998" s="855">
        <f t="shared" si="465"/>
        <v>1.0373140699125585</v>
      </c>
      <c r="P998" s="855">
        <f t="shared" si="465"/>
        <v>1.0312416722837929</v>
      </c>
      <c r="Q998" s="855">
        <f t="shared" si="465"/>
        <v>1.0178039400480345</v>
      </c>
    </row>
    <row r="999" spans="1:17">
      <c r="A999" s="853" t="s">
        <v>165</v>
      </c>
      <c r="B999" s="854"/>
      <c r="C999" s="855">
        <f t="shared" si="464"/>
        <v>1.0547989484118432</v>
      </c>
      <c r="D999" s="855">
        <f t="shared" si="465"/>
        <v>1.0614721444769046</v>
      </c>
      <c r="E999" s="855">
        <f t="shared" si="465"/>
        <v>1.0584366218869088</v>
      </c>
      <c r="F999" s="855">
        <f t="shared" si="465"/>
        <v>1.0446592143724116</v>
      </c>
      <c r="G999" s="855">
        <f t="shared" si="465"/>
        <v>1.0255264337404972</v>
      </c>
      <c r="H999" s="855">
        <f t="shared" si="465"/>
        <v>1.0045742509557978</v>
      </c>
      <c r="I999" s="855">
        <f t="shared" si="465"/>
        <v>0.9877209655958944</v>
      </c>
      <c r="J999" s="855">
        <f t="shared" si="465"/>
        <v>0.9789384103524662</v>
      </c>
      <c r="K999" s="855">
        <f t="shared" si="465"/>
        <v>0.98208926535408636</v>
      </c>
      <c r="L999" s="855">
        <f t="shared" si="465"/>
        <v>0.99437310119966382</v>
      </c>
      <c r="M999" s="855">
        <f t="shared" si="465"/>
        <v>1.0119213770644337</v>
      </c>
      <c r="N999" s="855">
        <f t="shared" si="465"/>
        <v>1.026245176006684</v>
      </c>
      <c r="O999" s="855">
        <f t="shared" si="465"/>
        <v>1.031832866681025</v>
      </c>
      <c r="P999" s="855">
        <f t="shared" si="465"/>
        <v>1.0256032395424564</v>
      </c>
      <c r="Q999" s="855">
        <f t="shared" si="465"/>
        <v>1.0128137809201663</v>
      </c>
    </row>
    <row r="1000" spans="1:17">
      <c r="A1000" s="853" t="s">
        <v>166</v>
      </c>
      <c r="B1000" s="854"/>
      <c r="C1000" s="855">
        <f t="shared" si="464"/>
        <v>1.0487238028333918</v>
      </c>
      <c r="D1000" s="855">
        <f t="shared" si="465"/>
        <v>1.0506076151454424</v>
      </c>
      <c r="E1000" s="855">
        <f t="shared" si="465"/>
        <v>1.0474419395459302</v>
      </c>
      <c r="F1000" s="855">
        <f t="shared" si="465"/>
        <v>1.0385060211628403</v>
      </c>
      <c r="G1000" s="855">
        <f t="shared" si="465"/>
        <v>1.0265472893434735</v>
      </c>
      <c r="H1000" s="855">
        <f t="shared" si="465"/>
        <v>1.0138082640223827</v>
      </c>
      <c r="I1000" s="855">
        <f t="shared" si="465"/>
        <v>1.00346840884984</v>
      </c>
      <c r="J1000" s="855">
        <f t="shared" si="465"/>
        <v>0.99740417670307058</v>
      </c>
      <c r="K1000" s="855">
        <f t="shared" si="465"/>
        <v>0.99723329425556861</v>
      </c>
      <c r="L1000" s="855">
        <f t="shared" si="465"/>
        <v>1.0013683814539642</v>
      </c>
      <c r="M1000" s="855">
        <f t="shared" si="465"/>
        <v>1.0080675836225232</v>
      </c>
      <c r="N1000" s="855">
        <f t="shared" si="465"/>
        <v>1.0136628949685331</v>
      </c>
      <c r="O1000" s="855">
        <f t="shared" si="465"/>
        <v>1.0158316559590441</v>
      </c>
      <c r="P1000" s="855">
        <f t="shared" si="465"/>
        <v>1.013001759806738</v>
      </c>
      <c r="Q1000" s="855">
        <f t="shared" si="465"/>
        <v>1.0075071118832089</v>
      </c>
    </row>
    <row r="1001" spans="1:17">
      <c r="A1001" s="853" t="s">
        <v>167</v>
      </c>
      <c r="B1001" s="854"/>
      <c r="C1001" s="855">
        <f t="shared" si="464"/>
        <v>1.0428501500689158</v>
      </c>
      <c r="D1001" s="855">
        <f t="shared" si="465"/>
        <v>1.0403050983540747</v>
      </c>
      <c r="E1001" s="855">
        <f t="shared" si="465"/>
        <v>1.0371049803788863</v>
      </c>
      <c r="F1001" s="855">
        <f t="shared" si="465"/>
        <v>1.0331442375394266</v>
      </c>
      <c r="G1001" s="855">
        <f t="shared" si="465"/>
        <v>1.0288008155983177</v>
      </c>
      <c r="H1001" s="855">
        <f t="shared" si="465"/>
        <v>1.0247847090947282</v>
      </c>
      <c r="I1001" s="855">
        <f t="shared" si="465"/>
        <v>1.0211371603050226</v>
      </c>
      <c r="J1001" s="855">
        <f t="shared" si="465"/>
        <v>1.0173131655198324</v>
      </c>
      <c r="K1001" s="855">
        <f t="shared" si="465"/>
        <v>1.0132799101519221</v>
      </c>
      <c r="L1001" s="855">
        <f t="shared" si="465"/>
        <v>1.0093413616120464</v>
      </c>
      <c r="M1001" s="855">
        <f t="shared" si="465"/>
        <v>1.0058467672125957</v>
      </c>
      <c r="N1001" s="855">
        <f t="shared" si="465"/>
        <v>1.003230962157909</v>
      </c>
      <c r="O1001" s="855">
        <f t="shared" si="465"/>
        <v>1.0017058656287683</v>
      </c>
      <c r="P1001" s="855">
        <f t="shared" si="465"/>
        <v>1.0015904086126743</v>
      </c>
      <c r="Q1001" s="855">
        <f t="shared" si="465"/>
        <v>1.0028581898131184</v>
      </c>
    </row>
    <row r="1002" spans="1:17">
      <c r="A1002" s="853" t="s">
        <v>168</v>
      </c>
      <c r="B1002" s="854"/>
      <c r="C1002" s="855">
        <f t="shared" si="464"/>
        <v>1.0345211899522762</v>
      </c>
      <c r="D1002" s="855">
        <f t="shared" si="465"/>
        <v>1.0262630866550648</v>
      </c>
      <c r="E1002" s="855">
        <f t="shared" si="465"/>
        <v>1.0228589501167509</v>
      </c>
      <c r="F1002" s="855">
        <f t="shared" si="465"/>
        <v>1.0256045893529118</v>
      </c>
      <c r="G1002" s="855">
        <f t="shared" si="465"/>
        <v>1.0318802278442039</v>
      </c>
      <c r="H1002" s="855">
        <f t="shared" si="465"/>
        <v>1.0400333196573546</v>
      </c>
      <c r="I1002" s="855">
        <f t="shared" si="465"/>
        <v>1.0451388473814449</v>
      </c>
      <c r="J1002" s="855">
        <f t="shared" si="465"/>
        <v>1.0434409635246886</v>
      </c>
      <c r="K1002" s="855">
        <f t="shared" si="465"/>
        <v>1.0336194328433468</v>
      </c>
      <c r="L1002" s="855">
        <f t="shared" si="465"/>
        <v>1.0194657136191063</v>
      </c>
      <c r="M1002" s="855">
        <f t="shared" si="465"/>
        <v>1.0039686048507481</v>
      </c>
      <c r="N1002" s="855">
        <f t="shared" si="465"/>
        <v>0.99174187398327651</v>
      </c>
      <c r="O1002" s="855">
        <f t="shared" si="465"/>
        <v>0.98570742002214939</v>
      </c>
      <c r="P1002" s="855">
        <f t="shared" si="465"/>
        <v>0.98859517096644256</v>
      </c>
      <c r="Q1002" s="855">
        <f t="shared" si="465"/>
        <v>0.99835424037739906</v>
      </c>
    </row>
    <row r="1003" spans="1:17">
      <c r="A1003" s="853" t="s">
        <v>169</v>
      </c>
      <c r="B1003" s="854"/>
      <c r="C1003" s="855">
        <f t="shared" si="464"/>
        <v>1.028576716936795</v>
      </c>
      <c r="D1003" s="855">
        <f t="shared" si="465"/>
        <v>1.0155617973132622</v>
      </c>
      <c r="E1003" s="855">
        <f t="shared" si="465"/>
        <v>1.011710143141092</v>
      </c>
      <c r="F1003" s="855">
        <f t="shared" si="465"/>
        <v>1.0197682033474971</v>
      </c>
      <c r="G1003" s="855">
        <f t="shared" si="465"/>
        <v>1.0350064965127914</v>
      </c>
      <c r="H1003" s="855">
        <f t="shared" si="465"/>
        <v>1.0534464597492172</v>
      </c>
      <c r="I1003" s="855">
        <f t="shared" si="465"/>
        <v>1.065370443930034</v>
      </c>
      <c r="J1003" s="855">
        <f t="shared" si="465"/>
        <v>1.0645735701566608</v>
      </c>
      <c r="K1003" s="855">
        <f t="shared" si="465"/>
        <v>1.0497512137387988</v>
      </c>
      <c r="L1003" s="855">
        <f t="shared" si="465"/>
        <v>1.0279620117002122</v>
      </c>
      <c r="M1003" s="855">
        <f t="shared" si="465"/>
        <v>1.0042080759244336</v>
      </c>
      <c r="N1003" s="855">
        <f t="shared" si="465"/>
        <v>0.98551734129814561</v>
      </c>
      <c r="O1003" s="855">
        <f t="shared" si="465"/>
        <v>0.97617284020423278</v>
      </c>
      <c r="P1003" s="855">
        <f t="shared" si="465"/>
        <v>0.98082748793753582</v>
      </c>
      <c r="Q1003" s="855">
        <f t="shared" si="465"/>
        <v>0.99624999261809577</v>
      </c>
    </row>
    <row r="1004" spans="1:17">
      <c r="A1004" s="853" t="s">
        <v>170</v>
      </c>
      <c r="B1004" s="854"/>
      <c r="C1004" s="855">
        <f t="shared" si="464"/>
        <v>1.0304546807560648</v>
      </c>
      <c r="D1004" s="855">
        <f t="shared" si="465"/>
        <v>1.0168354727472966</v>
      </c>
      <c r="E1004" s="855">
        <f t="shared" si="465"/>
        <v>1.0129613025221273</v>
      </c>
      <c r="F1004" s="855">
        <f t="shared" si="465"/>
        <v>1.0217522764519775</v>
      </c>
      <c r="G1004" s="855">
        <f t="shared" si="465"/>
        <v>1.0381095338165287</v>
      </c>
      <c r="H1004" s="855">
        <f t="shared" si="465"/>
        <v>1.0574660409161518</v>
      </c>
      <c r="I1004" s="855">
        <f t="shared" si="465"/>
        <v>1.0698295867419891</v>
      </c>
      <c r="J1004" s="855">
        <f t="shared" si="465"/>
        <v>1.0690914402570846</v>
      </c>
      <c r="K1004" s="855">
        <f t="shared" si="465"/>
        <v>1.0541125836862959</v>
      </c>
      <c r="L1004" s="855">
        <f t="shared" si="465"/>
        <v>1.0322292143278398</v>
      </c>
      <c r="M1004" s="855">
        <f t="shared" si="465"/>
        <v>1.008626643394402</v>
      </c>
      <c r="N1004" s="855">
        <f t="shared" si="465"/>
        <v>0.99020218116627667</v>
      </c>
      <c r="O1004" s="855">
        <f t="shared" si="465"/>
        <v>0.98082653356299576</v>
      </c>
      <c r="P1004" s="855">
        <f t="shared" si="465"/>
        <v>0.98465620673742493</v>
      </c>
      <c r="Q1004" s="855">
        <f t="shared" si="465"/>
        <v>0.99852242400572822</v>
      </c>
    </row>
    <row r="1005" spans="1:17">
      <c r="A1005" s="853" t="s">
        <v>171</v>
      </c>
      <c r="B1005" s="854"/>
      <c r="C1005" s="855">
        <f t="shared" si="464"/>
        <v>1.0399703841223533</v>
      </c>
      <c r="D1005" s="855">
        <f t="shared" si="465"/>
        <v>1.0295827179122081</v>
      </c>
      <c r="E1005" s="855">
        <f t="shared" si="465"/>
        <v>1.026069994736462</v>
      </c>
      <c r="F1005" s="855">
        <f t="shared" si="465"/>
        <v>1.0311006950381716</v>
      </c>
      <c r="G1005" s="855">
        <f t="shared" si="465"/>
        <v>1.0409517027440958</v>
      </c>
      <c r="H1005" s="855">
        <f t="shared" si="465"/>
        <v>1.0525072861708011</v>
      </c>
      <c r="I1005" s="855">
        <f t="shared" si="465"/>
        <v>1.059539497115179</v>
      </c>
      <c r="J1005" s="855">
        <f t="shared" si="465"/>
        <v>1.0584710795889041</v>
      </c>
      <c r="K1005" s="855">
        <f t="shared" si="465"/>
        <v>1.0481831101090056</v>
      </c>
      <c r="L1005" s="855">
        <f t="shared" si="465"/>
        <v>1.0331980064532742</v>
      </c>
      <c r="M1005" s="855">
        <f t="shared" si="465"/>
        <v>1.0173229039139646</v>
      </c>
      <c r="N1005" s="855">
        <f t="shared" si="465"/>
        <v>1.0049577724613035</v>
      </c>
      <c r="O1005" s="855">
        <f t="shared" si="465"/>
        <v>0.99803527893302735</v>
      </c>
      <c r="P1005" s="855">
        <f t="shared" si="465"/>
        <v>0.99865647407066793</v>
      </c>
      <c r="Q1005" s="855">
        <f t="shared" si="465"/>
        <v>1.0046762926351989</v>
      </c>
    </row>
    <row r="1006" spans="1:17">
      <c r="A1006" s="853" t="s">
        <v>172</v>
      </c>
      <c r="B1006" s="854"/>
      <c r="C1006" s="855">
        <f t="shared" si="464"/>
        <v>1.0504003326046429</v>
      </c>
      <c r="D1006" s="855">
        <f t="shared" si="465"/>
        <v>1.0429131395155833</v>
      </c>
      <c r="E1006" s="855">
        <f t="shared" si="465"/>
        <v>1.0392742587106094</v>
      </c>
      <c r="F1006" s="855">
        <f t="shared" si="465"/>
        <v>1.0401931911885969</v>
      </c>
      <c r="G1006" s="855">
        <f t="shared" si="465"/>
        <v>1.0436343457679329</v>
      </c>
      <c r="H1006" s="855">
        <f t="shared" si="465"/>
        <v>1.0475720253920027</v>
      </c>
      <c r="I1006" s="855">
        <f t="shared" si="465"/>
        <v>1.0494411584955303</v>
      </c>
      <c r="J1006" s="855">
        <f t="shared" si="465"/>
        <v>1.0480890713834492</v>
      </c>
      <c r="K1006" s="855">
        <f t="shared" si="465"/>
        <v>1.0429631582912682</v>
      </c>
      <c r="L1006" s="855">
        <f t="shared" si="465"/>
        <v>1.0357304101276794</v>
      </c>
      <c r="M1006" s="855">
        <f t="shared" si="465"/>
        <v>1.028595590350732</v>
      </c>
      <c r="N1006" s="855">
        <f t="shared" si="465"/>
        <v>1.022816846494834</v>
      </c>
      <c r="O1006" s="855">
        <f t="shared" si="465"/>
        <v>1.0181230577998757</v>
      </c>
      <c r="P1006" s="855">
        <f t="shared" si="465"/>
        <v>1.0148703423353032</v>
      </c>
      <c r="Q1006" s="855">
        <f t="shared" si="465"/>
        <v>1.0127437063413771</v>
      </c>
    </row>
    <row r="1007" spans="1:17">
      <c r="A1007" s="853" t="s">
        <v>173</v>
      </c>
      <c r="B1007" s="854"/>
      <c r="C1007" s="855">
        <f t="shared" si="464"/>
        <v>1.065454729251609</v>
      </c>
      <c r="D1007" s="855">
        <f t="shared" si="465"/>
        <v>1.0618605607299296</v>
      </c>
      <c r="E1007" s="855">
        <f t="shared" si="465"/>
        <v>1.0573036887015828</v>
      </c>
      <c r="F1007" s="855">
        <f t="shared" si="465"/>
        <v>1.0517472077071508</v>
      </c>
      <c r="G1007" s="855">
        <f t="shared" si="465"/>
        <v>1.0459336038461022</v>
      </c>
      <c r="H1007" s="855">
        <f t="shared" si="465"/>
        <v>1.0393198724760895</v>
      </c>
      <c r="I1007" s="855">
        <f t="shared" si="465"/>
        <v>1.0338285657969299</v>
      </c>
      <c r="J1007" s="855">
        <f t="shared" si="465"/>
        <v>1.0320066730219255</v>
      </c>
      <c r="K1007" s="855">
        <f t="shared" si="465"/>
        <v>1.0346165392697966</v>
      </c>
      <c r="L1007" s="855">
        <f t="shared" si="465"/>
        <v>1.0395071648587118</v>
      </c>
      <c r="M1007" s="855">
        <f t="shared" si="465"/>
        <v>1.0459396203727562</v>
      </c>
      <c r="N1007" s="855">
        <f t="shared" si="465"/>
        <v>1.0497931699906593</v>
      </c>
      <c r="O1007" s="855">
        <f t="shared" si="465"/>
        <v>1.0474020767741556</v>
      </c>
      <c r="P1007" s="855">
        <f t="shared" si="465"/>
        <v>1.0377420137786824</v>
      </c>
      <c r="Q1007" s="855">
        <f t="shared" si="465"/>
        <v>1.0243781765843565</v>
      </c>
    </row>
    <row r="1008" spans="1:17">
      <c r="A1008" s="853" t="s">
        <v>174</v>
      </c>
      <c r="B1008" s="854"/>
      <c r="C1008" s="855">
        <f t="shared" si="464"/>
        <v>1.0819410266373095</v>
      </c>
      <c r="D1008" s="855">
        <f t="shared" si="465"/>
        <v>1.0820996767886357</v>
      </c>
      <c r="E1008" s="855">
        <f t="shared" si="465"/>
        <v>1.0759629035529252</v>
      </c>
      <c r="F1008" s="855">
        <f t="shared" si="465"/>
        <v>1.0635056634165567</v>
      </c>
      <c r="G1008" s="855">
        <f t="shared" si="465"/>
        <v>1.0487891336222872</v>
      </c>
      <c r="H1008" s="855">
        <f t="shared" si="465"/>
        <v>1.0322164354519057</v>
      </c>
      <c r="I1008" s="855">
        <f t="shared" si="465"/>
        <v>1.0196314818122285</v>
      </c>
      <c r="J1008" s="855">
        <f t="shared" si="465"/>
        <v>1.0168741880391783</v>
      </c>
      <c r="K1008" s="855">
        <f t="shared" si="465"/>
        <v>1.0266569053873649</v>
      </c>
      <c r="L1008" s="855">
        <f t="shared" si="465"/>
        <v>1.0436241610738255</v>
      </c>
      <c r="M1008" s="855">
        <f t="shared" si="465"/>
        <v>1.0635584137191854</v>
      </c>
      <c r="N1008" s="855">
        <f t="shared" si="465"/>
        <v>1.0760984581275823</v>
      </c>
      <c r="O1008" s="855">
        <f t="shared" si="465"/>
        <v>1.0746034533216273</v>
      </c>
      <c r="P1008" s="855">
        <f t="shared" si="465"/>
        <v>1.0582256694045622</v>
      </c>
      <c r="Q1008" s="855">
        <f t="shared" si="465"/>
        <v>1.0349587721194529</v>
      </c>
    </row>
    <row r="1009" spans="1:17">
      <c r="A1009" s="853" t="s">
        <v>175</v>
      </c>
      <c r="B1009" s="854"/>
      <c r="C1009" s="855">
        <f t="shared" si="464"/>
        <v>1.0912971633158908</v>
      </c>
      <c r="D1009" s="855">
        <f t="shared" si="465"/>
        <v>1.0928201892744478</v>
      </c>
      <c r="E1009" s="855">
        <f t="shared" si="465"/>
        <v>1.086021753689121</v>
      </c>
      <c r="F1009" s="855">
        <f t="shared" si="465"/>
        <v>1.0711065748064981</v>
      </c>
      <c r="G1009" s="855">
        <f t="shared" si="465"/>
        <v>1.0531843087429524</v>
      </c>
      <c r="H1009" s="855">
        <f t="shared" si="465"/>
        <v>1.0334960698196076</v>
      </c>
      <c r="I1009" s="855">
        <f t="shared" si="465"/>
        <v>1.0187860217407163</v>
      </c>
      <c r="J1009" s="855">
        <f t="shared" si="465"/>
        <v>1.0156826237960543</v>
      </c>
      <c r="K1009" s="855">
        <f t="shared" si="465"/>
        <v>1.0273909824796417</v>
      </c>
      <c r="L1009" s="855">
        <f t="shared" si="465"/>
        <v>1.0477113642602252</v>
      </c>
      <c r="M1009" s="855">
        <f t="shared" si="465"/>
        <v>1.0711162783081434</v>
      </c>
      <c r="N1009" s="855">
        <f t="shared" si="465"/>
        <v>1.0854430379746836</v>
      </c>
      <c r="O1009" s="855">
        <f t="shared" si="465"/>
        <v>1.0838157209053392</v>
      </c>
      <c r="P1009" s="855">
        <f t="shared" si="465"/>
        <v>1.0657422809023807</v>
      </c>
      <c r="Q1009" s="855">
        <f t="shared" si="465"/>
        <v>1.040433600370682</v>
      </c>
    </row>
    <row r="1010" spans="1:17">
      <c r="A1010" s="853" t="s">
        <v>176</v>
      </c>
      <c r="B1010" s="854"/>
      <c r="C1010" s="855">
        <f t="shared" si="464"/>
        <v>1.0907121392130825</v>
      </c>
      <c r="D1010" s="855">
        <f t="shared" si="465"/>
        <v>1.0913692573845071</v>
      </c>
      <c r="E1010" s="855">
        <f t="shared" si="465"/>
        <v>1.0856866083484999</v>
      </c>
      <c r="F1010" s="855">
        <f t="shared" si="465"/>
        <v>1.0737325942949845</v>
      </c>
      <c r="G1010" s="855">
        <f t="shared" si="465"/>
        <v>1.0596796937953263</v>
      </c>
      <c r="H1010" s="855">
        <f t="shared" si="465"/>
        <v>1.0444370514709376</v>
      </c>
      <c r="I1010" s="855">
        <f t="shared" si="465"/>
        <v>1.0330815435020022</v>
      </c>
      <c r="J1010" s="855">
        <f t="shared" si="465"/>
        <v>1.0302823415407656</v>
      </c>
      <c r="K1010" s="855">
        <f t="shared" si="465"/>
        <v>1.0379855069365769</v>
      </c>
      <c r="L1010" s="855">
        <f t="shared" si="465"/>
        <v>1.0513200708431154</v>
      </c>
      <c r="M1010" s="855">
        <f t="shared" si="465"/>
        <v>1.0664446620959844</v>
      </c>
      <c r="N1010" s="855">
        <f t="shared" si="465"/>
        <v>1.0753646082068991</v>
      </c>
      <c r="O1010" s="855">
        <f t="shared" si="465"/>
        <v>1.0734136134597319</v>
      </c>
      <c r="P1010" s="855">
        <f t="shared" si="465"/>
        <v>1.0600225959931893</v>
      </c>
      <c r="Q1010" s="855">
        <f t="shared" si="465"/>
        <v>1.041176912106883</v>
      </c>
    </row>
    <row r="1011" spans="1:17">
      <c r="A1011" s="853" t="s">
        <v>177</v>
      </c>
      <c r="B1011" s="854"/>
      <c r="C1011" s="855">
        <f t="shared" si="464"/>
        <v>1.0913009222783521</v>
      </c>
      <c r="D1011" s="855">
        <f t="shared" si="465"/>
        <v>1.0917314307555102</v>
      </c>
      <c r="E1011" s="855">
        <f t="shared" si="465"/>
        <v>1.0874858987824327</v>
      </c>
      <c r="F1011" s="855">
        <f t="shared" si="465"/>
        <v>1.0785162398054087</v>
      </c>
      <c r="G1011" s="855">
        <f t="shared" si="465"/>
        <v>1.0678916122185</v>
      </c>
      <c r="H1011" s="855">
        <f t="shared" si="465"/>
        <v>1.0566494813342444</v>
      </c>
      <c r="I1011" s="855">
        <f t="shared" si="465"/>
        <v>1.0482041032273235</v>
      </c>
      <c r="J1011" s="855">
        <f t="shared" si="465"/>
        <v>1.0451180528293422</v>
      </c>
      <c r="K1011" s="855">
        <f t="shared" si="465"/>
        <v>1.0481875989375118</v>
      </c>
      <c r="L1011" s="855">
        <f t="shared" si="465"/>
        <v>1.0544449279443009</v>
      </c>
      <c r="M1011" s="855">
        <f t="shared" si="465"/>
        <v>1.0614409865514396</v>
      </c>
      <c r="N1011" s="855">
        <f t="shared" si="465"/>
        <v>1.0649742710120069</v>
      </c>
      <c r="O1011" s="855">
        <f t="shared" si="465"/>
        <v>1.0630073444143795</v>
      </c>
      <c r="P1011" s="855">
        <f t="shared" si="465"/>
        <v>1.0550303030303032</v>
      </c>
      <c r="Q1011" s="855">
        <f t="shared" si="465"/>
        <v>1.0439644607843137</v>
      </c>
    </row>
    <row r="1012" spans="1:17">
      <c r="A1012" s="853" t="s">
        <v>178</v>
      </c>
      <c r="B1012" s="854"/>
      <c r="C1012" s="855">
        <f t="shared" si="464"/>
        <v>1.0887585532746824</v>
      </c>
      <c r="D1012" s="855">
        <f t="shared" si="465"/>
        <v>1.0895433052014125</v>
      </c>
      <c r="E1012" s="855">
        <f t="shared" si="465"/>
        <v>1.0881173432950615</v>
      </c>
      <c r="F1012" s="855">
        <f t="shared" si="465"/>
        <v>1.0846670369061442</v>
      </c>
      <c r="G1012" s="855">
        <f t="shared" si="465"/>
        <v>1.0800595792217464</v>
      </c>
      <c r="H1012" s="855">
        <f t="shared" si="465"/>
        <v>1.0758489915531804</v>
      </c>
      <c r="I1012" s="855">
        <f t="shared" si="465"/>
        <v>1.0719836564653102</v>
      </c>
      <c r="J1012" s="855">
        <f t="shared" si="465"/>
        <v>1.0672994282724859</v>
      </c>
      <c r="K1012" s="855">
        <f t="shared" si="465"/>
        <v>1.0619704502485821</v>
      </c>
      <c r="L1012" s="855">
        <f t="shared" si="465"/>
        <v>1.0565079783726756</v>
      </c>
      <c r="M1012" s="855">
        <f t="shared" si="465"/>
        <v>1.0503963053111154</v>
      </c>
      <c r="N1012" s="855">
        <f t="shared" si="465"/>
        <v>1.0453046552390006</v>
      </c>
      <c r="O1012" s="855">
        <f t="shared" si="465"/>
        <v>1.0434547831523902</v>
      </c>
      <c r="P1012" s="855">
        <f t="shared" si="465"/>
        <v>1.0450497072041398</v>
      </c>
      <c r="Q1012" s="855">
        <f t="shared" si="465"/>
        <v>1.0484766347832886</v>
      </c>
    </row>
    <row r="1013" spans="1:17">
      <c r="A1013" s="853" t="s">
        <v>179</v>
      </c>
      <c r="B1013" s="854"/>
      <c r="C1013" s="855">
        <f t="shared" si="464"/>
        <v>1.0837946172933766</v>
      </c>
      <c r="D1013" s="855">
        <f t="shared" ref="D1013:Q1021" si="466">D696/C696</f>
        <v>1.0849771046143009</v>
      </c>
      <c r="E1013" s="855">
        <f t="shared" si="466"/>
        <v>1.0876552227903578</v>
      </c>
      <c r="F1013" s="855">
        <f t="shared" si="466"/>
        <v>1.0922319229908217</v>
      </c>
      <c r="G1013" s="855">
        <f t="shared" si="466"/>
        <v>1.0963312154129945</v>
      </c>
      <c r="H1013" s="855">
        <f t="shared" si="466"/>
        <v>1.1014519847946658</v>
      </c>
      <c r="I1013" s="855">
        <f t="shared" si="466"/>
        <v>1.1024611032531824</v>
      </c>
      <c r="J1013" s="855">
        <f t="shared" si="466"/>
        <v>1.0945294057271886</v>
      </c>
      <c r="K1013" s="855">
        <f t="shared" si="466"/>
        <v>1.0781132783195799</v>
      </c>
      <c r="L1013" s="855">
        <f t="shared" si="466"/>
        <v>1.0589284161085502</v>
      </c>
      <c r="M1013" s="855">
        <f t="shared" si="466"/>
        <v>1.0381124481498214</v>
      </c>
      <c r="N1013" s="855">
        <f t="shared" si="466"/>
        <v>1.0228270759979428</v>
      </c>
      <c r="O1013" s="855">
        <f t="shared" si="466"/>
        <v>1.01988086949795</v>
      </c>
      <c r="P1013" s="855">
        <f t="shared" si="466"/>
        <v>1.0325773665048545</v>
      </c>
      <c r="Q1013" s="855">
        <f t="shared" si="466"/>
        <v>1.053917067616704</v>
      </c>
    </row>
    <row r="1014" spans="1:17">
      <c r="A1014" s="853" t="s">
        <v>180</v>
      </c>
      <c r="B1014" s="854"/>
      <c r="C1014" s="855">
        <f t="shared" si="464"/>
        <v>1.0851457000710731</v>
      </c>
      <c r="D1014" s="855">
        <f t="shared" si="466"/>
        <v>1.0877652606759234</v>
      </c>
      <c r="E1014" s="855">
        <f t="shared" si="466"/>
        <v>1.09368978805395</v>
      </c>
      <c r="F1014" s="855">
        <f t="shared" si="466"/>
        <v>1.1030609997797842</v>
      </c>
      <c r="G1014" s="855">
        <f t="shared" si="466"/>
        <v>1.1114993012577359</v>
      </c>
      <c r="H1014" s="855">
        <f t="shared" si="466"/>
        <v>1.1209699146834307</v>
      </c>
      <c r="I1014" s="855">
        <f t="shared" si="466"/>
        <v>1.1234577792020508</v>
      </c>
      <c r="J1014" s="855">
        <f t="shared" si="466"/>
        <v>1.1126007273764531</v>
      </c>
      <c r="K1014" s="855">
        <f t="shared" si="466"/>
        <v>1.0899884630175618</v>
      </c>
      <c r="L1014" s="855">
        <f t="shared" si="466"/>
        <v>1.0642126308361755</v>
      </c>
      <c r="M1014" s="855">
        <f t="shared" si="466"/>
        <v>1.0367996463697646</v>
      </c>
      <c r="N1014" s="855">
        <f t="shared" si="466"/>
        <v>1.0168407589000212</v>
      </c>
      <c r="O1014" s="855">
        <f t="shared" si="466"/>
        <v>1.0134171907756813</v>
      </c>
      <c r="P1014" s="855">
        <f t="shared" si="466"/>
        <v>1.0309267687215558</v>
      </c>
      <c r="Q1014" s="855">
        <f t="shared" si="466"/>
        <v>1.0608006421189926</v>
      </c>
    </row>
    <row r="1015" spans="1:17">
      <c r="A1015" s="853" t="s">
        <v>181</v>
      </c>
      <c r="B1015" s="854"/>
      <c r="C1015" s="855">
        <f t="shared" si="464"/>
        <v>1.0973133065369156</v>
      </c>
      <c r="D1015" s="855">
        <f t="shared" si="466"/>
        <v>1.1041064198958936</v>
      </c>
      <c r="E1015" s="855">
        <f t="shared" si="466"/>
        <v>1.109656015365811</v>
      </c>
      <c r="F1015" s="855">
        <f t="shared" si="466"/>
        <v>1.1154996066089693</v>
      </c>
      <c r="G1015" s="855">
        <f t="shared" si="466"/>
        <v>1.119339822259839</v>
      </c>
      <c r="H1015" s="855">
        <f t="shared" si="466"/>
        <v>1.1238815374921234</v>
      </c>
      <c r="I1015" s="855">
        <f t="shared" si="466"/>
        <v>1.1235703072437766</v>
      </c>
      <c r="J1015" s="855">
        <f t="shared" si="466"/>
        <v>1.1133732534930139</v>
      </c>
      <c r="K1015" s="855">
        <f t="shared" si="466"/>
        <v>1.094478307637146</v>
      </c>
      <c r="L1015" s="855">
        <f t="shared" si="466"/>
        <v>1.0736281736281736</v>
      </c>
      <c r="M1015" s="855">
        <f t="shared" si="466"/>
        <v>1.0514150583568542</v>
      </c>
      <c r="N1015" s="855">
        <f t="shared" si="466"/>
        <v>1.0358412537183486</v>
      </c>
      <c r="O1015" s="855">
        <f t="shared" si="466"/>
        <v>1.033130209427751</v>
      </c>
      <c r="P1015" s="855">
        <f t="shared" si="466"/>
        <v>1.0463728813559321</v>
      </c>
      <c r="Q1015" s="855">
        <f t="shared" si="466"/>
        <v>1.0674484903459895</v>
      </c>
    </row>
    <row r="1016" spans="1:17">
      <c r="A1016" s="853" t="s">
        <v>182</v>
      </c>
      <c r="B1016" s="854"/>
      <c r="C1016" s="855">
        <f t="shared" ref="C1016:C1021" si="467">C699/B699</f>
        <v>1.0534134007585334</v>
      </c>
      <c r="D1016" s="855">
        <f t="shared" si="466"/>
        <v>1.0933093309330935</v>
      </c>
      <c r="E1016" s="855">
        <f t="shared" si="466"/>
        <v>1.1064763995609221</v>
      </c>
      <c r="F1016" s="855">
        <f t="shared" si="466"/>
        <v>1.1153273809523809</v>
      </c>
      <c r="G1016" s="855">
        <f t="shared" si="466"/>
        <v>1.2045808316655549</v>
      </c>
      <c r="H1016" s="855">
        <f t="shared" si="466"/>
        <v>1.1249769244969541</v>
      </c>
      <c r="I1016" s="855">
        <f t="shared" si="466"/>
        <v>1.123071873974401</v>
      </c>
      <c r="J1016" s="855">
        <f t="shared" si="466"/>
        <v>1.114699006428989</v>
      </c>
      <c r="K1016" s="855">
        <f t="shared" si="466"/>
        <v>1.1001441866561805</v>
      </c>
      <c r="L1016" s="855">
        <f t="shared" si="466"/>
        <v>1.0834028356964136</v>
      </c>
      <c r="M1016" s="855">
        <f t="shared" si="466"/>
        <v>1.0668646211371384</v>
      </c>
      <c r="N1016" s="855">
        <f t="shared" si="466"/>
        <v>1.0550458715596329</v>
      </c>
      <c r="O1016" s="855">
        <f t="shared" si="466"/>
        <v>1.0521739130434784</v>
      </c>
      <c r="P1016" s="855">
        <f t="shared" si="466"/>
        <v>1.0598012814560311</v>
      </c>
      <c r="Q1016" s="855">
        <f t="shared" si="466"/>
        <v>1.0720231315166915</v>
      </c>
    </row>
    <row r="1017" spans="1:17">
      <c r="A1017" s="853" t="s">
        <v>183</v>
      </c>
      <c r="B1017" s="854"/>
      <c r="C1017" s="855">
        <f t="shared" si="467"/>
        <v>1.0564037319762511</v>
      </c>
      <c r="D1017" s="855">
        <f t="shared" si="466"/>
        <v>1.085507828181453</v>
      </c>
      <c r="E1017" s="855">
        <f t="shared" si="466"/>
        <v>1.0950443786982249</v>
      </c>
      <c r="F1017" s="855">
        <f t="shared" si="466"/>
        <v>1.1023302938196555</v>
      </c>
      <c r="G1017" s="855">
        <f t="shared" si="466"/>
        <v>1.1286764705882355</v>
      </c>
      <c r="H1017" s="855">
        <f t="shared" si="466"/>
        <v>1.1061346362649294</v>
      </c>
      <c r="I1017" s="855">
        <f t="shared" si="466"/>
        <v>1.1055214723926379</v>
      </c>
      <c r="J1017" s="855">
        <f t="shared" si="466"/>
        <v>1.1038845726970032</v>
      </c>
      <c r="K1017" s="855">
        <f t="shared" si="466"/>
        <v>1.0989342449225818</v>
      </c>
      <c r="L1017" s="855">
        <f t="shared" si="466"/>
        <v>1.0942360475754804</v>
      </c>
      <c r="M1017" s="855">
        <f t="shared" si="466"/>
        <v>1.089297658862876</v>
      </c>
      <c r="N1017" s="855">
        <f t="shared" si="466"/>
        <v>1.0845870432913727</v>
      </c>
      <c r="O1017" s="855">
        <f t="shared" si="466"/>
        <v>1.0803963198867657</v>
      </c>
      <c r="P1017" s="855">
        <f t="shared" si="466"/>
        <v>1.0750687802960828</v>
      </c>
      <c r="Q1017" s="855">
        <f t="shared" si="466"/>
        <v>1.0704362661467219</v>
      </c>
    </row>
    <row r="1018" spans="1:17">
      <c r="A1018" s="853" t="s">
        <v>184</v>
      </c>
      <c r="B1018" s="854"/>
      <c r="C1018" s="855">
        <f t="shared" si="467"/>
        <v>1.0363429869392389</v>
      </c>
      <c r="D1018" s="855">
        <f t="shared" si="466"/>
        <v>1.0739726027397261</v>
      </c>
      <c r="E1018" s="855">
        <f t="shared" si="466"/>
        <v>1.0806122448979592</v>
      </c>
      <c r="F1018" s="855">
        <f t="shared" si="466"/>
        <v>1.0821529745042493</v>
      </c>
      <c r="G1018" s="855">
        <f t="shared" si="466"/>
        <v>1.0536649214659688</v>
      </c>
      <c r="H1018" s="855">
        <f t="shared" si="466"/>
        <v>1.0737060041407867</v>
      </c>
      <c r="I1018" s="855">
        <f t="shared" si="466"/>
        <v>1.0744311608175858</v>
      </c>
      <c r="J1018" s="855">
        <f t="shared" si="466"/>
        <v>1.0811198851399857</v>
      </c>
      <c r="K1018" s="855">
        <f t="shared" si="466"/>
        <v>1.094953519256308</v>
      </c>
      <c r="L1018" s="855">
        <f t="shared" si="466"/>
        <v>1.1094602789569434</v>
      </c>
      <c r="M1018" s="855">
        <f t="shared" si="466"/>
        <v>1.1248975129816889</v>
      </c>
      <c r="N1018" s="855">
        <f t="shared" si="466"/>
        <v>1.1309523809523812</v>
      </c>
      <c r="O1018" s="855">
        <f t="shared" si="466"/>
        <v>1.1198711063372717</v>
      </c>
      <c r="P1018" s="855">
        <f t="shared" si="466"/>
        <v>1.0959140610013427</v>
      </c>
      <c r="Q1018" s="855">
        <f t="shared" si="466"/>
        <v>1.0670400840189045</v>
      </c>
    </row>
    <row r="1019" spans="1:17">
      <c r="A1019" s="853" t="s">
        <v>185</v>
      </c>
      <c r="B1019" s="854"/>
      <c r="C1019" s="855">
        <f t="shared" si="467"/>
        <v>1.0822966507177034</v>
      </c>
      <c r="D1019" s="855">
        <f t="shared" si="466"/>
        <v>1.0654288240495138</v>
      </c>
      <c r="E1019" s="855">
        <f t="shared" si="466"/>
        <v>1.0697095435684647</v>
      </c>
      <c r="F1019" s="855">
        <f t="shared" si="466"/>
        <v>1.0737005430566329</v>
      </c>
      <c r="G1019" s="855">
        <f t="shared" si="466"/>
        <v>0.94653179190751457</v>
      </c>
      <c r="H1019" s="855">
        <f t="shared" si="466"/>
        <v>1.0595419847328242</v>
      </c>
      <c r="I1019" s="855">
        <f t="shared" si="466"/>
        <v>1.0619596541786744</v>
      </c>
      <c r="J1019" s="855">
        <f t="shared" si="466"/>
        <v>1.0766621438263229</v>
      </c>
      <c r="K1019" s="855">
        <f t="shared" si="466"/>
        <v>1.1083805923125394</v>
      </c>
      <c r="L1019" s="855">
        <f t="shared" si="466"/>
        <v>1.1404206935758956</v>
      </c>
      <c r="M1019" s="855">
        <f t="shared" si="466"/>
        <v>1.1719840478564305</v>
      </c>
      <c r="N1019" s="855">
        <f t="shared" si="466"/>
        <v>1.1811994895789024</v>
      </c>
      <c r="O1019" s="855">
        <f t="shared" si="466"/>
        <v>1.1613251710478936</v>
      </c>
      <c r="P1019" s="855">
        <f t="shared" si="466"/>
        <v>1.1187596899224805</v>
      </c>
      <c r="Q1019" s="855">
        <f t="shared" si="466"/>
        <v>1.0726164079822615</v>
      </c>
    </row>
    <row r="1020" spans="1:17">
      <c r="A1020" s="853" t="s">
        <v>186</v>
      </c>
      <c r="B1020" s="854"/>
      <c r="C1020" s="855">
        <f t="shared" si="467"/>
        <v>1.4311377245508983</v>
      </c>
      <c r="D1020" s="855">
        <f t="shared" si="466"/>
        <v>1.0564853556485354</v>
      </c>
      <c r="E1020" s="855">
        <f t="shared" si="466"/>
        <v>1.0732673267326733</v>
      </c>
      <c r="F1020" s="855">
        <f t="shared" si="466"/>
        <v>1.0811808118081181</v>
      </c>
      <c r="G1020" s="855">
        <f t="shared" si="466"/>
        <v>0.72866894197952203</v>
      </c>
      <c r="H1020" s="855">
        <f t="shared" si="466"/>
        <v>1.1241217798594847</v>
      </c>
      <c r="I1020" s="855">
        <f t="shared" si="466"/>
        <v>1.1395833333333332</v>
      </c>
      <c r="J1020" s="855">
        <f t="shared" si="466"/>
        <v>1.160877513711152</v>
      </c>
      <c r="K1020" s="855">
        <f t="shared" si="466"/>
        <v>1.1921259842519685</v>
      </c>
      <c r="L1020" s="855">
        <f t="shared" si="466"/>
        <v>1.2192866578599737</v>
      </c>
      <c r="M1020" s="855">
        <f t="shared" si="466"/>
        <v>1.2351029252437702</v>
      </c>
      <c r="N1020" s="855">
        <f t="shared" si="466"/>
        <v>1.2315789473684211</v>
      </c>
      <c r="O1020" s="855">
        <f t="shared" si="466"/>
        <v>1.1987179487179489</v>
      </c>
      <c r="P1020" s="855">
        <f t="shared" si="466"/>
        <v>1.1473559120617944</v>
      </c>
      <c r="Q1020" s="855">
        <f t="shared" si="466"/>
        <v>1.0999482133609528</v>
      </c>
    </row>
    <row r="1021" spans="1:17">
      <c r="A1021" s="853" t="s">
        <v>187</v>
      </c>
      <c r="B1021" s="854"/>
      <c r="C1021" s="855">
        <f t="shared" si="467"/>
        <v>1.0569620253164556</v>
      </c>
      <c r="D1021" s="855">
        <f t="shared" si="466"/>
        <v>1.051497005988024</v>
      </c>
      <c r="E1021" s="855">
        <f t="shared" si="466"/>
        <v>1.0512528473804101</v>
      </c>
      <c r="F1021" s="855">
        <f t="shared" si="466"/>
        <v>1.0574214517876488</v>
      </c>
      <c r="G1021" s="855">
        <f t="shared" si="466"/>
        <v>1.0706967213114753</v>
      </c>
      <c r="H1021" s="855">
        <f t="shared" si="466"/>
        <v>1.0813397129186602</v>
      </c>
      <c r="I1021" s="855">
        <f t="shared" si="466"/>
        <v>1.0911504424778762</v>
      </c>
      <c r="J1021" s="855">
        <f t="shared" si="466"/>
        <v>1.0997566909975671</v>
      </c>
      <c r="K1021" s="855">
        <f t="shared" si="466"/>
        <v>1.1076696165191742</v>
      </c>
      <c r="L1021" s="855">
        <f t="shared" si="466"/>
        <v>1.1131824234354193</v>
      </c>
      <c r="M1021" s="855">
        <f t="shared" si="466"/>
        <v>1.1172248803827749</v>
      </c>
      <c r="N1021" s="855">
        <f t="shared" si="466"/>
        <v>1.1177730192719486</v>
      </c>
      <c r="O1021" s="855">
        <f t="shared" si="466"/>
        <v>1.1197318007662835</v>
      </c>
      <c r="P1021" s="855">
        <f t="shared" si="466"/>
        <v>1.1193327630453378</v>
      </c>
      <c r="Q1021" s="855">
        <f t="shared" si="466"/>
        <v>1.119220481467329</v>
      </c>
    </row>
  </sheetData>
  <mergeCells count="27">
    <mergeCell ref="R5:R6"/>
    <mergeCell ref="B5:G5"/>
    <mergeCell ref="H5:Q5"/>
    <mergeCell ref="R65:R66"/>
    <mergeCell ref="R25:R26"/>
    <mergeCell ref="R45:R46"/>
    <mergeCell ref="B45:G45"/>
    <mergeCell ref="H25:Q25"/>
    <mergeCell ref="B25:G25"/>
    <mergeCell ref="H45:Q45"/>
    <mergeCell ref="H65:Q65"/>
    <mergeCell ref="B65:G65"/>
    <mergeCell ref="B172:G172"/>
    <mergeCell ref="H602:Q602"/>
    <mergeCell ref="H391:Q391"/>
    <mergeCell ref="R391:R392"/>
    <mergeCell ref="B496:G496"/>
    <mergeCell ref="H496:Q496"/>
    <mergeCell ref="R496:R497"/>
    <mergeCell ref="R602:R603"/>
    <mergeCell ref="B391:G391"/>
    <mergeCell ref="B602:G602"/>
    <mergeCell ref="R279:R280"/>
    <mergeCell ref="H172:Q172"/>
    <mergeCell ref="R172:R173"/>
    <mergeCell ref="B279:G279"/>
    <mergeCell ref="H279:Q279"/>
  </mergeCells>
  <phoneticPr fontId="24" type="noConversion"/>
  <hyperlinks>
    <hyperlink ref="R69" r:id="rId1"/>
    <hyperlink ref="R176" r:id="rId2"/>
  </hyperlinks>
  <pageMargins left="0.7" right="0.7" top="0.75" bottom="0.75" header="0.3" footer="0.3"/>
  <pageSetup paperSize="9" orientation="portrait" horizontalDpi="1200" verticalDpi="1200" r:id="rId3"/>
  <ignoredErrors>
    <ignoredError sqref="A9 A46:A49 A29:A39 A44 A41:A42" twoDigitTextYear="1"/>
    <ignoredError sqref="B7:Q20 B27:Q40" formulaRange="1"/>
  </ignoredErrors>
</worksheet>
</file>

<file path=xl/worksheets/sheet3.xml><?xml version="1.0" encoding="utf-8"?>
<worksheet xmlns="http://schemas.openxmlformats.org/spreadsheetml/2006/main" xmlns:r="http://schemas.openxmlformats.org/officeDocument/2006/relationships">
  <sheetPr codeName="Sheet2">
    <tabColor theme="3" tint="-0.249977111117893"/>
  </sheetPr>
  <dimension ref="A1:R78"/>
  <sheetViews>
    <sheetView zoomScale="75" zoomScaleNormal="75" workbookViewId="0"/>
  </sheetViews>
  <sheetFormatPr defaultColWidth="8.85546875" defaultRowHeight="15"/>
  <cols>
    <col min="1" max="17" width="8.85546875" style="17"/>
    <col min="18" max="18" width="73.140625" style="17" customWidth="1"/>
    <col min="19" max="16384" width="8.85546875" style="17"/>
  </cols>
  <sheetData>
    <row r="1" spans="1:18" ht="23.25">
      <c r="A1" s="492" t="s">
        <v>27</v>
      </c>
      <c r="B1" s="493"/>
    </row>
    <row r="2" spans="1:18">
      <c r="A2" s="494" t="s">
        <v>661</v>
      </c>
      <c r="B2" s="493"/>
      <c r="O2" s="146"/>
      <c r="Q2" s="386"/>
    </row>
    <row r="3" spans="1:18">
      <c r="D3" s="337"/>
      <c r="E3" s="337"/>
      <c r="F3" s="387"/>
      <c r="G3" s="337"/>
      <c r="H3" s="337"/>
      <c r="I3" s="337"/>
      <c r="J3" s="337"/>
      <c r="K3" s="337"/>
      <c r="L3" s="337"/>
      <c r="M3" s="337"/>
      <c r="N3" s="337"/>
      <c r="O3" s="146"/>
      <c r="P3" s="337"/>
      <c r="Q3" s="386"/>
    </row>
    <row r="4" spans="1:18" ht="17.25">
      <c r="A4" s="18" t="s">
        <v>28</v>
      </c>
    </row>
    <row r="5" spans="1:18" ht="9.9499999999999993" customHeight="1">
      <c r="A5" s="18"/>
    </row>
    <row r="6" spans="1:18" ht="17.25">
      <c r="A6" s="474"/>
      <c r="B6" s="1488" t="s">
        <v>730</v>
      </c>
      <c r="C6" s="1489"/>
      <c r="D6" s="1489"/>
      <c r="E6" s="1489"/>
      <c r="F6" s="1489"/>
      <c r="G6" s="1490"/>
      <c r="H6" s="1489" t="s">
        <v>734</v>
      </c>
      <c r="I6" s="1489"/>
      <c r="J6" s="1489"/>
      <c r="K6" s="1489"/>
      <c r="L6" s="1489"/>
      <c r="M6" s="1489"/>
      <c r="N6" s="1489"/>
      <c r="O6" s="1489"/>
      <c r="P6" s="1489"/>
      <c r="Q6" s="1489"/>
      <c r="R6" s="1493" t="s">
        <v>744</v>
      </c>
    </row>
    <row r="7" spans="1:18" ht="17.25" customHeight="1">
      <c r="A7" s="475" t="s">
        <v>746</v>
      </c>
      <c r="B7" s="476">
        <v>2005</v>
      </c>
      <c r="C7" s="477">
        <v>2006</v>
      </c>
      <c r="D7" s="477">
        <v>2007</v>
      </c>
      <c r="E7" s="477">
        <v>2008</v>
      </c>
      <c r="F7" s="477">
        <v>2009</v>
      </c>
      <c r="G7" s="478">
        <v>2010</v>
      </c>
      <c r="H7" s="477">
        <v>2011</v>
      </c>
      <c r="I7" s="477">
        <v>2012</v>
      </c>
      <c r="J7" s="477">
        <v>2013</v>
      </c>
      <c r="K7" s="477">
        <v>2014</v>
      </c>
      <c r="L7" s="477">
        <v>2015</v>
      </c>
      <c r="M7" s="477">
        <v>2016</v>
      </c>
      <c r="N7" s="477">
        <v>2017</v>
      </c>
      <c r="O7" s="477">
        <v>2018</v>
      </c>
      <c r="P7" s="477">
        <v>2019</v>
      </c>
      <c r="Q7" s="477">
        <v>2020</v>
      </c>
      <c r="R7" s="1494"/>
    </row>
    <row r="8" spans="1:18">
      <c r="A8" s="24" t="s">
        <v>747</v>
      </c>
      <c r="B8" s="856">
        <f>(EAP!B7/POP!B7)*100</f>
        <v>0</v>
      </c>
      <c r="C8" s="857">
        <f>(EAP!C7/POP!C7)*100</f>
        <v>0</v>
      </c>
      <c r="D8" s="857">
        <f>(EAP!D7/POP!D7)*100</f>
        <v>0</v>
      </c>
      <c r="E8" s="857">
        <f>(EAP!E7/POP!E7)*100</f>
        <v>0</v>
      </c>
      <c r="F8" s="857">
        <f>(EAP!F7/POP!F7)*100</f>
        <v>0</v>
      </c>
      <c r="G8" s="857">
        <f>(EAP!G7/POP!G7)*100</f>
        <v>0</v>
      </c>
      <c r="H8" s="857">
        <f>(EAP!H7/POP!H7)*100</f>
        <v>0</v>
      </c>
      <c r="I8" s="857">
        <f>(EAP!I7/POP!I7)*100</f>
        <v>0</v>
      </c>
      <c r="J8" s="857">
        <f>(EAP!J7/POP!J7)*100</f>
        <v>0</v>
      </c>
      <c r="K8" s="857">
        <f>(EAP!K7/POP!K7)*100</f>
        <v>0</v>
      </c>
      <c r="L8" s="857">
        <f>(EAP!L7/POP!L7)*100</f>
        <v>0</v>
      </c>
      <c r="M8" s="857">
        <f>(EAP!M7/POP!M7)*100</f>
        <v>0</v>
      </c>
      <c r="N8" s="857">
        <f>(EAP!N7/POP!N7)*100</f>
        <v>0</v>
      </c>
      <c r="O8" s="857">
        <f>(EAP!O7/POP!O7)*100</f>
        <v>0</v>
      </c>
      <c r="P8" s="857">
        <f>(EAP!P7/POP!P7)*100</f>
        <v>0</v>
      </c>
      <c r="Q8" s="858">
        <f>(EAP!Q7/POP!Q7)*100</f>
        <v>0</v>
      </c>
      <c r="R8" s="144"/>
    </row>
    <row r="9" spans="1:18">
      <c r="A9" s="24" t="s">
        <v>748</v>
      </c>
      <c r="B9" s="859">
        <f>(EAP!B8/POP!B8)*100</f>
        <v>0</v>
      </c>
      <c r="C9" s="860">
        <f>(EAP!C8/POP!C8)*100</f>
        <v>0</v>
      </c>
      <c r="D9" s="860">
        <f>(EAP!D8/POP!D8)*100</f>
        <v>0</v>
      </c>
      <c r="E9" s="860">
        <f>(EAP!E8/POP!E8)*100</f>
        <v>0</v>
      </c>
      <c r="F9" s="860">
        <f>(EAP!F8/POP!F8)*100</f>
        <v>0</v>
      </c>
      <c r="G9" s="860">
        <f>(EAP!G8/POP!G8)*100</f>
        <v>0</v>
      </c>
      <c r="H9" s="860">
        <f>(EAP!H8/POP!H8)*100</f>
        <v>0</v>
      </c>
      <c r="I9" s="860">
        <f>(EAP!I8/POP!I8)*100</f>
        <v>0</v>
      </c>
      <c r="J9" s="860">
        <f>(EAP!J8/POP!J8)*100</f>
        <v>0</v>
      </c>
      <c r="K9" s="860">
        <f>(EAP!K8/POP!K8)*100</f>
        <v>0</v>
      </c>
      <c r="L9" s="860">
        <f>(EAP!L8/POP!L8)*100</f>
        <v>0</v>
      </c>
      <c r="M9" s="860">
        <f>(EAP!M8/POP!M8)*100</f>
        <v>0</v>
      </c>
      <c r="N9" s="860">
        <f>(EAP!N8/POP!N8)*100</f>
        <v>0</v>
      </c>
      <c r="O9" s="860">
        <f>(EAP!O8/POP!O8)*100</f>
        <v>0</v>
      </c>
      <c r="P9" s="860">
        <f>(EAP!P8/POP!P8)*100</f>
        <v>0</v>
      </c>
      <c r="Q9" s="861">
        <f>(EAP!Q8/POP!Q8)*100</f>
        <v>0</v>
      </c>
      <c r="R9" s="144"/>
    </row>
    <row r="10" spans="1:18">
      <c r="A10" s="24" t="s">
        <v>749</v>
      </c>
      <c r="B10" s="859">
        <f>(EAP!B9/POP!B9)*100</f>
        <v>0</v>
      </c>
      <c r="C10" s="860">
        <f>(EAP!C9/POP!C9)*100</f>
        <v>0</v>
      </c>
      <c r="D10" s="860">
        <f>(EAP!D9/POP!D9)*100</f>
        <v>0</v>
      </c>
      <c r="E10" s="860">
        <f>(EAP!E9/POP!E9)*100</f>
        <v>0</v>
      </c>
      <c r="F10" s="860">
        <f>(EAP!F9/POP!F9)*100</f>
        <v>0</v>
      </c>
      <c r="G10" s="860">
        <f>(EAP!G9/POP!G9)*100</f>
        <v>0</v>
      </c>
      <c r="H10" s="860">
        <f>(EAP!H9/POP!H9)*100</f>
        <v>0</v>
      </c>
      <c r="I10" s="860">
        <f>(EAP!I9/POP!I9)*100</f>
        <v>0</v>
      </c>
      <c r="J10" s="860">
        <f>(EAP!J9/POP!J9)*100</f>
        <v>0</v>
      </c>
      <c r="K10" s="860">
        <f>(EAP!K9/POP!K9)*100</f>
        <v>0</v>
      </c>
      <c r="L10" s="860">
        <f>(EAP!L9/POP!L9)*100</f>
        <v>0</v>
      </c>
      <c r="M10" s="860">
        <f>(EAP!M9/POP!M9)*100</f>
        <v>0</v>
      </c>
      <c r="N10" s="860">
        <f>(EAP!N9/POP!N9)*100</f>
        <v>0</v>
      </c>
      <c r="O10" s="860">
        <f>(EAP!O9/POP!O9)*100</f>
        <v>0</v>
      </c>
      <c r="P10" s="860">
        <f>(EAP!P9/POP!P9)*100</f>
        <v>0</v>
      </c>
      <c r="Q10" s="861">
        <f>(EAP!Q9/POP!Q9)*100</f>
        <v>0</v>
      </c>
      <c r="R10" s="144"/>
    </row>
    <row r="11" spans="1:18">
      <c r="A11" s="24" t="s">
        <v>750</v>
      </c>
      <c r="B11" s="840">
        <f>(EAP!B10/POP!B10)*100</f>
        <v>47.463374294921564</v>
      </c>
      <c r="C11" s="841">
        <f>(EAP!C10/POP!C10)*100</f>
        <v>45.693868682994413</v>
      </c>
      <c r="D11" s="841">
        <f>(EAP!D10/POP!D10)*100</f>
        <v>43.889268684968371</v>
      </c>
      <c r="E11" s="841">
        <f>(EAP!E10/POP!E10)*100</f>
        <v>42.690964160356664</v>
      </c>
      <c r="F11" s="841">
        <f>(EAP!F10/POP!F10)*100</f>
        <v>43.878481179823211</v>
      </c>
      <c r="G11" s="841">
        <f>(EAP!G10/POP!G10)*100</f>
        <v>43.457665064202416</v>
      </c>
      <c r="H11" s="841">
        <f>(EAP!H10/POP!H10)*100</f>
        <v>43.071541893265497</v>
      </c>
      <c r="I11" s="841">
        <f>(EAP!I10/POP!I10)*100</f>
        <v>42.718943070057534</v>
      </c>
      <c r="J11" s="841">
        <f>(EAP!J10/POP!J10)*100</f>
        <v>42.395102038881731</v>
      </c>
      <c r="K11" s="841">
        <f>(EAP!K10/POP!K10)*100</f>
        <v>42.093522951942283</v>
      </c>
      <c r="L11" s="841">
        <f>(EAP!L10/POP!L10)*100</f>
        <v>41.808268571249378</v>
      </c>
      <c r="M11" s="841">
        <f>(EAP!M10/POP!M10)*100</f>
        <v>41.533753140198527</v>
      </c>
      <c r="N11" s="841">
        <f>(EAP!N10/POP!N10)*100</f>
        <v>41.268843651427858</v>
      </c>
      <c r="O11" s="841">
        <f>(EAP!O10/POP!O10)*100</f>
        <v>41.017873817524659</v>
      </c>
      <c r="P11" s="841">
        <f>(EAP!P10/POP!P10)*100</f>
        <v>40.78798123283164</v>
      </c>
      <c r="Q11" s="842">
        <f>(EAP!Q10/POP!Q10)*100</f>
        <v>40.583778550088795</v>
      </c>
      <c r="R11" s="144"/>
    </row>
    <row r="12" spans="1:18">
      <c r="A12" s="24" t="s">
        <v>751</v>
      </c>
      <c r="B12" s="840">
        <f>(EAP!B11/POP!B11)*100</f>
        <v>87.084969255436164</v>
      </c>
      <c r="C12" s="841">
        <f>(EAP!C11/POP!C11)*100</f>
        <v>86.540053556572943</v>
      </c>
      <c r="D12" s="841">
        <f>(EAP!D11/POP!D11)*100</f>
        <v>85.955168580382306</v>
      </c>
      <c r="E12" s="841">
        <f>(EAP!E11/POP!E11)*100</f>
        <v>85.544656929089754</v>
      </c>
      <c r="F12" s="841">
        <f>(EAP!F11/POP!F11)*100</f>
        <v>83.99852961783823</v>
      </c>
      <c r="G12" s="841">
        <f>(EAP!G11/POP!G11)*100</f>
        <v>83.299133674012111</v>
      </c>
      <c r="H12" s="841">
        <f>(EAP!H11/POP!H11)*100</f>
        <v>82.648498389727024</v>
      </c>
      <c r="I12" s="841">
        <f>(EAP!I11/POP!I11)*100</f>
        <v>82.049809212585359</v>
      </c>
      <c r="J12" s="841">
        <f>(EAP!J11/POP!J11)*100</f>
        <v>81.515519722809103</v>
      </c>
      <c r="K12" s="841">
        <f>(EAP!K11/POP!K11)*100</f>
        <v>81.060093953694789</v>
      </c>
      <c r="L12" s="841">
        <f>(EAP!L11/POP!L11)*100</f>
        <v>80.687207868851402</v>
      </c>
      <c r="M12" s="841">
        <f>(EAP!M11/POP!M11)*100</f>
        <v>80.387810510463638</v>
      </c>
      <c r="N12" s="841">
        <f>(EAP!N11/POP!N11)*100</f>
        <v>80.147727394435037</v>
      </c>
      <c r="O12" s="841">
        <f>(EAP!O11/POP!O11)*100</f>
        <v>79.959793090153767</v>
      </c>
      <c r="P12" s="841">
        <f>(EAP!P11/POP!P11)*100</f>
        <v>79.817767348597386</v>
      </c>
      <c r="Q12" s="842">
        <f>(EAP!Q11/POP!Q11)*100</f>
        <v>79.716975466400427</v>
      </c>
      <c r="R12" s="144"/>
    </row>
    <row r="13" spans="1:18">
      <c r="A13" s="24" t="s">
        <v>752</v>
      </c>
      <c r="B13" s="840">
        <f>(EAP!B12/POP!B12)*100</f>
        <v>97.242305720888851</v>
      </c>
      <c r="C13" s="841">
        <f>(EAP!C12/POP!C12)*100</f>
        <v>97.161445238478933</v>
      </c>
      <c r="D13" s="841">
        <f>(EAP!D12/POP!D12)*100</f>
        <v>97.075793905950775</v>
      </c>
      <c r="E13" s="841">
        <f>(EAP!E12/POP!E12)*100</f>
        <v>97.019033189908157</v>
      </c>
      <c r="F13" s="841">
        <f>(EAP!F12/POP!F12)*100</f>
        <v>96.293132506583817</v>
      </c>
      <c r="G13" s="841">
        <f>(EAP!G12/POP!G12)*100</f>
        <v>95.929758515615632</v>
      </c>
      <c r="H13" s="841">
        <f>(EAP!H12/POP!H12)*100</f>
        <v>95.570002397035708</v>
      </c>
      <c r="I13" s="841">
        <f>(EAP!I12/POP!I12)*100</f>
        <v>95.225870236669678</v>
      </c>
      <c r="J13" s="841">
        <f>(EAP!J12/POP!J12)*100</f>
        <v>94.910058749836878</v>
      </c>
      <c r="K13" s="841">
        <f>(EAP!K12/POP!K12)*100</f>
        <v>94.63361057466895</v>
      </c>
      <c r="L13" s="841">
        <f>(EAP!L12/POP!L12)*100</f>
        <v>94.401418087805325</v>
      </c>
      <c r="M13" s="841">
        <f>(EAP!M12/POP!M12)*100</f>
        <v>94.211360325794018</v>
      </c>
      <c r="N13" s="841">
        <f>(EAP!N12/POP!N12)*100</f>
        <v>94.05837194841115</v>
      </c>
      <c r="O13" s="841">
        <f>(EAP!O12/POP!O12)*100</f>
        <v>93.938830480827392</v>
      </c>
      <c r="P13" s="841">
        <f>(EAP!P12/POP!P12)*100</f>
        <v>93.848856468292425</v>
      </c>
      <c r="Q13" s="842">
        <f>(EAP!Q12/POP!Q12)*100</f>
        <v>93.784780508689948</v>
      </c>
      <c r="R13" s="144"/>
    </row>
    <row r="14" spans="1:18">
      <c r="A14" s="24" t="s">
        <v>753</v>
      </c>
      <c r="B14" s="840">
        <f>(EAP!B13/POP!B13)*100</f>
        <v>97.509840828614131</v>
      </c>
      <c r="C14" s="841">
        <f>(EAP!C13/POP!C13)*100</f>
        <v>97.500091931382443</v>
      </c>
      <c r="D14" s="841">
        <f>(EAP!D13/POP!D13)*100</f>
        <v>97.495710000808359</v>
      </c>
      <c r="E14" s="841">
        <f>(EAP!E13/POP!E13)*100</f>
        <v>97.502422533435663</v>
      </c>
      <c r="F14" s="841">
        <f>(EAP!F13/POP!F13)*100</f>
        <v>97.539794832860977</v>
      </c>
      <c r="G14" s="841">
        <f>(EAP!G13/POP!G13)*100</f>
        <v>97.51533380830972</v>
      </c>
      <c r="H14" s="841">
        <f>(EAP!H13/POP!H13)*100</f>
        <v>97.467785089871654</v>
      </c>
      <c r="I14" s="841">
        <f>(EAP!I13/POP!I13)*100</f>
        <v>97.400999065274448</v>
      </c>
      <c r="J14" s="841">
        <f>(EAP!J13/POP!J13)*100</f>
        <v>97.321817121703745</v>
      </c>
      <c r="K14" s="841">
        <f>(EAP!K13/POP!K13)*100</f>
        <v>97.243060856083062</v>
      </c>
      <c r="L14" s="841">
        <f>(EAP!L13/POP!L13)*100</f>
        <v>97.176835945837709</v>
      </c>
      <c r="M14" s="841">
        <f>(EAP!M13/POP!M13)*100</f>
        <v>97.125062992406825</v>
      </c>
      <c r="N14" s="841">
        <f>(EAP!N13/POP!N13)*100</f>
        <v>97.087218349060066</v>
      </c>
      <c r="O14" s="841">
        <f>(EAP!O13/POP!O13)*100</f>
        <v>97.069269290986043</v>
      </c>
      <c r="P14" s="841">
        <f>(EAP!P13/POP!P13)*100</f>
        <v>97.076132517033685</v>
      </c>
      <c r="Q14" s="842">
        <f>(EAP!Q13/POP!Q13)*100</f>
        <v>97.108581961753629</v>
      </c>
      <c r="R14" s="144"/>
    </row>
    <row r="15" spans="1:18">
      <c r="A15" s="24" t="s">
        <v>754</v>
      </c>
      <c r="B15" s="840">
        <f>(EAP!B14/POP!B14)*100</f>
        <v>97.239345635408512</v>
      </c>
      <c r="C15" s="841">
        <f>(EAP!C14/POP!C14)*100</f>
        <v>97.166227965046517</v>
      </c>
      <c r="D15" s="841">
        <f>(EAP!D14/POP!D14)*100</f>
        <v>97.087531827574068</v>
      </c>
      <c r="E15" s="841">
        <f>(EAP!E14/POP!E14)*100</f>
        <v>97.033452142335548</v>
      </c>
      <c r="F15" s="841">
        <f>(EAP!F14/POP!F14)*100</f>
        <v>97.629410502151003</v>
      </c>
      <c r="G15" s="841">
        <f>(EAP!G14/POP!G14)*100</f>
        <v>97.618042171106339</v>
      </c>
      <c r="H15" s="841">
        <f>(EAP!H14/POP!H14)*100</f>
        <v>97.610423548343789</v>
      </c>
      <c r="I15" s="841">
        <f>(EAP!I14/POP!I14)*100</f>
        <v>97.605895200359726</v>
      </c>
      <c r="J15" s="841">
        <f>(EAP!J14/POP!J14)*100</f>
        <v>97.601722260861948</v>
      </c>
      <c r="K15" s="841">
        <f>(EAP!K14/POP!K14)*100</f>
        <v>97.594071956521262</v>
      </c>
      <c r="L15" s="841">
        <f>(EAP!L14/POP!L14)*100</f>
        <v>97.580314694778025</v>
      </c>
      <c r="M15" s="841">
        <f>(EAP!M14/POP!M14)*100</f>
        <v>97.558984489651806</v>
      </c>
      <c r="N15" s="841">
        <f>(EAP!N14/POP!N14)*100</f>
        <v>97.531302391990877</v>
      </c>
      <c r="O15" s="841">
        <f>(EAP!O14/POP!O14)*100</f>
        <v>97.501026301757776</v>
      </c>
      <c r="P15" s="841">
        <f>(EAP!P14/POP!P14)*100</f>
        <v>97.474209594320087</v>
      </c>
      <c r="Q15" s="842">
        <f>(EAP!Q14/POP!Q14)*100</f>
        <v>97.455739422111321</v>
      </c>
      <c r="R15" s="144"/>
    </row>
    <row r="16" spans="1:18">
      <c r="A16" s="24" t="s">
        <v>755</v>
      </c>
      <c r="B16" s="840">
        <f>(EAP!B15/POP!B15)*100</f>
        <v>95.999779243754759</v>
      </c>
      <c r="C16" s="841">
        <f>(EAP!C15/POP!C15)*100</f>
        <v>95.982620099058721</v>
      </c>
      <c r="D16" s="841">
        <f>(EAP!D15/POP!D15)*100</f>
        <v>95.9619103022997</v>
      </c>
      <c r="E16" s="841">
        <f>(EAP!E15/POP!E15)*100</f>
        <v>95.936804180435317</v>
      </c>
      <c r="F16" s="841">
        <f>(EAP!F15/POP!F15)*100</f>
        <v>96.504438085593492</v>
      </c>
      <c r="G16" s="841">
        <f>(EAP!G15/POP!G15)*100</f>
        <v>96.493843200537128</v>
      </c>
      <c r="H16" s="841">
        <f>(EAP!H15/POP!H15)*100</f>
        <v>96.486780598527616</v>
      </c>
      <c r="I16" s="841">
        <f>(EAP!I15/POP!I15)*100</f>
        <v>96.48286058590854</v>
      </c>
      <c r="J16" s="841">
        <f>(EAP!J15/POP!J15)*100</f>
        <v>96.48017345966926</v>
      </c>
      <c r="K16" s="841">
        <f>(EAP!K15/POP!K15)*100</f>
        <v>96.475697138190654</v>
      </c>
      <c r="L16" s="841">
        <f>(EAP!L15/POP!L15)*100</f>
        <v>96.467620427653472</v>
      </c>
      <c r="M16" s="841">
        <f>(EAP!M15/POP!M15)*100</f>
        <v>96.455361660005806</v>
      </c>
      <c r="N16" s="841">
        <f>(EAP!N15/POP!N15)*100</f>
        <v>96.440503464915281</v>
      </c>
      <c r="O16" s="841">
        <f>(EAP!O15/POP!O15)*100</f>
        <v>96.426096738582373</v>
      </c>
      <c r="P16" s="841">
        <f>(EAP!P15/POP!P15)*100</f>
        <v>96.416320053820996</v>
      </c>
      <c r="Q16" s="842">
        <f>(EAP!Q15/POP!Q15)*100</f>
        <v>96.414390584323215</v>
      </c>
      <c r="R16" s="144"/>
    </row>
    <row r="17" spans="1:18">
      <c r="A17" s="24" t="s">
        <v>756</v>
      </c>
      <c r="B17" s="840">
        <f>(EAP!B16/POP!B16)*100</f>
        <v>94.32977111464244</v>
      </c>
      <c r="C17" s="841">
        <f>(EAP!C16/POP!C16)*100</f>
        <v>94.412338307560645</v>
      </c>
      <c r="D17" s="841">
        <f>(EAP!D16/POP!D16)*100</f>
        <v>94.500928976407323</v>
      </c>
      <c r="E17" s="841">
        <f>(EAP!E16/POP!E16)*100</f>
        <v>94.560973312449377</v>
      </c>
      <c r="F17" s="841">
        <f>(EAP!F16/POP!F16)*100</f>
        <v>94.637736272184455</v>
      </c>
      <c r="G17" s="841">
        <f>(EAP!G16/POP!G16)*100</f>
        <v>94.682004337492472</v>
      </c>
      <c r="H17" s="841">
        <f>(EAP!H16/POP!H16)*100</f>
        <v>94.706564708408479</v>
      </c>
      <c r="I17" s="841">
        <f>(EAP!I16/POP!I16)*100</f>
        <v>94.715698246674108</v>
      </c>
      <c r="J17" s="841">
        <f>(EAP!J16/POP!J16)*100</f>
        <v>94.715830167288686</v>
      </c>
      <c r="K17" s="841">
        <f>(EAP!K16/POP!K16)*100</f>
        <v>94.715707412368545</v>
      </c>
      <c r="L17" s="841">
        <f>(EAP!L16/POP!L16)*100</f>
        <v>94.721502664014295</v>
      </c>
      <c r="M17" s="841">
        <f>(EAP!M16/POP!M16)*100</f>
        <v>94.735301765854146</v>
      </c>
      <c r="N17" s="841">
        <f>(EAP!N16/POP!N16)*100</f>
        <v>94.75502648691787</v>
      </c>
      <c r="O17" s="841">
        <f>(EAP!O16/POP!O16)*100</f>
        <v>94.777588019698612</v>
      </c>
      <c r="P17" s="841">
        <f>(EAP!P16/POP!P16)*100</f>
        <v>94.798338240871104</v>
      </c>
      <c r="Q17" s="842">
        <f>(EAP!Q16/POP!Q16)*100</f>
        <v>94.81404072367279</v>
      </c>
      <c r="R17" s="144"/>
    </row>
    <row r="18" spans="1:18">
      <c r="A18" s="24" t="s">
        <v>757</v>
      </c>
      <c r="B18" s="840">
        <f>(EAP!B17/POP!B17)*100</f>
        <v>89.120547726846638</v>
      </c>
      <c r="C18" s="841">
        <f>(EAP!C17/POP!C17)*100</f>
        <v>89.110560734493362</v>
      </c>
      <c r="D18" s="841">
        <f>(EAP!D17/POP!D17)*100</f>
        <v>89.094351937816413</v>
      </c>
      <c r="E18" s="841">
        <f>(EAP!E17/POP!E17)*100</f>
        <v>89.071544162521477</v>
      </c>
      <c r="F18" s="841">
        <f>(EAP!F17/POP!F17)*100</f>
        <v>89.333941650680558</v>
      </c>
      <c r="G18" s="841">
        <f>(EAP!G17/POP!G17)*100</f>
        <v>89.322819638722919</v>
      </c>
      <c r="H18" s="841">
        <f>(EAP!H17/POP!H17)*100</f>
        <v>89.303490070130792</v>
      </c>
      <c r="I18" s="841">
        <f>(EAP!I17/POP!I17)*100</f>
        <v>89.278816118214792</v>
      </c>
      <c r="J18" s="841">
        <f>(EAP!J17/POP!J17)*100</f>
        <v>89.252215531321667</v>
      </c>
      <c r="K18" s="841">
        <f>(EAP!K17/POP!K17)*100</f>
        <v>89.22705189401222</v>
      </c>
      <c r="L18" s="841">
        <f>(EAP!L17/POP!L17)*100</f>
        <v>89.204869650858456</v>
      </c>
      <c r="M18" s="841">
        <f>(EAP!M17/POP!M17)*100</f>
        <v>89.185274138764626</v>
      </c>
      <c r="N18" s="841">
        <f>(EAP!N17/POP!N17)*100</f>
        <v>89.167235820204482</v>
      </c>
      <c r="O18" s="841">
        <f>(EAP!O17/POP!O17)*100</f>
        <v>89.150885263668926</v>
      </c>
      <c r="P18" s="841">
        <f>(EAP!P17/POP!P17)*100</f>
        <v>89.136525937306004</v>
      </c>
      <c r="Q18" s="842">
        <f>(EAP!Q17/POP!Q17)*100</f>
        <v>89.12448808080498</v>
      </c>
      <c r="R18" s="144"/>
    </row>
    <row r="19" spans="1:18">
      <c r="A19" s="24" t="s">
        <v>758</v>
      </c>
      <c r="B19" s="840">
        <f>(EAP!B18/POP!B18)*100</f>
        <v>83.23716997940565</v>
      </c>
      <c r="C19" s="841">
        <f>(EAP!C18/POP!C18)*100</f>
        <v>83.09824496828476</v>
      </c>
      <c r="D19" s="841">
        <f>(EAP!D18/POP!D18)*100</f>
        <v>82.970527557892964</v>
      </c>
      <c r="E19" s="841">
        <f>(EAP!E18/POP!E18)*100</f>
        <v>82.900908963584556</v>
      </c>
      <c r="F19" s="841">
        <f>(EAP!F18/POP!F18)*100</f>
        <v>83.090637738897684</v>
      </c>
      <c r="G19" s="841">
        <f>(EAP!G18/POP!G18)*100</f>
        <v>83.053505242367834</v>
      </c>
      <c r="H19" s="841">
        <f>(EAP!H18/POP!H18)*100</f>
        <v>82.995672111123383</v>
      </c>
      <c r="I19" s="841">
        <f>(EAP!I18/POP!I18)*100</f>
        <v>82.923872526372264</v>
      </c>
      <c r="J19" s="841">
        <f>(EAP!J18/POP!J18)*100</f>
        <v>82.845856142453911</v>
      </c>
      <c r="K19" s="841">
        <f>(EAP!K18/POP!K18)*100</f>
        <v>82.770060809964647</v>
      </c>
      <c r="L19" s="841">
        <f>(EAP!L18/POP!L18)*100</f>
        <v>82.700822390118105</v>
      </c>
      <c r="M19" s="841">
        <f>(EAP!M18/POP!M18)*100</f>
        <v>82.638646928820634</v>
      </c>
      <c r="N19" s="841">
        <f>(EAP!N18/POP!N18)*100</f>
        <v>82.579962783144694</v>
      </c>
      <c r="O19" s="841">
        <f>(EAP!O18/POP!O18)*100</f>
        <v>82.519899607639644</v>
      </c>
      <c r="P19" s="841">
        <f>(EAP!P18/POP!P18)*100</f>
        <v>82.452934222143455</v>
      </c>
      <c r="Q19" s="842">
        <f>(EAP!Q18/POP!Q18)*100</f>
        <v>82.376196396415196</v>
      </c>
      <c r="R19" s="144"/>
    </row>
    <row r="20" spans="1:18">
      <c r="A20" s="24" t="s">
        <v>759</v>
      </c>
      <c r="B20" s="840">
        <f>(EAP!B19/POP!B19)*100</f>
        <v>66.208396772265814</v>
      </c>
      <c r="C20" s="841">
        <f>(EAP!C19/POP!C19)*100</f>
        <v>66.254343290507606</v>
      </c>
      <c r="D20" s="841">
        <f>(EAP!D19/POP!D19)*100</f>
        <v>66.304922287226063</v>
      </c>
      <c r="E20" s="841">
        <f>(EAP!E19/POP!E19)*100</f>
        <v>66.349036053323545</v>
      </c>
      <c r="F20" s="841">
        <f>(EAP!F19/POP!F19)*100</f>
        <v>64.780420606344805</v>
      </c>
      <c r="G20" s="841">
        <f>(EAP!G19/POP!G19)*100</f>
        <v>64.754396666555465</v>
      </c>
      <c r="H20" s="841">
        <f>(EAP!H19/POP!H19)*100</f>
        <v>64.710191955177564</v>
      </c>
      <c r="I20" s="841">
        <f>(EAP!I19/POP!I19)*100</f>
        <v>64.654517143823284</v>
      </c>
      <c r="J20" s="841">
        <f>(EAP!J19/POP!J19)*100</f>
        <v>64.59600383860176</v>
      </c>
      <c r="K20" s="841">
        <f>(EAP!K19/POP!K19)*100</f>
        <v>64.542684150145547</v>
      </c>
      <c r="L20" s="841">
        <f>(EAP!L19/POP!L19)*100</f>
        <v>64.49765783247922</v>
      </c>
      <c r="M20" s="841">
        <f>(EAP!M19/POP!M19)*100</f>
        <v>64.460763085870937</v>
      </c>
      <c r="N20" s="841">
        <f>(EAP!N19/POP!N19)*100</f>
        <v>64.428898277410056</v>
      </c>
      <c r="O20" s="841">
        <f>(EAP!O19/POP!O19)*100</f>
        <v>64.398338212193451</v>
      </c>
      <c r="P20" s="841">
        <f>(EAP!P19/POP!P19)*100</f>
        <v>64.364910519286326</v>
      </c>
      <c r="Q20" s="842">
        <f>(EAP!Q19/POP!Q19)*100</f>
        <v>64.326674129071932</v>
      </c>
      <c r="R20" s="144"/>
    </row>
    <row r="21" spans="1:18">
      <c r="A21" s="24" t="s">
        <v>772</v>
      </c>
      <c r="B21" s="840">
        <f>(EAP!B20/POP!B20)*100</f>
        <v>38.584404769443445</v>
      </c>
      <c r="C21" s="841">
        <f>(EAP!C20/POP!C20)*100</f>
        <v>38.389451601094123</v>
      </c>
      <c r="D21" s="841">
        <f>(EAP!D20/POP!D20)*100</f>
        <v>38.168209095617215</v>
      </c>
      <c r="E21" s="841">
        <f>(EAP!E20/POP!E20)*100</f>
        <v>37.977164790450225</v>
      </c>
      <c r="F21" s="841">
        <f>(EAP!F20/POP!F20)*100</f>
        <v>34.185993034461312</v>
      </c>
      <c r="G21" s="841">
        <f>(EAP!G20/POP!G20)*100</f>
        <v>33.04077795291672</v>
      </c>
      <c r="H21" s="841">
        <f>(EAP!H20/POP!H20)*100</f>
        <v>32.006310710430917</v>
      </c>
      <c r="I21" s="841">
        <f>(EAP!I20/POP!I20)*100</f>
        <v>31.046410948855002</v>
      </c>
      <c r="J21" s="841">
        <f>(EAP!J20/POP!J20)*100</f>
        <v>30.169943818591026</v>
      </c>
      <c r="K21" s="841">
        <f>(EAP!K20/POP!K20)*100</f>
        <v>29.387126752230269</v>
      </c>
      <c r="L21" s="841">
        <f>(EAP!L20/POP!L20)*100</f>
        <v>28.702412156270118</v>
      </c>
      <c r="M21" s="841">
        <f>(EAP!M20/POP!M20)*100</f>
        <v>28.113135652255256</v>
      </c>
      <c r="N21" s="841">
        <f>(EAP!N20/POP!N20)*100</f>
        <v>27.610352188233328</v>
      </c>
      <c r="O21" s="841">
        <f>(EAP!O20/POP!O20)*100</f>
        <v>27.182406437284119</v>
      </c>
      <c r="P21" s="841">
        <f>(EAP!P20/POP!P20)*100</f>
        <v>26.815980921711528</v>
      </c>
      <c r="Q21" s="842">
        <f>(EAP!Q20/POP!Q20)*100</f>
        <v>26.501532769060592</v>
      </c>
      <c r="R21" s="144"/>
    </row>
    <row r="22" spans="1:18">
      <c r="A22" s="25" t="s">
        <v>760</v>
      </c>
      <c r="B22" s="846">
        <f>(EAP!B21/SUM(POP!B10:B20)*100)</f>
        <v>81.878343449834531</v>
      </c>
      <c r="C22" s="847">
        <f>(EAP!C21/SUM(POP!C10:C20)*100)</f>
        <v>81.592826461447572</v>
      </c>
      <c r="D22" s="847">
        <f>(EAP!D21/SUM(POP!D10:D20)*100)</f>
        <v>81.314617711235428</v>
      </c>
      <c r="E22" s="847">
        <f>(EAP!E21/SUM(POP!E10:E20)*100)</f>
        <v>81.173375072535563</v>
      </c>
      <c r="F22" s="847">
        <f>(EAP!F21/SUM(POP!F10:F20)*100)</f>
        <v>81.001469603981917</v>
      </c>
      <c r="G22" s="847">
        <f>(EAP!G21/SUM(POP!G10:G20)*100)</f>
        <v>80.873010049554154</v>
      </c>
      <c r="H22" s="847">
        <f>(EAP!H21/SUM(POP!H10:H20)*100)</f>
        <v>80.788009458352377</v>
      </c>
      <c r="I22" s="847">
        <f>(EAP!I21/SUM(POP!I10:I20)*100)</f>
        <v>80.7309841888394</v>
      </c>
      <c r="J22" s="847">
        <f>(EAP!J21/SUM(POP!J10:J20)*100)</f>
        <v>80.683344751288701</v>
      </c>
      <c r="K22" s="847">
        <f>(EAP!K21/SUM(POP!K10:K20)*100)</f>
        <v>80.623361562466727</v>
      </c>
      <c r="L22" s="847">
        <f>(EAP!L21/SUM(POP!L10:L20)*100)</f>
        <v>80.535591190300835</v>
      </c>
      <c r="M22" s="847">
        <f>(EAP!M21/SUM(POP!M10:M20)*100)</f>
        <v>80.414391163156424</v>
      </c>
      <c r="N22" s="847">
        <f>(EAP!N21/SUM(POP!N10:N20)*100)</f>
        <v>80.260787638668845</v>
      </c>
      <c r="O22" s="847">
        <f>(EAP!O21/SUM(POP!O10:O20)*100)</f>
        <v>80.074930609325349</v>
      </c>
      <c r="P22" s="847">
        <f>(EAP!P21/SUM(POP!P10:P20)*100)</f>
        <v>79.85934109417434</v>
      </c>
      <c r="Q22" s="848">
        <f>(EAP!Q21/SUM(POP!Q10:Q20)*100)</f>
        <v>79.616274959928859</v>
      </c>
      <c r="R22" s="385"/>
    </row>
    <row r="23" spans="1:18" ht="9.9499999999999993" customHeight="1"/>
    <row r="24" spans="1:18" ht="17.25">
      <c r="A24" s="18" t="s">
        <v>29</v>
      </c>
    </row>
    <row r="25" spans="1:18" ht="9.9499999999999993" customHeight="1"/>
    <row r="26" spans="1:18" ht="17.25">
      <c r="A26" s="474"/>
      <c r="B26" s="1488" t="s">
        <v>730</v>
      </c>
      <c r="C26" s="1489"/>
      <c r="D26" s="1489"/>
      <c r="E26" s="1489"/>
      <c r="F26" s="1489"/>
      <c r="G26" s="1490"/>
      <c r="H26" s="1489" t="s">
        <v>734</v>
      </c>
      <c r="I26" s="1489"/>
      <c r="J26" s="1489"/>
      <c r="K26" s="1489"/>
      <c r="L26" s="1489"/>
      <c r="M26" s="1489"/>
      <c r="N26" s="1489"/>
      <c r="O26" s="1489"/>
      <c r="P26" s="1489"/>
      <c r="Q26" s="1489"/>
      <c r="R26" s="1493" t="s">
        <v>744</v>
      </c>
    </row>
    <row r="27" spans="1:18" ht="17.25" customHeight="1">
      <c r="A27" s="475" t="s">
        <v>746</v>
      </c>
      <c r="B27" s="476">
        <v>2005</v>
      </c>
      <c r="C27" s="477">
        <v>2006</v>
      </c>
      <c r="D27" s="477">
        <v>2007</v>
      </c>
      <c r="E27" s="477">
        <v>2008</v>
      </c>
      <c r="F27" s="477">
        <v>2009</v>
      </c>
      <c r="G27" s="478">
        <v>2010</v>
      </c>
      <c r="H27" s="477">
        <v>2011</v>
      </c>
      <c r="I27" s="477">
        <v>2012</v>
      </c>
      <c r="J27" s="477">
        <v>2013</v>
      </c>
      <c r="K27" s="477">
        <v>2014</v>
      </c>
      <c r="L27" s="477">
        <v>2015</v>
      </c>
      <c r="M27" s="477">
        <v>2016</v>
      </c>
      <c r="N27" s="477">
        <v>2017</v>
      </c>
      <c r="O27" s="477">
        <v>2018</v>
      </c>
      <c r="P27" s="477">
        <v>2019</v>
      </c>
      <c r="Q27" s="477">
        <v>2020</v>
      </c>
      <c r="R27" s="1494"/>
    </row>
    <row r="28" spans="1:18">
      <c r="A28" s="24" t="s">
        <v>747</v>
      </c>
      <c r="B28" s="856">
        <f>(EAP!B27/POP!B27)*100</f>
        <v>0</v>
      </c>
      <c r="C28" s="857">
        <f>(EAP!C27/POP!C27)*100</f>
        <v>0</v>
      </c>
      <c r="D28" s="857">
        <f>(EAP!D27/POP!D27)*100</f>
        <v>0</v>
      </c>
      <c r="E28" s="857">
        <f>(EAP!E27/POP!E27)*100</f>
        <v>0</v>
      </c>
      <c r="F28" s="857">
        <f>(EAP!F27/POP!F27)*100</f>
        <v>0</v>
      </c>
      <c r="G28" s="857">
        <f>(EAP!G27/POP!G27)*100</f>
        <v>0</v>
      </c>
      <c r="H28" s="857">
        <f>(EAP!H27/POP!H27)*100</f>
        <v>0</v>
      </c>
      <c r="I28" s="857">
        <f>(EAP!I27/POP!I27)*100</f>
        <v>0</v>
      </c>
      <c r="J28" s="857">
        <f>(EAP!J27/POP!J27)*100</f>
        <v>0</v>
      </c>
      <c r="K28" s="857">
        <f>(EAP!K27/POP!K27)*100</f>
        <v>0</v>
      </c>
      <c r="L28" s="857">
        <f>(EAP!L27/POP!L27)*100</f>
        <v>0</v>
      </c>
      <c r="M28" s="857">
        <f>(EAP!M27/POP!M27)*100</f>
        <v>0</v>
      </c>
      <c r="N28" s="857">
        <f>(EAP!N27/POP!N27)*100</f>
        <v>0</v>
      </c>
      <c r="O28" s="857">
        <f>(EAP!O27/POP!O27)*100</f>
        <v>0</v>
      </c>
      <c r="P28" s="857">
        <f>(EAP!P27/POP!P27)*100</f>
        <v>0</v>
      </c>
      <c r="Q28" s="858">
        <f>(EAP!Q27/POP!Q27)*100</f>
        <v>0</v>
      </c>
      <c r="R28" s="143"/>
    </row>
    <row r="29" spans="1:18">
      <c r="A29" s="24" t="s">
        <v>748</v>
      </c>
      <c r="B29" s="859">
        <f>(EAP!B28/POP!B28)*100</f>
        <v>0</v>
      </c>
      <c r="C29" s="860">
        <f>(EAP!C28/POP!C28)*100</f>
        <v>0</v>
      </c>
      <c r="D29" s="860">
        <f>(EAP!D28/POP!D28)*100</f>
        <v>0</v>
      </c>
      <c r="E29" s="860">
        <f>(EAP!E28/POP!E28)*100</f>
        <v>0</v>
      </c>
      <c r="F29" s="860">
        <f>(EAP!F28/POP!F28)*100</f>
        <v>0</v>
      </c>
      <c r="G29" s="860">
        <f>(EAP!G28/POP!G28)*100</f>
        <v>0</v>
      </c>
      <c r="H29" s="860">
        <f>(EAP!H28/POP!H28)*100</f>
        <v>0</v>
      </c>
      <c r="I29" s="860">
        <f>(EAP!I28/POP!I28)*100</f>
        <v>0</v>
      </c>
      <c r="J29" s="860">
        <f>(EAP!J28/POP!J28)*100</f>
        <v>0</v>
      </c>
      <c r="K29" s="860">
        <f>(EAP!K28/POP!K28)*100</f>
        <v>0</v>
      </c>
      <c r="L29" s="860">
        <f>(EAP!L28/POP!L28)*100</f>
        <v>0</v>
      </c>
      <c r="M29" s="860">
        <f>(EAP!M28/POP!M28)*100</f>
        <v>0</v>
      </c>
      <c r="N29" s="860">
        <f>(EAP!N28/POP!N28)*100</f>
        <v>0</v>
      </c>
      <c r="O29" s="860">
        <f>(EAP!O28/POP!O28)*100</f>
        <v>0</v>
      </c>
      <c r="P29" s="860">
        <f>(EAP!P28/POP!P28)*100</f>
        <v>0</v>
      </c>
      <c r="Q29" s="861">
        <f>(EAP!Q28/POP!Q28)*100</f>
        <v>0</v>
      </c>
      <c r="R29" s="143"/>
    </row>
    <row r="30" spans="1:18">
      <c r="A30" s="24" t="s">
        <v>749</v>
      </c>
      <c r="B30" s="859">
        <f>(EAP!B29/POP!B29)*100</f>
        <v>0</v>
      </c>
      <c r="C30" s="860">
        <f>(EAP!C29/POP!C29)*100</f>
        <v>0</v>
      </c>
      <c r="D30" s="860">
        <f>(EAP!D29/POP!D29)*100</f>
        <v>0</v>
      </c>
      <c r="E30" s="860">
        <f>(EAP!E29/POP!E29)*100</f>
        <v>0</v>
      </c>
      <c r="F30" s="860">
        <f>(EAP!F29/POP!F29)*100</f>
        <v>0</v>
      </c>
      <c r="G30" s="860">
        <f>(EAP!G29/POP!G29)*100</f>
        <v>0</v>
      </c>
      <c r="H30" s="860">
        <f>(EAP!H29/POP!H29)*100</f>
        <v>0</v>
      </c>
      <c r="I30" s="860">
        <f>(EAP!I29/POP!I29)*100</f>
        <v>0</v>
      </c>
      <c r="J30" s="860">
        <f>(EAP!J29/POP!J29)*100</f>
        <v>0</v>
      </c>
      <c r="K30" s="860">
        <f>(EAP!K29/POP!K29)*100</f>
        <v>0</v>
      </c>
      <c r="L30" s="860">
        <f>(EAP!L29/POP!L29)*100</f>
        <v>0</v>
      </c>
      <c r="M30" s="860">
        <f>(EAP!M29/POP!M29)*100</f>
        <v>0</v>
      </c>
      <c r="N30" s="860">
        <f>(EAP!N29/POP!N29)*100</f>
        <v>0</v>
      </c>
      <c r="O30" s="860">
        <f>(EAP!O29/POP!O29)*100</f>
        <v>0</v>
      </c>
      <c r="P30" s="860">
        <f>(EAP!P29/POP!P29)*100</f>
        <v>0</v>
      </c>
      <c r="Q30" s="861">
        <f>(EAP!Q29/POP!Q29)*100</f>
        <v>0</v>
      </c>
      <c r="R30" s="143"/>
    </row>
    <row r="31" spans="1:18">
      <c r="A31" s="24" t="s">
        <v>750</v>
      </c>
      <c r="B31" s="840">
        <f>(EAP!B30/POP!B30)*100</f>
        <v>49.395438293797795</v>
      </c>
      <c r="C31" s="841">
        <f>(EAP!C30/POP!C30)*100</f>
        <v>47.19929045946806</v>
      </c>
      <c r="D31" s="841">
        <f>(EAP!D30/POP!D30)*100</f>
        <v>44.952709466216177</v>
      </c>
      <c r="E31" s="841">
        <f>(EAP!E30/POP!E30)*100</f>
        <v>43.447790093924979</v>
      </c>
      <c r="F31" s="841">
        <f>(EAP!F30/POP!F30)*100</f>
        <v>43.64123169456596</v>
      </c>
      <c r="G31" s="841">
        <f>(EAP!G30/POP!G30)*100</f>
        <v>42.727198459796661</v>
      </c>
      <c r="H31" s="841">
        <f>(EAP!H30/POP!H30)*100</f>
        <v>41.90978677320151</v>
      </c>
      <c r="I31" s="841">
        <f>(EAP!I30/POP!I30)*100</f>
        <v>41.181122012958376</v>
      </c>
      <c r="J31" s="841">
        <f>(EAP!J30/POP!J30)*100</f>
        <v>40.534195646826767</v>
      </c>
      <c r="K31" s="841">
        <f>(EAP!K30/POP!K30)*100</f>
        <v>39.963119966861029</v>
      </c>
      <c r="L31" s="841">
        <f>(EAP!L30/POP!L30)*100</f>
        <v>39.462076329973065</v>
      </c>
      <c r="M31" s="841">
        <f>(EAP!M30/POP!M30)*100</f>
        <v>39.024371374657882</v>
      </c>
      <c r="N31" s="841">
        <f>(EAP!N30/POP!N30)*100</f>
        <v>38.64264307146118</v>
      </c>
      <c r="O31" s="841">
        <f>(EAP!O30/POP!O30)*100</f>
        <v>38.310170651401492</v>
      </c>
      <c r="P31" s="841">
        <f>(EAP!P30/POP!P30)*100</f>
        <v>38.02017425160706</v>
      </c>
      <c r="Q31" s="842">
        <f>(EAP!Q30/POP!Q30)*100</f>
        <v>37.766841610189964</v>
      </c>
      <c r="R31" s="143"/>
    </row>
    <row r="32" spans="1:18">
      <c r="A32" s="24" t="s">
        <v>751</v>
      </c>
      <c r="B32" s="840">
        <f>(EAP!B31/POP!B31)*100</f>
        <v>77.69099662091908</v>
      </c>
      <c r="C32" s="841">
        <f>(EAP!C31/POP!C31)*100</f>
        <v>77.319013651617368</v>
      </c>
      <c r="D32" s="841">
        <f>(EAP!D31/POP!D31)*100</f>
        <v>76.950498710893584</v>
      </c>
      <c r="E32" s="841">
        <f>(EAP!E31/POP!E31)*100</f>
        <v>76.711348526301578</v>
      </c>
      <c r="F32" s="841">
        <f>(EAP!F31/POP!F31)*100</f>
        <v>75.071977414071398</v>
      </c>
      <c r="G32" s="841">
        <f>(EAP!G31/POP!G31)*100</f>
        <v>74.432963983948014</v>
      </c>
      <c r="H32" s="841">
        <f>(EAP!H31/POP!H31)*100</f>
        <v>73.865819205087249</v>
      </c>
      <c r="I32" s="841">
        <f>(EAP!I31/POP!I31)*100</f>
        <v>73.365945028317299</v>
      </c>
      <c r="J32" s="841">
        <f>(EAP!J31/POP!J31)*100</f>
        <v>72.932116840327438</v>
      </c>
      <c r="K32" s="841">
        <f>(EAP!K31/POP!K31)*100</f>
        <v>72.564675032844789</v>
      </c>
      <c r="L32" s="841">
        <f>(EAP!L31/POP!L31)*100</f>
        <v>72.259590886714804</v>
      </c>
      <c r="M32" s="841">
        <f>(EAP!M31/POP!M31)*100</f>
        <v>72.004764323544151</v>
      </c>
      <c r="N32" s="841">
        <f>(EAP!N31/POP!N31)*100</f>
        <v>71.788822414557515</v>
      </c>
      <c r="O32" s="841">
        <f>(EAP!O31/POP!O31)*100</f>
        <v>71.610472973151261</v>
      </c>
      <c r="P32" s="841">
        <f>(EAP!P31/POP!P31)*100</f>
        <v>71.474245355258176</v>
      </c>
      <c r="Q32" s="842">
        <f>(EAP!Q31/POP!Q31)*100</f>
        <v>71.384614158611299</v>
      </c>
      <c r="R32" s="143"/>
    </row>
    <row r="33" spans="1:18">
      <c r="A33" s="24" t="s">
        <v>752</v>
      </c>
      <c r="B33" s="840">
        <f>(EAP!B32/POP!B32)*100</f>
        <v>86.717051632621576</v>
      </c>
      <c r="C33" s="841">
        <f>(EAP!C32/POP!C32)*100</f>
        <v>86.690501053672776</v>
      </c>
      <c r="D33" s="841">
        <f>(EAP!D32/POP!D32)*100</f>
        <v>86.688790534214888</v>
      </c>
      <c r="E33" s="841">
        <f>(EAP!E32/POP!E32)*100</f>
        <v>86.701649278314022</v>
      </c>
      <c r="F33" s="841">
        <f>(EAP!F32/POP!F32)*100</f>
        <v>86.936151757325291</v>
      </c>
      <c r="G33" s="841">
        <f>(EAP!G32/POP!G32)*100</f>
        <v>86.876865707092065</v>
      </c>
      <c r="H33" s="841">
        <f>(EAP!H32/POP!H32)*100</f>
        <v>86.810528115273797</v>
      </c>
      <c r="I33" s="841">
        <f>(EAP!I32/POP!I32)*100</f>
        <v>86.739445792634314</v>
      </c>
      <c r="J33" s="841">
        <f>(EAP!J32/POP!J32)*100</f>
        <v>86.670592317350724</v>
      </c>
      <c r="K33" s="841">
        <f>(EAP!K32/POP!K32)*100</f>
        <v>86.612037368746826</v>
      </c>
      <c r="L33" s="841">
        <f>(EAP!L32/POP!L32)*100</f>
        <v>86.568008455976951</v>
      </c>
      <c r="M33" s="841">
        <f>(EAP!M32/POP!M32)*100</f>
        <v>86.540060693252926</v>
      </c>
      <c r="N33" s="841">
        <f>(EAP!N32/POP!N32)*100</f>
        <v>86.524187034370229</v>
      </c>
      <c r="O33" s="841">
        <f>(EAP!O32/POP!O32)*100</f>
        <v>86.51287197174203</v>
      </c>
      <c r="P33" s="841">
        <f>(EAP!P32/POP!P32)*100</f>
        <v>86.49694578087211</v>
      </c>
      <c r="Q33" s="842">
        <f>(EAP!Q32/POP!Q32)*100</f>
        <v>86.470640982587511</v>
      </c>
      <c r="R33" s="143"/>
    </row>
    <row r="34" spans="1:18">
      <c r="A34" s="24" t="s">
        <v>753</v>
      </c>
      <c r="B34" s="840">
        <f>(EAP!B33/POP!B33)*100</f>
        <v>90.797479743664894</v>
      </c>
      <c r="C34" s="841">
        <f>(EAP!C33/POP!C33)*100</f>
        <v>90.858382752828319</v>
      </c>
      <c r="D34" s="841">
        <f>(EAP!D33/POP!D33)*100</f>
        <v>90.924059555857568</v>
      </c>
      <c r="E34" s="841">
        <f>(EAP!E33/POP!E33)*100</f>
        <v>90.972201257726354</v>
      </c>
      <c r="F34" s="841">
        <f>(EAP!F33/POP!F33)*100</f>
        <v>90.726730604635137</v>
      </c>
      <c r="G34" s="841">
        <f>(EAP!G33/POP!G33)*100</f>
        <v>90.694500239567304</v>
      </c>
      <c r="H34" s="841">
        <f>(EAP!H33/POP!H33)*100</f>
        <v>90.659943384150722</v>
      </c>
      <c r="I34" s="841">
        <f>(EAP!I33/POP!I33)*100</f>
        <v>90.623854124408098</v>
      </c>
      <c r="J34" s="841">
        <f>(EAP!J33/POP!J33)*100</f>
        <v>90.587487168609243</v>
      </c>
      <c r="K34" s="841">
        <f>(EAP!K33/POP!K33)*100</f>
        <v>90.55307843185382</v>
      </c>
      <c r="L34" s="841">
        <f>(EAP!L33/POP!L33)*100</f>
        <v>90.522769923561313</v>
      </c>
      <c r="M34" s="841">
        <f>(EAP!M33/POP!M33)*100</f>
        <v>90.496455843250516</v>
      </c>
      <c r="N34" s="841">
        <f>(EAP!N33/POP!N33)*100</f>
        <v>90.474066202907522</v>
      </c>
      <c r="O34" s="841">
        <f>(EAP!O33/POP!O33)*100</f>
        <v>90.457315823243874</v>
      </c>
      <c r="P34" s="841">
        <f>(EAP!P33/POP!P33)*100</f>
        <v>90.448012374447998</v>
      </c>
      <c r="Q34" s="842">
        <f>(EAP!Q33/POP!Q33)*100</f>
        <v>90.446691608384398</v>
      </c>
      <c r="R34" s="143"/>
    </row>
    <row r="35" spans="1:18">
      <c r="A35" s="24" t="s">
        <v>754</v>
      </c>
      <c r="B35" s="840">
        <f>(EAP!B34/POP!B34)*100</f>
        <v>91.34034266951906</v>
      </c>
      <c r="C35" s="841">
        <f>(EAP!C34/POP!C34)*100</f>
        <v>91.388130189726752</v>
      </c>
      <c r="D35" s="841">
        <f>(EAP!D34/POP!D34)*100</f>
        <v>91.440087824193824</v>
      </c>
      <c r="E35" s="841">
        <f>(EAP!E34/POP!E34)*100</f>
        <v>91.472908298513588</v>
      </c>
      <c r="F35" s="841">
        <f>(EAP!F34/POP!F34)*100</f>
        <v>91.36174113378982</v>
      </c>
      <c r="G35" s="841">
        <f>(EAP!G34/POP!G34)*100</f>
        <v>91.30894565878161</v>
      </c>
      <c r="H35" s="841">
        <f>(EAP!H34/POP!H34)*100</f>
        <v>91.256152946469669</v>
      </c>
      <c r="I35" s="841">
        <f>(EAP!I34/POP!I34)*100</f>
        <v>91.204039359540985</v>
      </c>
      <c r="J35" s="841">
        <f>(EAP!J34/POP!J34)*100</f>
        <v>91.154673700974342</v>
      </c>
      <c r="K35" s="841">
        <f>(EAP!K34/POP!K34)*100</f>
        <v>91.111103800356133</v>
      </c>
      <c r="L35" s="841">
        <f>(EAP!L34/POP!L34)*100</f>
        <v>91.075532745978833</v>
      </c>
      <c r="M35" s="841">
        <f>(EAP!M34/POP!M34)*100</f>
        <v>91.048209503021241</v>
      </c>
      <c r="N35" s="841">
        <f>(EAP!N34/POP!N34)*100</f>
        <v>91.028236984627625</v>
      </c>
      <c r="O35" s="841">
        <f>(EAP!O34/POP!O34)*100</f>
        <v>91.015104494216459</v>
      </c>
      <c r="P35" s="841">
        <f>(EAP!P34/POP!P34)*100</f>
        <v>91.007642725906578</v>
      </c>
      <c r="Q35" s="842">
        <f>(EAP!Q34/POP!Q34)*100</f>
        <v>91.004010550082185</v>
      </c>
      <c r="R35" s="143"/>
    </row>
    <row r="36" spans="1:18">
      <c r="A36" s="24" t="s">
        <v>755</v>
      </c>
      <c r="B36" s="840">
        <f>(EAP!B35/POP!B35)*100</f>
        <v>90.880677757002786</v>
      </c>
      <c r="C36" s="841">
        <f>(EAP!C35/POP!C35)*100</f>
        <v>90.934173050768109</v>
      </c>
      <c r="D36" s="841">
        <f>(EAP!D35/POP!D35)*100</f>
        <v>90.98910078197963</v>
      </c>
      <c r="E36" s="841">
        <f>(EAP!E35/POP!E35)*100</f>
        <v>91.02662890061751</v>
      </c>
      <c r="F36" s="841">
        <f>(EAP!F35/POP!F35)*100</f>
        <v>90.408224055501805</v>
      </c>
      <c r="G36" s="841">
        <f>(EAP!G35/POP!G35)*100</f>
        <v>90.414853395023954</v>
      </c>
      <c r="H36" s="841">
        <f>(EAP!H35/POP!H35)*100</f>
        <v>90.419977419822814</v>
      </c>
      <c r="I36" s="841">
        <f>(EAP!I35/POP!I35)*100</f>
        <v>90.42401692618499</v>
      </c>
      <c r="J36" s="841">
        <f>(EAP!J35/POP!J35)*100</f>
        <v>90.427358175395355</v>
      </c>
      <c r="K36" s="841">
        <f>(EAP!K35/POP!K35)*100</f>
        <v>90.430313737924735</v>
      </c>
      <c r="L36" s="841">
        <f>(EAP!L35/POP!L35)*100</f>
        <v>90.432964882631083</v>
      </c>
      <c r="M36" s="841">
        <f>(EAP!M35/POP!M35)*100</f>
        <v>90.435809745629513</v>
      </c>
      <c r="N36" s="841">
        <f>(EAP!N35/POP!N35)*100</f>
        <v>90.438724746537005</v>
      </c>
      <c r="O36" s="841">
        <f>(EAP!O35/POP!O35)*100</f>
        <v>90.440798647040225</v>
      </c>
      <c r="P36" s="841">
        <f>(EAP!P35/POP!P35)*100</f>
        <v>90.440800881320769</v>
      </c>
      <c r="Q36" s="842">
        <f>(EAP!Q35/POP!Q35)*100</f>
        <v>90.437926397897868</v>
      </c>
      <c r="R36" s="143"/>
    </row>
    <row r="37" spans="1:18">
      <c r="A37" s="24" t="s">
        <v>756</v>
      </c>
      <c r="B37" s="840">
        <f>(EAP!B36/POP!B36)*100</f>
        <v>88.398183240549514</v>
      </c>
      <c r="C37" s="841">
        <f>(EAP!C36/POP!C36)*100</f>
        <v>88.424214638745497</v>
      </c>
      <c r="D37" s="841">
        <f>(EAP!D36/POP!D36)*100</f>
        <v>88.452669687507395</v>
      </c>
      <c r="E37" s="841">
        <f>(EAP!E36/POP!E36)*100</f>
        <v>88.471026603866903</v>
      </c>
      <c r="F37" s="841">
        <f>(EAP!F36/POP!F36)*100</f>
        <v>88.941135676360688</v>
      </c>
      <c r="G37" s="841">
        <f>(EAP!G36/POP!G36)*100</f>
        <v>89.002328545020603</v>
      </c>
      <c r="H37" s="841">
        <f>(EAP!H36/POP!H36)*100</f>
        <v>89.059986873807716</v>
      </c>
      <c r="I37" s="841">
        <f>(EAP!I36/POP!I36)*100</f>
        <v>89.114426506928638</v>
      </c>
      <c r="J37" s="841">
        <f>(EAP!J36/POP!J36)*100</f>
        <v>89.165612012860095</v>
      </c>
      <c r="K37" s="841">
        <f>(EAP!K36/POP!K36)*100</f>
        <v>89.213562485508433</v>
      </c>
      <c r="L37" s="841">
        <f>(EAP!L36/POP!L36)*100</f>
        <v>89.258336084462613</v>
      </c>
      <c r="M37" s="841">
        <f>(EAP!M36/POP!M36)*100</f>
        <v>89.299896484998044</v>
      </c>
      <c r="N37" s="841">
        <f>(EAP!N36/POP!N36)*100</f>
        <v>89.33842671126736</v>
      </c>
      <c r="O37" s="841">
        <f>(EAP!O36/POP!O36)*100</f>
        <v>89.374296675735593</v>
      </c>
      <c r="P37" s="841">
        <f>(EAP!P36/POP!P36)*100</f>
        <v>89.407930148904583</v>
      </c>
      <c r="Q37" s="842">
        <f>(EAP!Q36/POP!Q36)*100</f>
        <v>89.43961446641859</v>
      </c>
      <c r="R37" s="143"/>
    </row>
    <row r="38" spans="1:18">
      <c r="A38" s="24" t="s">
        <v>757</v>
      </c>
      <c r="B38" s="840">
        <f>(EAP!B37/POP!B37)*100</f>
        <v>82.050208454587448</v>
      </c>
      <c r="C38" s="841">
        <f>(EAP!C37/POP!C37)*100</f>
        <v>82.094679393120131</v>
      </c>
      <c r="D38" s="841">
        <f>(EAP!D37/POP!D37)*100</f>
        <v>82.143362395188674</v>
      </c>
      <c r="E38" s="841">
        <f>(EAP!E37/POP!E37)*100</f>
        <v>82.184458631861972</v>
      </c>
      <c r="F38" s="841">
        <f>(EAP!F37/POP!F37)*100</f>
        <v>82.97018871742813</v>
      </c>
      <c r="G38" s="841">
        <f>(EAP!G37/POP!G37)*100</f>
        <v>83.281962718368973</v>
      </c>
      <c r="H38" s="841">
        <f>(EAP!H37/POP!H37)*100</f>
        <v>83.595428000917423</v>
      </c>
      <c r="I38" s="841">
        <f>(EAP!I37/POP!I37)*100</f>
        <v>83.910346332936541</v>
      </c>
      <c r="J38" s="841">
        <f>(EAP!J37/POP!J37)*100</f>
        <v>84.226083303926032</v>
      </c>
      <c r="K38" s="841">
        <f>(EAP!K37/POP!K37)*100</f>
        <v>84.541756238948139</v>
      </c>
      <c r="L38" s="841">
        <f>(EAP!L37/POP!L37)*100</f>
        <v>84.856546887744983</v>
      </c>
      <c r="M38" s="841">
        <f>(EAP!M37/POP!M37)*100</f>
        <v>85.169852440123648</v>
      </c>
      <c r="N38" s="841">
        <f>(EAP!N37/POP!N37)*100</f>
        <v>85.481294264478265</v>
      </c>
      <c r="O38" s="841">
        <f>(EAP!O37/POP!O37)*100</f>
        <v>85.790877854663151</v>
      </c>
      <c r="P38" s="841">
        <f>(EAP!P37/POP!P37)*100</f>
        <v>86.098761541077451</v>
      </c>
      <c r="Q38" s="842">
        <f>(EAP!Q37/POP!Q37)*100</f>
        <v>86.404961514635033</v>
      </c>
      <c r="R38" s="143"/>
    </row>
    <row r="39" spans="1:18">
      <c r="A39" s="24" t="s">
        <v>758</v>
      </c>
      <c r="B39" s="840">
        <f>(EAP!B38/POP!B38)*100</f>
        <v>70.375075207757902</v>
      </c>
      <c r="C39" s="841">
        <f>(EAP!C38/POP!C38)*100</f>
        <v>70.367976708516096</v>
      </c>
      <c r="D39" s="841">
        <f>(EAP!D38/POP!D38)*100</f>
        <v>70.361477405641651</v>
      </c>
      <c r="E39" s="841">
        <f>(EAP!E38/POP!E38)*100</f>
        <v>70.362998100040116</v>
      </c>
      <c r="F39" s="841">
        <f>(EAP!F38/POP!F38)*100</f>
        <v>70.061688426356497</v>
      </c>
      <c r="G39" s="841">
        <f>(EAP!G38/POP!G38)*100</f>
        <v>70.038887105289263</v>
      </c>
      <c r="H39" s="841">
        <f>(EAP!H38/POP!H38)*100</f>
        <v>70.003644573152854</v>
      </c>
      <c r="I39" s="841">
        <f>(EAP!I38/POP!I38)*100</f>
        <v>69.95988917879184</v>
      </c>
      <c r="J39" s="841">
        <f>(EAP!J38/POP!J38)*100</f>
        <v>69.912012990745325</v>
      </c>
      <c r="K39" s="841">
        <f>(EAP!K38/POP!K38)*100</f>
        <v>69.864547114513215</v>
      </c>
      <c r="L39" s="841">
        <f>(EAP!L38/POP!L38)*100</f>
        <v>69.82006865902494</v>
      </c>
      <c r="M39" s="841">
        <f>(EAP!M38/POP!M38)*100</f>
        <v>69.778758083332093</v>
      </c>
      <c r="N39" s="841">
        <f>(EAP!N38/POP!N38)*100</f>
        <v>69.739551635180362</v>
      </c>
      <c r="O39" s="841">
        <f>(EAP!O38/POP!O38)*100</f>
        <v>69.702336575188369</v>
      </c>
      <c r="P39" s="841">
        <f>(EAP!P38/POP!P38)*100</f>
        <v>69.666822725189945</v>
      </c>
      <c r="Q39" s="842">
        <f>(EAP!Q38/POP!Q38)*100</f>
        <v>69.632852198897027</v>
      </c>
      <c r="R39" s="143"/>
    </row>
    <row r="40" spans="1:18">
      <c r="A40" s="24" t="s">
        <v>759</v>
      </c>
      <c r="B40" s="840">
        <f>(EAP!B39/POP!B39)*100</f>
        <v>58.471912093842818</v>
      </c>
      <c r="C40" s="841">
        <f>(EAP!C39/POP!C39)*100</f>
        <v>58.828857487440153</v>
      </c>
      <c r="D40" s="841">
        <f>(EAP!D39/POP!D39)*100</f>
        <v>59.184567190845272</v>
      </c>
      <c r="E40" s="841">
        <f>(EAP!E39/POP!E39)*100</f>
        <v>59.395828353139812</v>
      </c>
      <c r="F40" s="841">
        <f>(EAP!F39/POP!F39)*100</f>
        <v>56.732426786515035</v>
      </c>
      <c r="G40" s="841">
        <f>(EAP!G39/POP!G39)*100</f>
        <v>56.660676578535821</v>
      </c>
      <c r="H40" s="841">
        <f>(EAP!H39/POP!H39)*100</f>
        <v>56.576716356520627</v>
      </c>
      <c r="I40" s="841">
        <f>(EAP!I39/POP!I39)*100</f>
        <v>56.493838200988201</v>
      </c>
      <c r="J40" s="841">
        <f>(EAP!J39/POP!J39)*100</f>
        <v>56.429588220189764</v>
      </c>
      <c r="K40" s="841">
        <f>(EAP!K39/POP!K39)*100</f>
        <v>56.398061906456739</v>
      </c>
      <c r="L40" s="841">
        <f>(EAP!L39/POP!L39)*100</f>
        <v>56.402290130031595</v>
      </c>
      <c r="M40" s="841">
        <f>(EAP!M39/POP!M39)*100</f>
        <v>56.438769983753033</v>
      </c>
      <c r="N40" s="841">
        <f>(EAP!N39/POP!N39)*100</f>
        <v>56.497889087407806</v>
      </c>
      <c r="O40" s="841">
        <f>(EAP!O39/POP!O39)*100</f>
        <v>56.568856812999016</v>
      </c>
      <c r="P40" s="841">
        <f>(EAP!P39/POP!P39)*100</f>
        <v>56.640251883782597</v>
      </c>
      <c r="Q40" s="842">
        <f>(EAP!Q39/POP!Q39)*100</f>
        <v>56.705477556538618</v>
      </c>
      <c r="R40" s="143"/>
    </row>
    <row r="41" spans="1:18">
      <c r="A41" s="24" t="s">
        <v>772</v>
      </c>
      <c r="B41" s="843">
        <f>(EAP!B40/POP!B40)*100</f>
        <v>22.987752232593703</v>
      </c>
      <c r="C41" s="844">
        <f>(EAP!C40/POP!C40)*100</f>
        <v>23.479633516230251</v>
      </c>
      <c r="D41" s="844">
        <f>(EAP!D40/POP!D40)*100</f>
        <v>23.994409121301356</v>
      </c>
      <c r="E41" s="844">
        <f>(EAP!E40/POP!E40)*100</f>
        <v>24.320108952337968</v>
      </c>
      <c r="F41" s="844">
        <f>(EAP!F40/POP!F40)*100</f>
        <v>22.48697574522016</v>
      </c>
      <c r="G41" s="844">
        <f>(EAP!G40/POP!G40)*100</f>
        <v>22.333658983866936</v>
      </c>
      <c r="H41" s="844">
        <f>(EAP!H40/POP!H40)*100</f>
        <v>22.171159293357928</v>
      </c>
      <c r="I41" s="844">
        <f>(EAP!I40/POP!I40)*100</f>
        <v>22.005248502175405</v>
      </c>
      <c r="J41" s="844">
        <f>(EAP!J40/POP!J40)*100</f>
        <v>21.850351160852881</v>
      </c>
      <c r="K41" s="844">
        <f>(EAP!K40/POP!K40)*100</f>
        <v>21.724770649979693</v>
      </c>
      <c r="L41" s="844">
        <f>(EAP!L40/POP!L40)*100</f>
        <v>21.640232704777219</v>
      </c>
      <c r="M41" s="844">
        <f>(EAP!M40/POP!M40)*100</f>
        <v>21.599469399986106</v>
      </c>
      <c r="N41" s="844">
        <f>(EAP!N40/POP!N40)*100</f>
        <v>21.594467684156101</v>
      </c>
      <c r="O41" s="844">
        <f>(EAP!O40/POP!O40)*100</f>
        <v>21.613002906598918</v>
      </c>
      <c r="P41" s="844">
        <f>(EAP!P40/POP!P40)*100</f>
        <v>21.639392489460828</v>
      </c>
      <c r="Q41" s="845">
        <f>(EAP!Q40/POP!Q40)*100</f>
        <v>21.663323194745228</v>
      </c>
      <c r="R41" s="143"/>
    </row>
    <row r="42" spans="1:18">
      <c r="A42" s="25" t="s">
        <v>760</v>
      </c>
      <c r="B42" s="846">
        <f>(EAP!B41/SUM(POP!B30:B40)*100)</f>
        <v>72.921316053930127</v>
      </c>
      <c r="C42" s="847">
        <f>(EAP!C41/SUM(POP!C30:C40)*100)</f>
        <v>72.758837977064204</v>
      </c>
      <c r="D42" s="847">
        <f>(EAP!D41/SUM(POP!D30:D40)*100)</f>
        <v>72.638659076876337</v>
      </c>
      <c r="E42" s="847">
        <f>(EAP!E41/SUM(POP!E30:E40)*100)</f>
        <v>72.619469780940662</v>
      </c>
      <c r="F42" s="847">
        <f>(EAP!F41/SUM(POP!F30:F40)*100)</f>
        <v>72.311666666163802</v>
      </c>
      <c r="G42" s="847">
        <f>(EAP!G41/SUM(POP!G30:G40)*100)</f>
        <v>72.237023887495326</v>
      </c>
      <c r="H42" s="847">
        <f>(EAP!H41/SUM(POP!H30:H40)*100)</f>
        <v>72.157189528668169</v>
      </c>
      <c r="I42" s="847">
        <f>(EAP!I41/SUM(POP!I30:I40)*100)</f>
        <v>72.072092515174305</v>
      </c>
      <c r="J42" s="847">
        <f>(EAP!J41/SUM(POP!J30:J40)*100)</f>
        <v>71.978031644901776</v>
      </c>
      <c r="K42" s="847">
        <f>(EAP!K41/SUM(POP!K30:K40)*100)</f>
        <v>71.873346333807348</v>
      </c>
      <c r="L42" s="847">
        <f>(EAP!L41/SUM(POP!L30:L40)*100)</f>
        <v>71.755897818772922</v>
      </c>
      <c r="M42" s="847">
        <f>(EAP!M41/SUM(POP!M30:M40)*100)</f>
        <v>71.622195970353744</v>
      </c>
      <c r="N42" s="847">
        <f>(EAP!N41/SUM(POP!N30:N40)*100)</f>
        <v>71.46751827533744</v>
      </c>
      <c r="O42" s="847">
        <f>(EAP!O41/SUM(POP!O30:O40)*100)</f>
        <v>71.287866498514674</v>
      </c>
      <c r="P42" s="847">
        <f>(EAP!P41/SUM(POP!P30:P40)*100)</f>
        <v>71.079417922883252</v>
      </c>
      <c r="Q42" s="848">
        <f>(EAP!Q41/SUM(POP!Q30:Q40)*100)</f>
        <v>70.840106376335953</v>
      </c>
      <c r="R42" s="255"/>
    </row>
    <row r="43" spans="1:18" ht="9.9499999999999993" customHeight="1"/>
    <row r="44" spans="1:18" ht="17.25">
      <c r="A44" s="18" t="s">
        <v>761</v>
      </c>
    </row>
    <row r="45" spans="1:18" ht="9.9499999999999993" customHeight="1"/>
    <row r="46" spans="1:18" ht="17.25">
      <c r="A46" s="474"/>
      <c r="B46" s="1488" t="s">
        <v>730</v>
      </c>
      <c r="C46" s="1489"/>
      <c r="D46" s="1489"/>
      <c r="E46" s="1489"/>
      <c r="F46" s="1489"/>
      <c r="G46" s="1490"/>
      <c r="H46" s="1489" t="s">
        <v>734</v>
      </c>
      <c r="I46" s="1489"/>
      <c r="J46" s="1489"/>
      <c r="K46" s="1489"/>
      <c r="L46" s="1489"/>
      <c r="M46" s="1489"/>
      <c r="N46" s="1489"/>
      <c r="O46" s="1489"/>
      <c r="P46" s="1489"/>
      <c r="Q46" s="1489"/>
      <c r="R46" s="1493" t="s">
        <v>744</v>
      </c>
    </row>
    <row r="47" spans="1:18" ht="17.25" customHeight="1">
      <c r="A47" s="475" t="s">
        <v>746</v>
      </c>
      <c r="B47" s="476">
        <v>2005</v>
      </c>
      <c r="C47" s="477">
        <v>2006</v>
      </c>
      <c r="D47" s="477">
        <v>2007</v>
      </c>
      <c r="E47" s="477">
        <v>2008</v>
      </c>
      <c r="F47" s="477">
        <v>2009</v>
      </c>
      <c r="G47" s="478">
        <v>2010</v>
      </c>
      <c r="H47" s="477">
        <v>2011</v>
      </c>
      <c r="I47" s="477">
        <v>2012</v>
      </c>
      <c r="J47" s="477">
        <v>2013</v>
      </c>
      <c r="K47" s="477">
        <v>2014</v>
      </c>
      <c r="L47" s="477">
        <v>2015</v>
      </c>
      <c r="M47" s="477">
        <v>2016</v>
      </c>
      <c r="N47" s="477">
        <v>2017</v>
      </c>
      <c r="O47" s="477">
        <v>2018</v>
      </c>
      <c r="P47" s="477">
        <v>2019</v>
      </c>
      <c r="Q47" s="477">
        <v>2020</v>
      </c>
      <c r="R47" s="1494"/>
    </row>
    <row r="48" spans="1:18">
      <c r="A48" s="24" t="s">
        <v>747</v>
      </c>
      <c r="B48" s="856">
        <f>(EAP!B47/POP!B47)*100</f>
        <v>0</v>
      </c>
      <c r="C48" s="857">
        <f>(EAP!C47/POP!C47)*100</f>
        <v>0</v>
      </c>
      <c r="D48" s="857">
        <f>(EAP!D47/POP!D47)*100</f>
        <v>0</v>
      </c>
      <c r="E48" s="857">
        <f>(EAP!E47/POP!E47)*100</f>
        <v>0</v>
      </c>
      <c r="F48" s="857">
        <f>(EAP!F47/POP!F47)*100</f>
        <v>0</v>
      </c>
      <c r="G48" s="857">
        <f>(EAP!G47/POP!G47)*100</f>
        <v>0</v>
      </c>
      <c r="H48" s="857">
        <f>(EAP!H47/POP!H47)*100</f>
        <v>0</v>
      </c>
      <c r="I48" s="857">
        <f>(EAP!I47/POP!I47)*100</f>
        <v>0</v>
      </c>
      <c r="J48" s="857">
        <f>(EAP!J47/POP!J47)*100</f>
        <v>0</v>
      </c>
      <c r="K48" s="857">
        <f>(EAP!K47/POP!K47)*100</f>
        <v>0</v>
      </c>
      <c r="L48" s="857">
        <f>(EAP!L47/POP!L47)*100</f>
        <v>0</v>
      </c>
      <c r="M48" s="857">
        <f>(EAP!M47/POP!M47)*100</f>
        <v>0</v>
      </c>
      <c r="N48" s="857">
        <f>(EAP!N47/POP!N47)*100</f>
        <v>0</v>
      </c>
      <c r="O48" s="857">
        <f>(EAP!O47/POP!O47)*100</f>
        <v>0</v>
      </c>
      <c r="P48" s="857">
        <f>(EAP!P47/POP!P47)*100</f>
        <v>0</v>
      </c>
      <c r="Q48" s="858">
        <f>(EAP!Q47/POP!Q47)*100</f>
        <v>0</v>
      </c>
      <c r="R48" s="143"/>
    </row>
    <row r="49" spans="1:18">
      <c r="A49" s="24" t="s">
        <v>748</v>
      </c>
      <c r="B49" s="859">
        <f>(EAP!B48/POP!B48)*100</f>
        <v>0</v>
      </c>
      <c r="C49" s="860">
        <f>(EAP!C48/POP!C48)*100</f>
        <v>0</v>
      </c>
      <c r="D49" s="860">
        <f>(EAP!D48/POP!D48)*100</f>
        <v>0</v>
      </c>
      <c r="E49" s="860">
        <f>(EAP!E48/POP!E48)*100</f>
        <v>0</v>
      </c>
      <c r="F49" s="860">
        <f>(EAP!F48/POP!F48)*100</f>
        <v>0</v>
      </c>
      <c r="G49" s="860">
        <f>(EAP!G48/POP!G48)*100</f>
        <v>0</v>
      </c>
      <c r="H49" s="860">
        <f>(EAP!H48/POP!H48)*100</f>
        <v>0</v>
      </c>
      <c r="I49" s="860">
        <f>(EAP!I48/POP!I48)*100</f>
        <v>0</v>
      </c>
      <c r="J49" s="860">
        <f>(EAP!J48/POP!J48)*100</f>
        <v>0</v>
      </c>
      <c r="K49" s="860">
        <f>(EAP!K48/POP!K48)*100</f>
        <v>0</v>
      </c>
      <c r="L49" s="860">
        <f>(EAP!L48/POP!L48)*100</f>
        <v>0</v>
      </c>
      <c r="M49" s="860">
        <f>(EAP!M48/POP!M48)*100</f>
        <v>0</v>
      </c>
      <c r="N49" s="860">
        <f>(EAP!N48/POP!N48)*100</f>
        <v>0</v>
      </c>
      <c r="O49" s="860">
        <f>(EAP!O48/POP!O48)*100</f>
        <v>0</v>
      </c>
      <c r="P49" s="860">
        <f>(EAP!P48/POP!P48)*100</f>
        <v>0</v>
      </c>
      <c r="Q49" s="861">
        <f>(EAP!Q48/POP!Q48)*100</f>
        <v>0</v>
      </c>
      <c r="R49" s="143"/>
    </row>
    <row r="50" spans="1:18">
      <c r="A50" s="24" t="s">
        <v>749</v>
      </c>
      <c r="B50" s="859">
        <f>(EAP!B49/POP!B49)*100</f>
        <v>0</v>
      </c>
      <c r="C50" s="860">
        <f>(EAP!C49/POP!C49)*100</f>
        <v>0</v>
      </c>
      <c r="D50" s="860">
        <f>(EAP!D49/POP!D49)*100</f>
        <v>0</v>
      </c>
      <c r="E50" s="860">
        <f>(EAP!E49/POP!E49)*100</f>
        <v>0</v>
      </c>
      <c r="F50" s="860">
        <f>(EAP!F49/POP!F49)*100</f>
        <v>0</v>
      </c>
      <c r="G50" s="860">
        <f>(EAP!G49/POP!G49)*100</f>
        <v>0</v>
      </c>
      <c r="H50" s="860">
        <f>(EAP!H49/POP!H49)*100</f>
        <v>0</v>
      </c>
      <c r="I50" s="860">
        <f>(EAP!I49/POP!I49)*100</f>
        <v>0</v>
      </c>
      <c r="J50" s="860">
        <f>(EAP!J49/POP!J49)*100</f>
        <v>0</v>
      </c>
      <c r="K50" s="860">
        <f>(EAP!K49/POP!K49)*100</f>
        <v>0</v>
      </c>
      <c r="L50" s="860">
        <f>(EAP!L49/POP!L49)*100</f>
        <v>0</v>
      </c>
      <c r="M50" s="860">
        <f>(EAP!M49/POP!M49)*100</f>
        <v>0</v>
      </c>
      <c r="N50" s="860">
        <f>(EAP!N49/POP!N49)*100</f>
        <v>0</v>
      </c>
      <c r="O50" s="860">
        <f>(EAP!O49/POP!O49)*100</f>
        <v>0</v>
      </c>
      <c r="P50" s="860">
        <f>(EAP!P49/POP!P49)*100</f>
        <v>0</v>
      </c>
      <c r="Q50" s="861">
        <f>(EAP!Q49/POP!Q49)*100</f>
        <v>0</v>
      </c>
      <c r="R50" s="143"/>
    </row>
    <row r="51" spans="1:18">
      <c r="A51" s="24" t="s">
        <v>750</v>
      </c>
      <c r="B51" s="840">
        <f>(EAP!B50/POP!B50)*100</f>
        <v>48.431173709305789</v>
      </c>
      <c r="C51" s="841">
        <f>(EAP!C50/POP!C50)*100</f>
        <v>46.443886183158263</v>
      </c>
      <c r="D51" s="841">
        <f>(EAP!D50/POP!D50)*100</f>
        <v>44.415859073729756</v>
      </c>
      <c r="E51" s="841">
        <f>(EAP!E50/POP!E50)*100</f>
        <v>43.063489977266528</v>
      </c>
      <c r="F51" s="841">
        <f>(EAP!F50/POP!F50)*100</f>
        <v>43.762260858688897</v>
      </c>
      <c r="G51" s="841">
        <f>(EAP!G50/POP!G50)*100</f>
        <v>43.100865410732418</v>
      </c>
      <c r="H51" s="841">
        <f>(EAP!H50/POP!H50)*100</f>
        <v>42.5044180839893</v>
      </c>
      <c r="I51" s="841">
        <f>(EAP!I50/POP!I50)*100</f>
        <v>41.967103001074548</v>
      </c>
      <c r="J51" s="841">
        <f>(EAP!J50/POP!J50)*100</f>
        <v>41.482461927656438</v>
      </c>
      <c r="K51" s="841">
        <f>(EAP!K50/POP!K50)*100</f>
        <v>41.044777873335455</v>
      </c>
      <c r="L51" s="841">
        <f>(EAP!L50/POP!L50)*100</f>
        <v>40.649234938475345</v>
      </c>
      <c r="M51" s="841">
        <f>(EAP!M50/POP!M50)*100</f>
        <v>40.290443538843626</v>
      </c>
      <c r="N51" s="841">
        <f>(EAP!N50/POP!N50)*100</f>
        <v>39.964421592018361</v>
      </c>
      <c r="O51" s="841">
        <f>(EAP!O50/POP!O50)*100</f>
        <v>39.670401526388957</v>
      </c>
      <c r="P51" s="841">
        <f>(EAP!P50/POP!P50)*100</f>
        <v>39.408708013224064</v>
      </c>
      <c r="Q51" s="842">
        <f>(EAP!Q50/POP!Q50)*100</f>
        <v>39.178749872196811</v>
      </c>
      <c r="R51" s="143"/>
    </row>
    <row r="52" spans="1:18">
      <c r="A52" s="24" t="s">
        <v>751</v>
      </c>
      <c r="B52" s="840">
        <f>(EAP!B51/POP!B51)*100</f>
        <v>82.268480273699851</v>
      </c>
      <c r="C52" s="841">
        <f>(EAP!C51/POP!C51)*100</f>
        <v>81.830918538576228</v>
      </c>
      <c r="D52" s="841">
        <f>(EAP!D51/POP!D51)*100</f>
        <v>81.38707832702265</v>
      </c>
      <c r="E52" s="841">
        <f>(EAP!E51/POP!E51)*100</f>
        <v>81.100682630689491</v>
      </c>
      <c r="F52" s="841">
        <f>(EAP!F51/POP!F51)*100</f>
        <v>79.54537682450254</v>
      </c>
      <c r="G52" s="841">
        <f>(EAP!G51/POP!G51)*100</f>
        <v>78.908361125163708</v>
      </c>
      <c r="H52" s="841">
        <f>(EAP!H51/POP!H51)*100</f>
        <v>78.324821933430272</v>
      </c>
      <c r="I52" s="841">
        <f>(EAP!I51/POP!I51)*100</f>
        <v>77.794991374825159</v>
      </c>
      <c r="J52" s="841">
        <f>(EAP!J51/POP!J51)*100</f>
        <v>77.324295186787012</v>
      </c>
      <c r="K52" s="841">
        <f>(EAP!K51/POP!K51)*100</f>
        <v>76.920765012331231</v>
      </c>
      <c r="L52" s="841">
        <f>(EAP!L51/POP!L51)*100</f>
        <v>76.585012012358405</v>
      </c>
      <c r="M52" s="841">
        <f>(EAP!M51/POP!M51)*100</f>
        <v>76.306335051022472</v>
      </c>
      <c r="N52" s="841">
        <f>(EAP!N51/POP!N51)*100</f>
        <v>76.071882664824642</v>
      </c>
      <c r="O52" s="841">
        <f>(EAP!O51/POP!O51)*100</f>
        <v>75.878392163940063</v>
      </c>
      <c r="P52" s="841">
        <f>(EAP!P51/POP!P51)*100</f>
        <v>75.726808756892666</v>
      </c>
      <c r="Q52" s="842">
        <f>(EAP!Q51/POP!Q51)*100</f>
        <v>75.618950070919567</v>
      </c>
      <c r="R52" s="143"/>
    </row>
    <row r="53" spans="1:18">
      <c r="A53" s="24" t="s">
        <v>752</v>
      </c>
      <c r="B53" s="840">
        <f>(EAP!B52/POP!B52)*100</f>
        <v>91.978575940906154</v>
      </c>
      <c r="C53" s="841">
        <f>(EAP!C52/POP!C52)*100</f>
        <v>91.916350925890299</v>
      </c>
      <c r="D53" s="841">
        <f>(EAP!D52/POP!D52)*100</f>
        <v>91.864936969553256</v>
      </c>
      <c r="E53" s="841">
        <f>(EAP!E52/POP!E52)*100</f>
        <v>91.839609199691196</v>
      </c>
      <c r="F53" s="841">
        <f>(EAP!F52/POP!F52)*100</f>
        <v>91.600773060522556</v>
      </c>
      <c r="G53" s="841">
        <f>(EAP!G52/POP!G52)*100</f>
        <v>91.404907075416318</v>
      </c>
      <c r="H53" s="841">
        <f>(EAP!H52/POP!H52)*100</f>
        <v>91.216561731832186</v>
      </c>
      <c r="I53" s="841">
        <f>(EAP!I52/POP!I52)*100</f>
        <v>91.039287016730881</v>
      </c>
      <c r="J53" s="841">
        <f>(EAP!J52/POP!J52)*100</f>
        <v>90.878213265321278</v>
      </c>
      <c r="K53" s="841">
        <f>(EAP!K52/POP!K52)*100</f>
        <v>90.738603588753293</v>
      </c>
      <c r="L53" s="841">
        <f>(EAP!L52/POP!L52)*100</f>
        <v>90.623054886495041</v>
      </c>
      <c r="M53" s="841">
        <f>(EAP!M52/POP!M52)*100</f>
        <v>90.53195463168143</v>
      </c>
      <c r="N53" s="841">
        <f>(EAP!N52/POP!N52)*100</f>
        <v>90.46179690847265</v>
      </c>
      <c r="O53" s="841">
        <f>(EAP!O52/POP!O52)*100</f>
        <v>90.406904366027305</v>
      </c>
      <c r="P53" s="841">
        <f>(EAP!P52/POP!P52)*100</f>
        <v>90.360742266788847</v>
      </c>
      <c r="Q53" s="842">
        <f>(EAP!Q52/POP!Q52)*100</f>
        <v>90.31874238439606</v>
      </c>
      <c r="R53" s="143"/>
    </row>
    <row r="54" spans="1:18">
      <c r="A54" s="24" t="s">
        <v>753</v>
      </c>
      <c r="B54" s="840">
        <f>(EAP!B53/POP!B53)*100</f>
        <v>94.12171187329821</v>
      </c>
      <c r="C54" s="841">
        <f>(EAP!C53/POP!C53)*100</f>
        <v>94.148285964761044</v>
      </c>
      <c r="D54" s="841">
        <f>(EAP!D53/POP!D53)*100</f>
        <v>94.179058355694806</v>
      </c>
      <c r="E54" s="841">
        <f>(EAP!E53/POP!E53)*100</f>
        <v>94.205717624586484</v>
      </c>
      <c r="F54" s="841">
        <f>(EAP!F53/POP!F53)*100</f>
        <v>94.098504881700705</v>
      </c>
      <c r="G54" s="841">
        <f>(EAP!G53/POP!G53)*100</f>
        <v>94.067735895760165</v>
      </c>
      <c r="H54" s="841">
        <f>(EAP!H53/POP!H53)*100</f>
        <v>94.023308766873157</v>
      </c>
      <c r="I54" s="841">
        <f>(EAP!I53/POP!I53)*100</f>
        <v>93.968159537070107</v>
      </c>
      <c r="J54" s="841">
        <f>(EAP!J53/POP!J53)*100</f>
        <v>93.908917059715378</v>
      </c>
      <c r="K54" s="841">
        <f>(EAP!K53/POP!K53)*100</f>
        <v>93.856502290710651</v>
      </c>
      <c r="L54" s="841">
        <f>(EAP!L53/POP!L53)*100</f>
        <v>93.81995029212537</v>
      </c>
      <c r="M54" s="841">
        <f>(EAP!M53/POP!M53)*100</f>
        <v>93.800285001014899</v>
      </c>
      <c r="N54" s="841">
        <f>(EAP!N53/POP!N53)*100</f>
        <v>93.794838208492948</v>
      </c>
      <c r="O54" s="841">
        <f>(EAP!O53/POP!O53)*100</f>
        <v>93.803997242660699</v>
      </c>
      <c r="P54" s="841">
        <f>(EAP!P53/POP!P53)*100</f>
        <v>93.827554037133183</v>
      </c>
      <c r="Q54" s="842">
        <f>(EAP!Q53/POP!Q53)*100</f>
        <v>93.864207034161936</v>
      </c>
      <c r="R54" s="143"/>
    </row>
    <row r="55" spans="1:18">
      <c r="A55" s="24" t="s">
        <v>754</v>
      </c>
      <c r="B55" s="840">
        <f>(EAP!B54/POP!B54)*100</f>
        <v>94.245323863312649</v>
      </c>
      <c r="C55" s="841">
        <f>(EAP!C54/POP!C54)*100</f>
        <v>94.233395873296772</v>
      </c>
      <c r="D55" s="841">
        <f>(EAP!D54/POP!D54)*100</f>
        <v>94.221754283422314</v>
      </c>
      <c r="E55" s="841">
        <f>(EAP!E54/POP!E54)*100</f>
        <v>94.212980005237768</v>
      </c>
      <c r="F55" s="841">
        <f>(EAP!F54/POP!F54)*100</f>
        <v>94.451434255574384</v>
      </c>
      <c r="G55" s="841">
        <f>(EAP!G54/POP!G54)*100</f>
        <v>94.419597785388191</v>
      </c>
      <c r="H55" s="841">
        <f>(EAP!H54/POP!H54)*100</f>
        <v>94.389310490352713</v>
      </c>
      <c r="I55" s="841">
        <f>(EAP!I54/POP!I54)*100</f>
        <v>94.360972124278462</v>
      </c>
      <c r="J55" s="841">
        <f>(EAP!J54/POP!J54)*100</f>
        <v>94.333982276502979</v>
      </c>
      <c r="K55" s="841">
        <f>(EAP!K54/POP!K54)*100</f>
        <v>94.307556335354576</v>
      </c>
      <c r="L55" s="841">
        <f>(EAP!L54/POP!L54)*100</f>
        <v>94.281381072392762</v>
      </c>
      <c r="M55" s="841">
        <f>(EAP!M54/POP!M54)*100</f>
        <v>94.254201640981037</v>
      </c>
      <c r="N55" s="841">
        <f>(EAP!N54/POP!N54)*100</f>
        <v>94.226763762450531</v>
      </c>
      <c r="O55" s="841">
        <f>(EAP!O54/POP!O54)*100</f>
        <v>94.203355982829279</v>
      </c>
      <c r="P55" s="841">
        <f>(EAP!P54/POP!P54)*100</f>
        <v>94.189985756805612</v>
      </c>
      <c r="Q55" s="842">
        <f>(EAP!Q54/POP!Q54)*100</f>
        <v>94.190227088606036</v>
      </c>
      <c r="R55" s="143"/>
    </row>
    <row r="56" spans="1:18">
      <c r="A56" s="24" t="s">
        <v>755</v>
      </c>
      <c r="B56" s="840">
        <f>(EAP!B55/POP!B55)*100</f>
        <v>93.450791813358421</v>
      </c>
      <c r="C56" s="841">
        <f>(EAP!C55/POP!C55)*100</f>
        <v>93.470519251538306</v>
      </c>
      <c r="D56" s="841">
        <f>(EAP!D55/POP!D55)*100</f>
        <v>93.483082813019507</v>
      </c>
      <c r="E56" s="841">
        <f>(EAP!E55/POP!E55)*100</f>
        <v>93.481929971910176</v>
      </c>
      <c r="F56" s="841">
        <f>(EAP!F55/POP!F55)*100</f>
        <v>93.448536461940009</v>
      </c>
      <c r="G56" s="841">
        <f>(EAP!G55/POP!G55)*100</f>
        <v>93.442367585778086</v>
      </c>
      <c r="H56" s="841">
        <f>(EAP!H55/POP!H55)*100</f>
        <v>93.441586931850409</v>
      </c>
      <c r="I56" s="841">
        <f>(EAP!I55/POP!I55)*100</f>
        <v>93.444920407856912</v>
      </c>
      <c r="J56" s="841">
        <f>(EAP!J55/POP!J55)*100</f>
        <v>93.450324829437804</v>
      </c>
      <c r="K56" s="841">
        <f>(EAP!K55/POP!K55)*100</f>
        <v>93.454515611531932</v>
      </c>
      <c r="L56" s="841">
        <f>(EAP!L55/POP!L55)*100</f>
        <v>93.455253167807157</v>
      </c>
      <c r="M56" s="841">
        <f>(EAP!M55/POP!M55)*100</f>
        <v>93.452555801724884</v>
      </c>
      <c r="N56" s="841">
        <f>(EAP!N55/POP!N55)*100</f>
        <v>93.447774195373711</v>
      </c>
      <c r="O56" s="841">
        <f>(EAP!O55/POP!O55)*100</f>
        <v>93.441849686484119</v>
      </c>
      <c r="P56" s="841">
        <f>(EAP!P55/POP!P55)*100</f>
        <v>93.436178833485599</v>
      </c>
      <c r="Q56" s="842">
        <f>(EAP!Q55/POP!Q55)*100</f>
        <v>93.432096015972036</v>
      </c>
      <c r="R56" s="143"/>
    </row>
    <row r="57" spans="1:18">
      <c r="A57" s="24" t="s">
        <v>756</v>
      </c>
      <c r="B57" s="840">
        <f>(EAP!B56/POP!B56)*100</f>
        <v>91.208362318453098</v>
      </c>
      <c r="C57" s="841">
        <f>(EAP!C56/POP!C56)*100</f>
        <v>91.27616003067466</v>
      </c>
      <c r="D57" s="841">
        <f>(EAP!D56/POP!D56)*100</f>
        <v>91.347442210212151</v>
      </c>
      <c r="E57" s="841">
        <f>(EAP!E56/POP!E56)*100</f>
        <v>91.398055069411825</v>
      </c>
      <c r="F57" s="841">
        <f>(EAP!F56/POP!F56)*100</f>
        <v>91.687882282020922</v>
      </c>
      <c r="G57" s="841">
        <f>(EAP!G56/POP!G56)*100</f>
        <v>91.746649727637248</v>
      </c>
      <c r="H57" s="841">
        <f>(EAP!H56/POP!H56)*100</f>
        <v>91.790944085342275</v>
      </c>
      <c r="I57" s="841">
        <f>(EAP!I56/POP!I56)*100</f>
        <v>91.823627644062029</v>
      </c>
      <c r="J57" s="841">
        <f>(EAP!J56/POP!J56)*100</f>
        <v>91.849029540279332</v>
      </c>
      <c r="K57" s="841">
        <f>(EAP!K56/POP!K56)*100</f>
        <v>91.872927172679653</v>
      </c>
      <c r="L57" s="841">
        <f>(EAP!L56/POP!L56)*100</f>
        <v>91.8993185824515</v>
      </c>
      <c r="M57" s="841">
        <f>(EAP!M56/POP!M56)*100</f>
        <v>91.929492102573064</v>
      </c>
      <c r="N57" s="841">
        <f>(EAP!N56/POP!N56)*100</f>
        <v>91.962114221706642</v>
      </c>
      <c r="O57" s="841">
        <f>(EAP!O56/POP!O56)*100</f>
        <v>91.995249668995939</v>
      </c>
      <c r="P57" s="841">
        <f>(EAP!P56/POP!P56)*100</f>
        <v>92.025953785861049</v>
      </c>
      <c r="Q57" s="842">
        <f>(EAP!Q56/POP!Q56)*100</f>
        <v>92.05218838084707</v>
      </c>
      <c r="R57" s="143"/>
    </row>
    <row r="58" spans="1:18">
      <c r="A58" s="24" t="s">
        <v>757</v>
      </c>
      <c r="B58" s="840">
        <f>(EAP!B57/POP!B57)*100</f>
        <v>85.627401061905843</v>
      </c>
      <c r="C58" s="841">
        <f>(EAP!C57/POP!C57)*100</f>
        <v>85.644587240799169</v>
      </c>
      <c r="D58" s="841">
        <f>(EAP!D57/POP!D57)*100</f>
        <v>85.651343750216313</v>
      </c>
      <c r="E58" s="841">
        <f>(EAP!E57/POP!E57)*100</f>
        <v>85.650557208090333</v>
      </c>
      <c r="F58" s="841">
        <f>(EAP!F57/POP!F57)*100</f>
        <v>86.171912475706463</v>
      </c>
      <c r="G58" s="841">
        <f>(EAP!G57/POP!G57)*100</f>
        <v>86.331561528229088</v>
      </c>
      <c r="H58" s="841">
        <f>(EAP!H57/POP!H57)*100</f>
        <v>86.497812298740683</v>
      </c>
      <c r="I58" s="841">
        <f>(EAP!I57/POP!I57)*100</f>
        <v>86.666458025953972</v>
      </c>
      <c r="J58" s="841">
        <f>(EAP!J57/POP!J57)*100</f>
        <v>86.83274079504028</v>
      </c>
      <c r="K58" s="841">
        <f>(EAP!K57/POP!K57)*100</f>
        <v>86.992343841022262</v>
      </c>
      <c r="L58" s="841">
        <f>(EAP!L57/POP!L57)*100</f>
        <v>87.143732868068668</v>
      </c>
      <c r="M58" s="841">
        <f>(EAP!M57/POP!M57)*100</f>
        <v>87.287541212046477</v>
      </c>
      <c r="N58" s="841">
        <f>(EAP!N57/POP!N57)*100</f>
        <v>87.426083118261957</v>
      </c>
      <c r="O58" s="841">
        <f>(EAP!O57/POP!O57)*100</f>
        <v>87.562174169389777</v>
      </c>
      <c r="P58" s="841">
        <f>(EAP!P57/POP!P57)*100</f>
        <v>87.698665795603645</v>
      </c>
      <c r="Q58" s="842">
        <f>(EAP!Q57/POP!Q57)*100</f>
        <v>87.836955877081863</v>
      </c>
      <c r="R58" s="143"/>
    </row>
    <row r="59" spans="1:18">
      <c r="A59" s="24" t="s">
        <v>758</v>
      </c>
      <c r="B59" s="840">
        <f>(EAP!B58/POP!B58)*100</f>
        <v>76.2458876613304</v>
      </c>
      <c r="C59" s="841">
        <f>(EAP!C58/POP!C58)*100</f>
        <v>76.218159925056668</v>
      </c>
      <c r="D59" s="841">
        <f>(EAP!D58/POP!D58)*100</f>
        <v>76.183743538049228</v>
      </c>
      <c r="E59" s="841">
        <f>(EAP!E58/POP!E58)*100</f>
        <v>76.171932760777551</v>
      </c>
      <c r="F59" s="841">
        <f>(EAP!F58/POP!F58)*100</f>
        <v>76.11470333408208</v>
      </c>
      <c r="G59" s="841">
        <f>(EAP!G58/POP!G58)*100</f>
        <v>76.101502053006371</v>
      </c>
      <c r="H59" s="841">
        <f>(EAP!H58/POP!H58)*100</f>
        <v>76.070013185080924</v>
      </c>
      <c r="I59" s="841">
        <f>(EAP!I58/POP!I58)*100</f>
        <v>76.025845413157967</v>
      </c>
      <c r="J59" s="841">
        <f>(EAP!J58/POP!J58)*100</f>
        <v>75.980693141341035</v>
      </c>
      <c r="K59" s="841">
        <f>(EAP!K58/POP!K58)*100</f>
        <v>75.94690627458867</v>
      </c>
      <c r="L59" s="841">
        <f>(EAP!L58/POP!L58)*100</f>
        <v>75.930041529240228</v>
      </c>
      <c r="M59" s="841">
        <f>(EAP!M58/POP!M58)*100</f>
        <v>75.931373606771587</v>
      </c>
      <c r="N59" s="841">
        <f>(EAP!N58/POP!N58)*100</f>
        <v>75.944040072334303</v>
      </c>
      <c r="O59" s="841">
        <f>(EAP!O58/POP!O58)*100</f>
        <v>75.956420847271801</v>
      </c>
      <c r="P59" s="841">
        <f>(EAP!P58/POP!P58)*100</f>
        <v>75.955116077710557</v>
      </c>
      <c r="Q59" s="842">
        <f>(EAP!Q58/POP!Q58)*100</f>
        <v>75.932862318967565</v>
      </c>
      <c r="R59" s="143"/>
    </row>
    <row r="60" spans="1:18">
      <c r="A60" s="24" t="s">
        <v>759</v>
      </c>
      <c r="B60" s="840">
        <f>(EAP!B59/POP!B59)*100</f>
        <v>61.991723773067633</v>
      </c>
      <c r="C60" s="841">
        <f>(EAP!C59/POP!C59)*100</f>
        <v>62.212364511344497</v>
      </c>
      <c r="D60" s="841">
        <f>(EAP!D59/POP!D59)*100</f>
        <v>62.443057162269852</v>
      </c>
      <c r="E60" s="841">
        <f>(EAP!E59/POP!E59)*100</f>
        <v>62.598006393032826</v>
      </c>
      <c r="F60" s="841">
        <f>(EAP!F59/POP!F59)*100</f>
        <v>60.464649381234459</v>
      </c>
      <c r="G60" s="841">
        <f>(EAP!G59/POP!G59)*100</f>
        <v>60.437918082264893</v>
      </c>
      <c r="H60" s="841">
        <f>(EAP!H59/POP!H59)*100</f>
        <v>60.392617588663754</v>
      </c>
      <c r="I60" s="841">
        <f>(EAP!I59/POP!I59)*100</f>
        <v>60.339504700596336</v>
      </c>
      <c r="J60" s="841">
        <f>(EAP!J59/POP!J59)*100</f>
        <v>60.292197028746841</v>
      </c>
      <c r="K60" s="841">
        <f>(EAP!K59/POP!K59)*100</f>
        <v>60.263017857908295</v>
      </c>
      <c r="L60" s="841">
        <f>(EAP!L59/POP!L59)*100</f>
        <v>60.256130869367432</v>
      </c>
      <c r="M60" s="841">
        <f>(EAP!M59/POP!M59)*100</f>
        <v>60.268467264466921</v>
      </c>
      <c r="N60" s="841">
        <f>(EAP!N59/POP!N59)*100</f>
        <v>60.293991617025789</v>
      </c>
      <c r="O60" s="841">
        <f>(EAP!O59/POP!O59)*100</f>
        <v>60.328774225163272</v>
      </c>
      <c r="P60" s="841">
        <f>(EAP!P59/POP!P59)*100</f>
        <v>60.368401230057003</v>
      </c>
      <c r="Q60" s="842">
        <f>(EAP!Q59/POP!Q59)*100</f>
        <v>60.409546162573911</v>
      </c>
      <c r="R60" s="143"/>
    </row>
    <row r="61" spans="1:18">
      <c r="A61" s="24" t="s">
        <v>772</v>
      </c>
      <c r="B61" s="840">
        <f>(EAP!B60/POP!B60)*100</f>
        <v>29.207232043026739</v>
      </c>
      <c r="C61" s="841">
        <f>(EAP!C60/POP!C60)*100</f>
        <v>29.419964568110078</v>
      </c>
      <c r="D61" s="841">
        <f>(EAP!D60/POP!D60)*100</f>
        <v>29.638866049369696</v>
      </c>
      <c r="E61" s="841">
        <f>(EAP!E60/POP!E60)*100</f>
        <v>29.757229977097971</v>
      </c>
      <c r="F61" s="841">
        <f>(EAP!F60/POP!F60)*100</f>
        <v>27.143462828133131</v>
      </c>
      <c r="G61" s="841">
        <f>(EAP!G60/POP!G60)*100</f>
        <v>26.597894533118744</v>
      </c>
      <c r="H61" s="841">
        <f>(EAP!H60/POP!H60)*100</f>
        <v>26.087550345682072</v>
      </c>
      <c r="I61" s="841">
        <f>(EAP!I60/POP!I60)*100</f>
        <v>25.605521050485958</v>
      </c>
      <c r="J61" s="841">
        <f>(EAP!J60/POP!J60)*100</f>
        <v>25.164884625221756</v>
      </c>
      <c r="K61" s="841">
        <f>(EAP!K60/POP!K60)*100</f>
        <v>24.781413769463999</v>
      </c>
      <c r="L61" s="841">
        <f>(EAP!L60/POP!L60)*100</f>
        <v>24.463948276951889</v>
      </c>
      <c r="M61" s="841">
        <f>(EAP!M60/POP!M60)*100</f>
        <v>24.21266328371922</v>
      </c>
      <c r="N61" s="841">
        <f>(EAP!N60/POP!N60)*100</f>
        <v>24.018188327164481</v>
      </c>
      <c r="O61" s="841">
        <f>(EAP!O60/POP!O60)*100</f>
        <v>23.867435728778126</v>
      </c>
      <c r="P61" s="841">
        <f>(EAP!P60/POP!P60)*100</f>
        <v>23.744778515415369</v>
      </c>
      <c r="Q61" s="842">
        <f>(EAP!Q60/POP!Q60)*100</f>
        <v>23.639964924234601</v>
      </c>
      <c r="R61" s="143"/>
    </row>
    <row r="62" spans="1:18">
      <c r="A62" s="25" t="s">
        <v>760</v>
      </c>
      <c r="B62" s="846">
        <f>(EAP!B61/SUM(POP!B50:B60)*100)</f>
        <v>77.240274905480732</v>
      </c>
      <c r="C62" s="847">
        <f>(EAP!C61/SUM(POP!C50:C60)*100)</f>
        <v>77.025555182906658</v>
      </c>
      <c r="D62" s="847">
        <f>(EAP!D61/SUM(POP!D50:D60)*100)</f>
        <v>76.836178331581223</v>
      </c>
      <c r="E62" s="847">
        <f>(EAP!E61/SUM(POP!E50:E60)*100)</f>
        <v>76.765140565008721</v>
      </c>
      <c r="F62" s="847">
        <f>(EAP!F61/SUM(POP!F50:F60)*100)</f>
        <v>76.530754453467082</v>
      </c>
      <c r="G62" s="847">
        <f>(EAP!G61/SUM(POP!G50:G60)*100)</f>
        <v>76.437981063726028</v>
      </c>
      <c r="H62" s="847">
        <f>(EAP!H61/SUM(POP!H50:H60)*100)</f>
        <v>76.363699376641762</v>
      </c>
      <c r="I62" s="847">
        <f>(EAP!I61/SUM(POP!I50:I60)*100)</f>
        <v>76.300581140706797</v>
      </c>
      <c r="J62" s="847">
        <f>(EAP!J61/SUM(POP!J50:J60)*100)</f>
        <v>76.237544276061371</v>
      </c>
      <c r="K62" s="847">
        <f>(EAP!K61/SUM(POP!K50:K60)*100)</f>
        <v>76.162876687223658</v>
      </c>
      <c r="L62" s="847">
        <f>(EAP!L61/SUM(POP!L50:L60)*100)</f>
        <v>76.06769261503932</v>
      </c>
      <c r="M62" s="847">
        <f>(EAP!M61/SUM(POP!M50:M60)*100)</f>
        <v>75.947353043914177</v>
      </c>
      <c r="N62" s="847">
        <f>(EAP!N61/SUM(POP!N50:N60)*100)</f>
        <v>75.799919596893105</v>
      </c>
      <c r="O62" s="847">
        <f>(EAP!O61/SUM(POP!O50:O60)*100)</f>
        <v>75.623323158317973</v>
      </c>
      <c r="P62" s="847">
        <f>(EAP!P61/SUM(POP!P50:P60)*100)</f>
        <v>75.416771937642451</v>
      </c>
      <c r="Q62" s="848">
        <f>(EAP!Q61/SUM(POP!Q50:Q60)*100)</f>
        <v>75.180283632152921</v>
      </c>
      <c r="R62" s="255"/>
    </row>
    <row r="65" spans="1:17">
      <c r="G65" s="337"/>
      <c r="H65" s="337"/>
      <c r="I65" s="337"/>
      <c r="J65" s="337"/>
      <c r="K65" s="337"/>
      <c r="L65" s="337"/>
      <c r="M65" s="337"/>
      <c r="N65" s="337"/>
      <c r="O65" s="337"/>
      <c r="P65" s="337"/>
      <c r="Q65" s="337"/>
    </row>
    <row r="66" spans="1:17">
      <c r="G66" s="337"/>
      <c r="H66" s="337"/>
      <c r="I66" s="337"/>
      <c r="J66" s="337"/>
      <c r="K66" s="337"/>
      <c r="L66" s="337"/>
      <c r="M66" s="337"/>
      <c r="N66" s="337"/>
      <c r="O66" s="337"/>
      <c r="P66" s="337"/>
      <c r="Q66" s="337"/>
    </row>
    <row r="67" spans="1:17">
      <c r="G67" s="337"/>
      <c r="H67" s="337"/>
      <c r="I67" s="337"/>
      <c r="J67" s="337"/>
      <c r="K67" s="337"/>
      <c r="L67" s="337"/>
      <c r="M67" s="337"/>
      <c r="N67" s="337"/>
      <c r="O67" s="337"/>
      <c r="P67" s="337"/>
      <c r="Q67" s="337"/>
    </row>
    <row r="68" spans="1:17">
      <c r="G68" s="337"/>
      <c r="H68" s="337"/>
      <c r="I68" s="337"/>
      <c r="J68" s="337"/>
      <c r="K68" s="337"/>
      <c r="L68" s="337"/>
      <c r="M68" s="337"/>
      <c r="N68" s="337"/>
      <c r="O68" s="337"/>
      <c r="P68" s="337"/>
      <c r="Q68" s="337"/>
    </row>
    <row r="69" spans="1:17">
      <c r="G69" s="337"/>
      <c r="H69" s="337"/>
      <c r="I69" s="337"/>
      <c r="J69" s="337"/>
      <c r="K69" s="337"/>
      <c r="L69" s="337"/>
      <c r="M69" s="337"/>
      <c r="N69" s="337"/>
      <c r="O69" s="337"/>
      <c r="P69" s="337"/>
      <c r="Q69" s="337"/>
    </row>
    <row r="70" spans="1:17">
      <c r="G70" s="337"/>
      <c r="H70" s="337"/>
      <c r="I70" s="337"/>
      <c r="J70" s="337"/>
      <c r="K70" s="337"/>
      <c r="L70" s="337"/>
      <c r="M70" s="337"/>
      <c r="N70" s="337"/>
      <c r="O70" s="337"/>
      <c r="P70" s="337"/>
      <c r="Q70" s="337"/>
    </row>
    <row r="71" spans="1:17">
      <c r="G71" s="337"/>
      <c r="H71" s="337"/>
      <c r="I71" s="337"/>
      <c r="J71" s="337"/>
      <c r="K71" s="337"/>
      <c r="L71" s="337"/>
      <c r="M71" s="337"/>
      <c r="N71" s="337"/>
      <c r="O71" s="337"/>
      <c r="P71" s="337"/>
      <c r="Q71" s="337"/>
    </row>
    <row r="72" spans="1:17">
      <c r="G72" s="337"/>
      <c r="H72" s="337"/>
      <c r="I72" s="337"/>
      <c r="J72" s="337"/>
      <c r="K72" s="337"/>
      <c r="L72" s="337"/>
      <c r="M72" s="337"/>
      <c r="N72" s="337"/>
      <c r="O72" s="337"/>
      <c r="P72" s="337"/>
      <c r="Q72" s="337"/>
    </row>
    <row r="73" spans="1:17">
      <c r="G73" s="337"/>
      <c r="H73" s="337"/>
      <c r="I73" s="337"/>
      <c r="J73" s="337"/>
      <c r="K73" s="337"/>
      <c r="L73" s="337"/>
      <c r="M73" s="337"/>
      <c r="N73" s="337"/>
      <c r="O73" s="337"/>
      <c r="P73" s="337"/>
      <c r="Q73" s="337"/>
    </row>
    <row r="74" spans="1:17">
      <c r="G74" s="337"/>
      <c r="H74" s="337"/>
      <c r="I74" s="337"/>
      <c r="J74" s="337"/>
      <c r="K74" s="337"/>
      <c r="L74" s="337"/>
      <c r="M74" s="337"/>
      <c r="N74" s="337"/>
      <c r="O74" s="337"/>
      <c r="P74" s="337"/>
      <c r="Q74" s="337"/>
    </row>
    <row r="75" spans="1:17">
      <c r="G75" s="337"/>
      <c r="H75" s="337"/>
      <c r="I75" s="337"/>
      <c r="J75" s="337"/>
      <c r="K75" s="337"/>
      <c r="L75" s="337"/>
      <c r="M75" s="337"/>
      <c r="N75" s="337"/>
      <c r="O75" s="337"/>
      <c r="P75" s="337"/>
      <c r="Q75" s="337"/>
    </row>
    <row r="76" spans="1:17">
      <c r="A76" s="382"/>
      <c r="B76" s="383"/>
      <c r="C76" s="383"/>
      <c r="D76" s="337"/>
      <c r="E76" s="337"/>
      <c r="F76" s="337"/>
      <c r="G76" s="337"/>
      <c r="H76" s="337"/>
      <c r="I76" s="337"/>
      <c r="J76" s="337"/>
      <c r="K76" s="337"/>
      <c r="L76" s="337"/>
      <c r="M76" s="337"/>
      <c r="N76" s="337"/>
      <c r="O76" s="337"/>
      <c r="P76" s="337"/>
      <c r="Q76" s="337"/>
    </row>
    <row r="77" spans="1:17">
      <c r="A77" s="384"/>
      <c r="B77" s="383"/>
      <c r="C77" s="383"/>
      <c r="D77" s="337"/>
      <c r="E77" s="337"/>
      <c r="F77" s="337"/>
      <c r="G77" s="337"/>
      <c r="H77" s="337"/>
      <c r="I77" s="337"/>
      <c r="J77" s="337"/>
      <c r="K77" s="337"/>
      <c r="L77" s="337"/>
      <c r="M77" s="337"/>
      <c r="N77" s="337"/>
      <c r="O77" s="337"/>
      <c r="P77" s="337"/>
      <c r="Q77" s="337"/>
    </row>
    <row r="78" spans="1:17">
      <c r="A78" s="384"/>
      <c r="B78" s="383"/>
      <c r="C78" s="383"/>
      <c r="D78" s="337"/>
      <c r="E78" s="337"/>
      <c r="F78" s="337"/>
      <c r="G78" s="337"/>
      <c r="H78" s="337"/>
      <c r="I78" s="337"/>
      <c r="J78" s="337"/>
      <c r="K78" s="337"/>
      <c r="L78" s="337"/>
      <c r="M78" s="337"/>
      <c r="N78" s="337"/>
      <c r="O78" s="337"/>
      <c r="P78" s="337"/>
      <c r="Q78" s="337"/>
    </row>
  </sheetData>
  <mergeCells count="9">
    <mergeCell ref="B46:G46"/>
    <mergeCell ref="H46:Q46"/>
    <mergeCell ref="R46:R47"/>
    <mergeCell ref="B6:G6"/>
    <mergeCell ref="H6:Q6"/>
    <mergeCell ref="R6:R7"/>
    <mergeCell ref="B26:G26"/>
    <mergeCell ref="H26:Q26"/>
    <mergeCell ref="R26:R27"/>
  </mergeCells>
  <phoneticPr fontId="24" type="noConversion"/>
  <pageMargins left="0.7" right="0.7" top="0.75" bottom="0.75" header="0.3" footer="0.3"/>
  <pageSetup paperSize="9" orientation="portrait" horizontalDpi="1200" verticalDpi="1200" r:id="rId1"/>
  <ignoredErrors>
    <ignoredError sqref="A10 A30 A50" twoDigitTextYear="1"/>
  </ignoredErrors>
</worksheet>
</file>

<file path=xl/worksheets/sheet4.xml><?xml version="1.0" encoding="utf-8"?>
<worksheet xmlns="http://schemas.openxmlformats.org/spreadsheetml/2006/main" xmlns:r="http://schemas.openxmlformats.org/officeDocument/2006/relationships">
  <sheetPr codeName="Sheet3">
    <tabColor theme="3" tint="-0.249977111117893"/>
  </sheetPr>
  <dimension ref="A1:R190"/>
  <sheetViews>
    <sheetView topLeftCell="A34" zoomScaleNormal="75" workbookViewId="0">
      <selection activeCell="G61" sqref="G61"/>
    </sheetView>
  </sheetViews>
  <sheetFormatPr defaultColWidth="8.85546875" defaultRowHeight="15"/>
  <cols>
    <col min="1" max="17" width="8.85546875" style="17"/>
    <col min="18" max="18" width="49.85546875" style="17" customWidth="1"/>
    <col min="19" max="16384" width="8.85546875" style="17"/>
  </cols>
  <sheetData>
    <row r="1" spans="1:17" ht="21">
      <c r="A1" s="495" t="s">
        <v>24</v>
      </c>
    </row>
    <row r="2" spans="1:17" ht="20.25" customHeight="1">
      <c r="O2" s="146"/>
      <c r="P2" s="147"/>
      <c r="Q2" s="148"/>
    </row>
    <row r="3" spans="1:17" ht="17.25">
      <c r="A3" s="18" t="s">
        <v>25</v>
      </c>
    </row>
    <row r="4" spans="1:17" ht="9.9499999999999993" customHeight="1">
      <c r="A4" s="18"/>
    </row>
    <row r="5" spans="1:17" ht="17.25">
      <c r="A5" s="9"/>
      <c r="B5" s="1495" t="s">
        <v>730</v>
      </c>
      <c r="C5" s="1496"/>
      <c r="D5" s="1496"/>
      <c r="E5" s="1496"/>
      <c r="F5" s="1496"/>
      <c r="G5" s="1497"/>
      <c r="H5" s="1496" t="s">
        <v>734</v>
      </c>
      <c r="I5" s="1496"/>
      <c r="J5" s="1496"/>
      <c r="K5" s="1496"/>
      <c r="L5" s="1496"/>
      <c r="M5" s="1496"/>
      <c r="N5" s="1496"/>
      <c r="O5" s="1496"/>
      <c r="P5" s="1496"/>
      <c r="Q5" s="1496"/>
    </row>
    <row r="6" spans="1:17" ht="17.25" customHeight="1">
      <c r="A6" s="10" t="s">
        <v>746</v>
      </c>
      <c r="B6" s="6">
        <v>2005</v>
      </c>
      <c r="C6" s="7">
        <v>2006</v>
      </c>
      <c r="D6" s="7">
        <v>2007</v>
      </c>
      <c r="E6" s="7">
        <v>2008</v>
      </c>
      <c r="F6" s="7">
        <v>2009</v>
      </c>
      <c r="G6" s="8">
        <v>2010</v>
      </c>
      <c r="H6" s="7">
        <v>2011</v>
      </c>
      <c r="I6" s="7">
        <v>2012</v>
      </c>
      <c r="J6" s="7">
        <v>2013</v>
      </c>
      <c r="K6" s="7">
        <v>2014</v>
      </c>
      <c r="L6" s="7">
        <v>2015</v>
      </c>
      <c r="M6" s="7">
        <v>2016</v>
      </c>
      <c r="N6" s="7">
        <v>2017</v>
      </c>
      <c r="O6" s="7">
        <v>2018</v>
      </c>
      <c r="P6" s="7">
        <v>2019</v>
      </c>
      <c r="Q6" s="7">
        <v>2020</v>
      </c>
    </row>
    <row r="7" spans="1:17">
      <c r="A7" s="24" t="s">
        <v>747</v>
      </c>
      <c r="B7" s="837">
        <v>0</v>
      </c>
      <c r="C7" s="838">
        <f>B7</f>
        <v>0</v>
      </c>
      <c r="D7" s="838">
        <f t="shared" ref="D7:Q7" si="0">C7</f>
        <v>0</v>
      </c>
      <c r="E7" s="838">
        <f t="shared" si="0"/>
        <v>0</v>
      </c>
      <c r="F7" s="838">
        <f t="shared" si="0"/>
        <v>0</v>
      </c>
      <c r="G7" s="839">
        <f t="shared" si="0"/>
        <v>0</v>
      </c>
      <c r="H7" s="838">
        <f t="shared" si="0"/>
        <v>0</v>
      </c>
      <c r="I7" s="838">
        <f t="shared" si="0"/>
        <v>0</v>
      </c>
      <c r="J7" s="838">
        <f t="shared" si="0"/>
        <v>0</v>
      </c>
      <c r="K7" s="838">
        <f t="shared" si="0"/>
        <v>0</v>
      </c>
      <c r="L7" s="838">
        <f t="shared" si="0"/>
        <v>0</v>
      </c>
      <c r="M7" s="838">
        <f t="shared" si="0"/>
        <v>0</v>
      </c>
      <c r="N7" s="838">
        <f t="shared" si="0"/>
        <v>0</v>
      </c>
      <c r="O7" s="838">
        <f t="shared" si="0"/>
        <v>0</v>
      </c>
      <c r="P7" s="838">
        <f t="shared" si="0"/>
        <v>0</v>
      </c>
      <c r="Q7" s="839">
        <f t="shared" si="0"/>
        <v>0</v>
      </c>
    </row>
    <row r="8" spans="1:17">
      <c r="A8" s="24" t="s">
        <v>748</v>
      </c>
      <c r="B8" s="840">
        <v>0</v>
      </c>
      <c r="C8" s="841">
        <f>B8</f>
        <v>0</v>
      </c>
      <c r="D8" s="841">
        <f t="shared" ref="D8:Q8" si="1">C8</f>
        <v>0</v>
      </c>
      <c r="E8" s="841">
        <f t="shared" si="1"/>
        <v>0</v>
      </c>
      <c r="F8" s="841">
        <f t="shared" si="1"/>
        <v>0</v>
      </c>
      <c r="G8" s="842">
        <f t="shared" si="1"/>
        <v>0</v>
      </c>
      <c r="H8" s="841">
        <f t="shared" si="1"/>
        <v>0</v>
      </c>
      <c r="I8" s="841">
        <f t="shared" si="1"/>
        <v>0</v>
      </c>
      <c r="J8" s="841">
        <f t="shared" si="1"/>
        <v>0</v>
      </c>
      <c r="K8" s="841">
        <f t="shared" si="1"/>
        <v>0</v>
      </c>
      <c r="L8" s="841">
        <f t="shared" si="1"/>
        <v>0</v>
      </c>
      <c r="M8" s="841">
        <f t="shared" si="1"/>
        <v>0</v>
      </c>
      <c r="N8" s="841">
        <f t="shared" si="1"/>
        <v>0</v>
      </c>
      <c r="O8" s="841">
        <f t="shared" si="1"/>
        <v>0</v>
      </c>
      <c r="P8" s="841">
        <f t="shared" si="1"/>
        <v>0</v>
      </c>
      <c r="Q8" s="842">
        <f t="shared" si="1"/>
        <v>0</v>
      </c>
    </row>
    <row r="9" spans="1:17">
      <c r="A9" s="24" t="s">
        <v>749</v>
      </c>
      <c r="B9" s="840">
        <v>0</v>
      </c>
      <c r="C9" s="841">
        <f>B9</f>
        <v>0</v>
      </c>
      <c r="D9" s="841">
        <f t="shared" ref="D9:Q9" si="2">C9</f>
        <v>0</v>
      </c>
      <c r="E9" s="841">
        <f t="shared" si="2"/>
        <v>0</v>
      </c>
      <c r="F9" s="841">
        <f t="shared" si="2"/>
        <v>0</v>
      </c>
      <c r="G9" s="842">
        <f t="shared" si="2"/>
        <v>0</v>
      </c>
      <c r="H9" s="841">
        <f t="shared" si="2"/>
        <v>0</v>
      </c>
      <c r="I9" s="841">
        <f t="shared" si="2"/>
        <v>0</v>
      </c>
      <c r="J9" s="841">
        <f t="shared" si="2"/>
        <v>0</v>
      </c>
      <c r="K9" s="841">
        <f t="shared" si="2"/>
        <v>0</v>
      </c>
      <c r="L9" s="841">
        <f t="shared" si="2"/>
        <v>0</v>
      </c>
      <c r="M9" s="841">
        <f t="shared" si="2"/>
        <v>0</v>
      </c>
      <c r="N9" s="841">
        <f t="shared" si="2"/>
        <v>0</v>
      </c>
      <c r="O9" s="841">
        <f t="shared" si="2"/>
        <v>0</v>
      </c>
      <c r="P9" s="841">
        <f t="shared" si="2"/>
        <v>0</v>
      </c>
      <c r="Q9" s="842">
        <f t="shared" si="2"/>
        <v>0</v>
      </c>
    </row>
    <row r="10" spans="1:17">
      <c r="A10" s="24" t="s">
        <v>750</v>
      </c>
      <c r="B10" s="840">
        <f t="shared" ref="B10:E20" si="3">C10/C139</f>
        <v>1877.5656058243146</v>
      </c>
      <c r="C10" s="841">
        <f t="shared" si="3"/>
        <v>1836.644882563141</v>
      </c>
      <c r="D10" s="841">
        <f t="shared" si="3"/>
        <v>1789.1016579767138</v>
      </c>
      <c r="E10" s="841">
        <f t="shared" si="3"/>
        <v>1756.6299377436212</v>
      </c>
      <c r="F10" s="497">
        <v>1807.4989999999998</v>
      </c>
      <c r="G10" s="842">
        <f t="shared" ref="G10:Q10" si="4">F10*G139</f>
        <v>1773.3987445920536</v>
      </c>
      <c r="H10" s="841">
        <f t="shared" si="4"/>
        <v>1719.7560670858595</v>
      </c>
      <c r="I10" s="841">
        <f t="shared" si="4"/>
        <v>1650.0041238481128</v>
      </c>
      <c r="J10" s="841">
        <f t="shared" si="4"/>
        <v>1572.9190836425978</v>
      </c>
      <c r="K10" s="841">
        <f t="shared" si="4"/>
        <v>1500.3518479912518</v>
      </c>
      <c r="L10" s="841">
        <f t="shared" si="4"/>
        <v>1440.6159691398591</v>
      </c>
      <c r="M10" s="841">
        <f t="shared" si="4"/>
        <v>1396.3110601794369</v>
      </c>
      <c r="N10" s="841">
        <f t="shared" si="4"/>
        <v>1364.9489944320892</v>
      </c>
      <c r="O10" s="841">
        <f t="shared" si="4"/>
        <v>1343.4362844159602</v>
      </c>
      <c r="P10" s="841">
        <f t="shared" si="4"/>
        <v>1326.7185320931633</v>
      </c>
      <c r="Q10" s="841">
        <f t="shared" si="4"/>
        <v>1311.1031407524492</v>
      </c>
    </row>
    <row r="11" spans="1:17">
      <c r="A11" s="24" t="s">
        <v>751</v>
      </c>
      <c r="B11" s="840">
        <f t="shared" si="3"/>
        <v>2882.4177215652544</v>
      </c>
      <c r="C11" s="841">
        <f t="shared" si="3"/>
        <v>2903.0240010848106</v>
      </c>
      <c r="D11" s="841">
        <f t="shared" si="3"/>
        <v>2931.8125726139051</v>
      </c>
      <c r="E11" s="841">
        <f t="shared" si="3"/>
        <v>2976.6256519549397</v>
      </c>
      <c r="F11" s="497">
        <v>2991.17</v>
      </c>
      <c r="G11" s="842">
        <f t="shared" ref="G11:Q11" si="5">F11*G140</f>
        <v>3043.0896001967644</v>
      </c>
      <c r="H11" s="841">
        <f t="shared" si="5"/>
        <v>3108.4300301955263</v>
      </c>
      <c r="I11" s="841">
        <f t="shared" si="5"/>
        <v>3183.4962499462481</v>
      </c>
      <c r="J11" s="841">
        <f t="shared" si="5"/>
        <v>3250.8586230103656</v>
      </c>
      <c r="K11" s="841">
        <f t="shared" si="5"/>
        <v>3287.7758928773865</v>
      </c>
      <c r="L11" s="841">
        <f t="shared" si="5"/>
        <v>3279.4191778275112</v>
      </c>
      <c r="M11" s="841">
        <f t="shared" si="5"/>
        <v>3218.1664833271429</v>
      </c>
      <c r="N11" s="841">
        <f t="shared" si="5"/>
        <v>3111.9681869523006</v>
      </c>
      <c r="O11" s="841">
        <f t="shared" si="5"/>
        <v>2980.8186259357708</v>
      </c>
      <c r="P11" s="841">
        <f t="shared" si="5"/>
        <v>2853.2744573731288</v>
      </c>
      <c r="Q11" s="841">
        <f t="shared" si="5"/>
        <v>2750.0345316712596</v>
      </c>
    </row>
    <row r="12" spans="1:17">
      <c r="A12" s="24" t="s">
        <v>752</v>
      </c>
      <c r="B12" s="840">
        <f t="shared" si="3"/>
        <v>3590.6515726871862</v>
      </c>
      <c r="C12" s="841">
        <f t="shared" si="3"/>
        <v>3570.4791841634651</v>
      </c>
      <c r="D12" s="841">
        <f t="shared" si="3"/>
        <v>3531.212362356684</v>
      </c>
      <c r="E12" s="841">
        <f t="shared" si="3"/>
        <v>3495.0634854570603</v>
      </c>
      <c r="F12" s="497">
        <v>3465.1959999999999</v>
      </c>
      <c r="G12" s="842">
        <f t="shared" ref="G12:Q12" si="6">F12*G141</f>
        <v>3497.3699846604441</v>
      </c>
      <c r="H12" s="841">
        <f t="shared" si="6"/>
        <v>3584.176257638514</v>
      </c>
      <c r="I12" s="841">
        <f t="shared" si="6"/>
        <v>3716.1028118859685</v>
      </c>
      <c r="J12" s="841">
        <f t="shared" si="6"/>
        <v>3877.2305777482643</v>
      </c>
      <c r="K12" s="841">
        <f t="shared" si="6"/>
        <v>4044.3418077253041</v>
      </c>
      <c r="L12" s="841">
        <f t="shared" si="6"/>
        <v>4198.8967550498237</v>
      </c>
      <c r="M12" s="841">
        <f t="shared" si="6"/>
        <v>4340.4490704161426</v>
      </c>
      <c r="N12" s="841">
        <f t="shared" si="6"/>
        <v>4469.2934310357778</v>
      </c>
      <c r="O12" s="841">
        <f t="shared" si="6"/>
        <v>4568.9484971336833</v>
      </c>
      <c r="P12" s="841">
        <f t="shared" si="6"/>
        <v>4619.6654786776944</v>
      </c>
      <c r="Q12" s="841">
        <f t="shared" si="6"/>
        <v>4609.3225252278571</v>
      </c>
    </row>
    <row r="13" spans="1:17">
      <c r="A13" s="24" t="s">
        <v>753</v>
      </c>
      <c r="B13" s="840">
        <f t="shared" si="3"/>
        <v>3087.18891353648</v>
      </c>
      <c r="C13" s="841">
        <f t="shared" si="3"/>
        <v>3125.3372044580046</v>
      </c>
      <c r="D13" s="841">
        <f t="shared" si="3"/>
        <v>3170.7634213386646</v>
      </c>
      <c r="E13" s="841">
        <f t="shared" si="3"/>
        <v>3215.9795759181807</v>
      </c>
      <c r="F13" s="497">
        <v>3250.4210000000003</v>
      </c>
      <c r="G13" s="842">
        <f t="shared" ref="G13:Q13" si="7">F13*G142</f>
        <v>3264.2987903508606</v>
      </c>
      <c r="H13" s="841">
        <f t="shared" si="7"/>
        <v>3253.5787737548567</v>
      </c>
      <c r="I13" s="841">
        <f t="shared" si="7"/>
        <v>3224.7386853588641</v>
      </c>
      <c r="J13" s="841">
        <f t="shared" si="7"/>
        <v>3196.8336184614468</v>
      </c>
      <c r="K13" s="841">
        <f t="shared" si="7"/>
        <v>3196.043197988774</v>
      </c>
      <c r="L13" s="841">
        <f t="shared" si="7"/>
        <v>3240.1005902931488</v>
      </c>
      <c r="M13" s="841">
        <f t="shared" si="7"/>
        <v>3334.2583299371031</v>
      </c>
      <c r="N13" s="841">
        <f t="shared" si="7"/>
        <v>3469.479829835655</v>
      </c>
      <c r="O13" s="841">
        <f t="shared" si="7"/>
        <v>3631.2453883270096</v>
      </c>
      <c r="P13" s="841">
        <f t="shared" si="7"/>
        <v>3798.1657779850166</v>
      </c>
      <c r="Q13" s="841">
        <f t="shared" si="7"/>
        <v>3952.9523829086297</v>
      </c>
    </row>
    <row r="14" spans="1:17">
      <c r="A14" s="24" t="s">
        <v>754</v>
      </c>
      <c r="B14" s="840">
        <f t="shared" si="3"/>
        <v>2835.5060087323218</v>
      </c>
      <c r="C14" s="841">
        <f t="shared" si="3"/>
        <v>2901.0346080171716</v>
      </c>
      <c r="D14" s="841">
        <f t="shared" si="3"/>
        <v>2976.8210585665097</v>
      </c>
      <c r="E14" s="841">
        <f t="shared" si="3"/>
        <v>3054.0160244729877</v>
      </c>
      <c r="F14" s="497">
        <v>3138.5609999999997</v>
      </c>
      <c r="G14" s="842">
        <f t="shared" ref="G14:Q14" si="8">F14*G143</f>
        <v>3180.5553792913774</v>
      </c>
      <c r="H14" s="841">
        <f t="shared" si="8"/>
        <v>3197.7981045633337</v>
      </c>
      <c r="I14" s="841">
        <f t="shared" si="8"/>
        <v>3195.3197229409657</v>
      </c>
      <c r="J14" s="841">
        <f t="shared" si="8"/>
        <v>3177.7884837778552</v>
      </c>
      <c r="K14" s="841">
        <f t="shared" si="8"/>
        <v>3152.3226396344312</v>
      </c>
      <c r="L14" s="841">
        <f t="shared" si="8"/>
        <v>3125.3801719366111</v>
      </c>
      <c r="M14" s="841">
        <f t="shared" si="8"/>
        <v>3095.6036464751978</v>
      </c>
      <c r="N14" s="841">
        <f t="shared" si="8"/>
        <v>3064.740227699242</v>
      </c>
      <c r="O14" s="841">
        <f t="shared" si="8"/>
        <v>3045.9839869327097</v>
      </c>
      <c r="P14" s="841">
        <f t="shared" si="8"/>
        <v>3056.1784597358633</v>
      </c>
      <c r="Q14" s="841">
        <f t="shared" si="8"/>
        <v>3106.257849609829</v>
      </c>
    </row>
    <row r="15" spans="1:17">
      <c r="A15" s="24" t="s">
        <v>755</v>
      </c>
      <c r="B15" s="840">
        <f t="shared" si="3"/>
        <v>2527.9081232470689</v>
      </c>
      <c r="C15" s="841">
        <f t="shared" si="3"/>
        <v>2628.4468962701744</v>
      </c>
      <c r="D15" s="841">
        <f t="shared" si="3"/>
        <v>2720.5637335006209</v>
      </c>
      <c r="E15" s="841">
        <f t="shared" si="3"/>
        <v>2802.6908349214582</v>
      </c>
      <c r="F15" s="497">
        <v>2891.2719999999999</v>
      </c>
      <c r="G15" s="842">
        <f t="shared" ref="G15:Q15" si="9">F15*G144</f>
        <v>2950.6831736441436</v>
      </c>
      <c r="H15" s="841">
        <f t="shared" si="9"/>
        <v>2997.3774377369346</v>
      </c>
      <c r="I15" s="841">
        <f t="shared" si="9"/>
        <v>3031.6638967222125</v>
      </c>
      <c r="J15" s="841">
        <f t="shared" si="9"/>
        <v>3054.6768618022952</v>
      </c>
      <c r="K15" s="841">
        <f t="shared" si="9"/>
        <v>3068.1410058199863</v>
      </c>
      <c r="L15" s="841">
        <f t="shared" si="9"/>
        <v>3073.6974598765119</v>
      </c>
      <c r="M15" s="841">
        <f t="shared" si="9"/>
        <v>3073.4338392697537</v>
      </c>
      <c r="N15" s="841">
        <f t="shared" si="9"/>
        <v>3068.5475756290007</v>
      </c>
      <c r="O15" s="841">
        <f t="shared" si="9"/>
        <v>3058.9922568755974</v>
      </c>
      <c r="P15" s="841">
        <f t="shared" si="9"/>
        <v>3044.2610631106368</v>
      </c>
      <c r="Q15" s="841">
        <f t="shared" si="9"/>
        <v>3025.1754881263041</v>
      </c>
    </row>
    <row r="16" spans="1:17">
      <c r="A16" s="24" t="s">
        <v>756</v>
      </c>
      <c r="B16" s="840">
        <f t="shared" si="3"/>
        <v>2157.8783573280994</v>
      </c>
      <c r="C16" s="841">
        <f t="shared" si="3"/>
        <v>2310.3911603267297</v>
      </c>
      <c r="D16" s="841">
        <f t="shared" si="3"/>
        <v>2467.640283432529</v>
      </c>
      <c r="E16" s="841">
        <f t="shared" si="3"/>
        <v>2620.5753284933344</v>
      </c>
      <c r="F16" s="497">
        <v>2759.9080000000004</v>
      </c>
      <c r="G16" s="842">
        <f t="shared" ref="G16:Q16" si="10">F16*G145</f>
        <v>2876.7887222445706</v>
      </c>
      <c r="H16" s="841">
        <f t="shared" si="10"/>
        <v>2967.680960491663</v>
      </c>
      <c r="I16" s="841">
        <f t="shared" si="10"/>
        <v>3034.6712084436313</v>
      </c>
      <c r="J16" s="841">
        <f t="shared" si="10"/>
        <v>3083.6286307646965</v>
      </c>
      <c r="K16" s="841">
        <f t="shared" si="10"/>
        <v>3123.6273123568517</v>
      </c>
      <c r="L16" s="841">
        <f t="shared" si="10"/>
        <v>3161.3088119004897</v>
      </c>
      <c r="M16" s="841">
        <f t="shared" si="10"/>
        <v>3198.8667284015401</v>
      </c>
      <c r="N16" s="841">
        <f t="shared" si="10"/>
        <v>3234.3556587979369</v>
      </c>
      <c r="O16" s="841">
        <f t="shared" si="10"/>
        <v>3265.4419433021517</v>
      </c>
      <c r="P16" s="841">
        <f t="shared" si="10"/>
        <v>3288.2533132464405</v>
      </c>
      <c r="Q16" s="841">
        <f t="shared" si="10"/>
        <v>3300.3387049528164</v>
      </c>
    </row>
    <row r="17" spans="1:18">
      <c r="A17" s="24" t="s">
        <v>757</v>
      </c>
      <c r="B17" s="840">
        <f t="shared" si="3"/>
        <v>1642.9811674203675</v>
      </c>
      <c r="C17" s="841">
        <f t="shared" si="3"/>
        <v>1780.9439801623271</v>
      </c>
      <c r="D17" s="841">
        <f t="shared" si="3"/>
        <v>1913.2373766246571</v>
      </c>
      <c r="E17" s="841">
        <f t="shared" si="3"/>
        <v>2042.5779521080133</v>
      </c>
      <c r="F17" s="497">
        <v>2181.2739999999994</v>
      </c>
      <c r="G17" s="842">
        <f t="shared" ref="G17:Q17" si="11">F17*G146</f>
        <v>2319.2555236867765</v>
      </c>
      <c r="H17" s="841">
        <f t="shared" si="11"/>
        <v>2463.1976527319016</v>
      </c>
      <c r="I17" s="841">
        <f t="shared" si="11"/>
        <v>2609.320776282289</v>
      </c>
      <c r="J17" s="841">
        <f t="shared" si="11"/>
        <v>2751.1894987548517</v>
      </c>
      <c r="K17" s="841">
        <f t="shared" si="11"/>
        <v>2880.2435628956941</v>
      </c>
      <c r="L17" s="841">
        <f t="shared" si="11"/>
        <v>2990.4510278693515</v>
      </c>
      <c r="M17" s="841">
        <f t="shared" si="11"/>
        <v>3078.9643217614484</v>
      </c>
      <c r="N17" s="841">
        <f t="shared" si="11"/>
        <v>3147.6568779218114</v>
      </c>
      <c r="O17" s="841">
        <f t="shared" si="11"/>
        <v>3201.0824725453422</v>
      </c>
      <c r="P17" s="841">
        <f t="shared" si="11"/>
        <v>3246.2214574829295</v>
      </c>
      <c r="Q17" s="841">
        <f t="shared" si="11"/>
        <v>3288.1597014227145</v>
      </c>
    </row>
    <row r="18" spans="1:18">
      <c r="A18" s="24" t="s">
        <v>758</v>
      </c>
      <c r="B18" s="840">
        <f t="shared" si="3"/>
        <v>952.26861559335771</v>
      </c>
      <c r="C18" s="841">
        <f t="shared" si="3"/>
        <v>1029.6659628829832</v>
      </c>
      <c r="D18" s="841">
        <f t="shared" si="3"/>
        <v>1123.5424851318628</v>
      </c>
      <c r="E18" s="841">
        <f t="shared" si="3"/>
        <v>1230.2972775121139</v>
      </c>
      <c r="F18" s="497">
        <v>1347.3229999999999</v>
      </c>
      <c r="G18" s="842">
        <f t="shared" ref="G18:Q18" si="12">F18*G147</f>
        <v>1462.5028289147926</v>
      </c>
      <c r="H18" s="841">
        <f t="shared" si="12"/>
        <v>1576.3894270029275</v>
      </c>
      <c r="I18" s="841">
        <f t="shared" si="12"/>
        <v>1689.3279014460672</v>
      </c>
      <c r="J18" s="841">
        <f t="shared" si="12"/>
        <v>1802.6618367877672</v>
      </c>
      <c r="K18" s="841">
        <f t="shared" si="12"/>
        <v>1918.9371660799377</v>
      </c>
      <c r="L18" s="841">
        <f t="shared" si="12"/>
        <v>2039.3893975957201</v>
      </c>
      <c r="M18" s="841">
        <f t="shared" si="12"/>
        <v>2164.5392624561996</v>
      </c>
      <c r="N18" s="841">
        <f t="shared" si="12"/>
        <v>2291.6885383193371</v>
      </c>
      <c r="O18" s="841">
        <f t="shared" si="12"/>
        <v>2415.0465477419307</v>
      </c>
      <c r="P18" s="841">
        <f t="shared" si="12"/>
        <v>2527.0074231935992</v>
      </c>
      <c r="Q18" s="841">
        <f t="shared" si="12"/>
        <v>2622.2324425437801</v>
      </c>
    </row>
    <row r="19" spans="1:18">
      <c r="A19" s="24" t="s">
        <v>759</v>
      </c>
      <c r="B19" s="840">
        <f t="shared" si="3"/>
        <v>635.86396664128767</v>
      </c>
      <c r="C19" s="841">
        <f t="shared" si="3"/>
        <v>644.71799520551008</v>
      </c>
      <c r="D19" s="841">
        <f t="shared" si="3"/>
        <v>651.31182147714605</v>
      </c>
      <c r="E19" s="841">
        <f t="shared" si="3"/>
        <v>661.2378765454215</v>
      </c>
      <c r="F19" s="497">
        <v>665.87599999999998</v>
      </c>
      <c r="G19" s="842">
        <f t="shared" ref="G19:Q19" si="13">F19*G148</f>
        <v>702.17422098496831</v>
      </c>
      <c r="H19" s="841">
        <f t="shared" si="13"/>
        <v>756.55562989555369</v>
      </c>
      <c r="I19" s="841">
        <f t="shared" si="13"/>
        <v>826.74746775976644</v>
      </c>
      <c r="J19" s="841">
        <f t="shared" si="13"/>
        <v>908.46633731616998</v>
      </c>
      <c r="K19" s="841">
        <f t="shared" si="13"/>
        <v>995.36483712641768</v>
      </c>
      <c r="L19" s="841">
        <f t="shared" si="13"/>
        <v>1082.6620115077187</v>
      </c>
      <c r="M19" s="841">
        <f t="shared" si="13"/>
        <v>1168.3597788500299</v>
      </c>
      <c r="N19" s="841">
        <f t="shared" si="13"/>
        <v>1253.1770090491875</v>
      </c>
      <c r="O19" s="841">
        <f t="shared" si="13"/>
        <v>1338.2124115529766</v>
      </c>
      <c r="P19" s="841">
        <f t="shared" si="13"/>
        <v>1425.5833564257719</v>
      </c>
      <c r="Q19" s="841">
        <f t="shared" si="13"/>
        <v>1516.3665789264026</v>
      </c>
    </row>
    <row r="20" spans="1:18">
      <c r="A20" s="24" t="s">
        <v>772</v>
      </c>
      <c r="B20" s="843">
        <f t="shared" si="3"/>
        <v>870.12504648656648</v>
      </c>
      <c r="C20" s="844">
        <f t="shared" si="3"/>
        <v>886.27293504302122</v>
      </c>
      <c r="D20" s="844">
        <f t="shared" si="3"/>
        <v>900.09465414698082</v>
      </c>
      <c r="E20" s="844">
        <f t="shared" si="3"/>
        <v>913.09034573107454</v>
      </c>
      <c r="F20" s="498">
        <v>836.98900000000015</v>
      </c>
      <c r="G20" s="845">
        <f t="shared" ref="G20:Q20" si="14">F20*G149</f>
        <v>824.5392461445532</v>
      </c>
      <c r="H20" s="841">
        <f t="shared" si="14"/>
        <v>812.90839888207665</v>
      </c>
      <c r="I20" s="841">
        <f t="shared" si="14"/>
        <v>802.8987493094512</v>
      </c>
      <c r="J20" s="841">
        <f t="shared" si="14"/>
        <v>796.240682662258</v>
      </c>
      <c r="K20" s="841">
        <f t="shared" si="14"/>
        <v>794.91144297511778</v>
      </c>
      <c r="L20" s="841">
        <f t="shared" si="14"/>
        <v>800.22840172367842</v>
      </c>
      <c r="M20" s="841">
        <f t="shared" si="14"/>
        <v>812.59033081408222</v>
      </c>
      <c r="N20" s="841">
        <f t="shared" si="14"/>
        <v>831.68628310523013</v>
      </c>
      <c r="O20" s="841">
        <f t="shared" si="14"/>
        <v>857.16021225235249</v>
      </c>
      <c r="P20" s="841">
        <f t="shared" si="14"/>
        <v>888.3997185424455</v>
      </c>
      <c r="Q20" s="841">
        <f t="shared" si="14"/>
        <v>924.95618358109925</v>
      </c>
    </row>
    <row r="21" spans="1:18">
      <c r="A21" s="25" t="s">
        <v>760</v>
      </c>
      <c r="B21" s="846">
        <f>SUM(B7:B20)</f>
        <v>23060.355099062308</v>
      </c>
      <c r="C21" s="847">
        <f t="shared" ref="C21:Q21" si="15">SUM(C7:C20)</f>
        <v>23616.958810177337</v>
      </c>
      <c r="D21" s="847">
        <f t="shared" si="15"/>
        <v>24176.101427166272</v>
      </c>
      <c r="E21" s="847">
        <f t="shared" si="15"/>
        <v>24768.784290858206</v>
      </c>
      <c r="F21" s="847">
        <f t="shared" si="15"/>
        <v>25335.489000000001</v>
      </c>
      <c r="G21" s="848">
        <f t="shared" si="15"/>
        <v>25894.656214711304</v>
      </c>
      <c r="H21" s="846">
        <f t="shared" si="15"/>
        <v>26437.848739979148</v>
      </c>
      <c r="I21" s="847">
        <f t="shared" si="15"/>
        <v>26964.291593943577</v>
      </c>
      <c r="J21" s="847">
        <f t="shared" si="15"/>
        <v>27472.494234728569</v>
      </c>
      <c r="K21" s="847">
        <f t="shared" si="15"/>
        <v>27962.060713471154</v>
      </c>
      <c r="L21" s="847">
        <f t="shared" si="15"/>
        <v>28432.149774720427</v>
      </c>
      <c r="M21" s="847">
        <f t="shared" si="15"/>
        <v>28881.54285188808</v>
      </c>
      <c r="N21" s="847">
        <f t="shared" si="15"/>
        <v>29307.542612777568</v>
      </c>
      <c r="O21" s="847">
        <f t="shared" si="15"/>
        <v>29706.368627015483</v>
      </c>
      <c r="P21" s="847">
        <f t="shared" si="15"/>
        <v>30073.729037866688</v>
      </c>
      <c r="Q21" s="847">
        <f t="shared" si="15"/>
        <v>30406.899529723141</v>
      </c>
    </row>
    <row r="22" spans="1:18" ht="9.9499999999999993" customHeight="1"/>
    <row r="23" spans="1:18" ht="17.25">
      <c r="A23" s="18" t="s">
        <v>26</v>
      </c>
    </row>
    <row r="24" spans="1:18" ht="9.9499999999999993" customHeight="1"/>
    <row r="25" spans="1:18" ht="17.25">
      <c r="A25" s="9"/>
      <c r="B25" s="1495" t="s">
        <v>730</v>
      </c>
      <c r="C25" s="1496"/>
      <c r="D25" s="1496"/>
      <c r="E25" s="1496"/>
      <c r="F25" s="1496"/>
      <c r="G25" s="1497"/>
      <c r="H25" s="1496" t="s">
        <v>734</v>
      </c>
      <c r="I25" s="1496"/>
      <c r="J25" s="1496"/>
      <c r="K25" s="1496"/>
      <c r="L25" s="1496"/>
      <c r="M25" s="1496"/>
      <c r="N25" s="1496"/>
      <c r="O25" s="1496"/>
      <c r="P25" s="1496"/>
      <c r="Q25" s="1496"/>
    </row>
    <row r="26" spans="1:18" ht="17.25" customHeight="1">
      <c r="A26" s="10" t="s">
        <v>746</v>
      </c>
      <c r="B26" s="6">
        <v>2005</v>
      </c>
      <c r="C26" s="7">
        <v>2006</v>
      </c>
      <c r="D26" s="862">
        <v>2007</v>
      </c>
      <c r="E26" s="862">
        <v>2008</v>
      </c>
      <c r="F26" s="862">
        <v>2009</v>
      </c>
      <c r="G26" s="863">
        <v>2010</v>
      </c>
      <c r="H26" s="862">
        <v>2011</v>
      </c>
      <c r="I26" s="862">
        <v>2012</v>
      </c>
      <c r="J26" s="862">
        <v>2013</v>
      </c>
      <c r="K26" s="862">
        <v>2014</v>
      </c>
      <c r="L26" s="862">
        <v>2015</v>
      </c>
      <c r="M26" s="862">
        <v>2016</v>
      </c>
      <c r="N26" s="862">
        <v>2017</v>
      </c>
      <c r="O26" s="862">
        <v>2018</v>
      </c>
      <c r="P26" s="862">
        <v>2019</v>
      </c>
      <c r="Q26" s="862">
        <v>2020</v>
      </c>
    </row>
    <row r="27" spans="1:18" ht="34.5">
      <c r="A27" s="24" t="s">
        <v>747</v>
      </c>
      <c r="B27" s="837">
        <v>0</v>
      </c>
      <c r="C27" s="838">
        <f>B27</f>
        <v>0</v>
      </c>
      <c r="D27" s="838">
        <f t="shared" ref="D27:Q27" si="16">C27</f>
        <v>0</v>
      </c>
      <c r="E27" s="838">
        <f t="shared" si="16"/>
        <v>0</v>
      </c>
      <c r="F27" s="838">
        <f t="shared" si="16"/>
        <v>0</v>
      </c>
      <c r="G27" s="839">
        <f t="shared" si="16"/>
        <v>0</v>
      </c>
      <c r="H27" s="838">
        <f t="shared" si="16"/>
        <v>0</v>
      </c>
      <c r="I27" s="838">
        <f t="shared" si="16"/>
        <v>0</v>
      </c>
      <c r="J27" s="838">
        <f t="shared" si="16"/>
        <v>0</v>
      </c>
      <c r="K27" s="838">
        <f t="shared" si="16"/>
        <v>0</v>
      </c>
      <c r="L27" s="838">
        <f t="shared" si="16"/>
        <v>0</v>
      </c>
      <c r="M27" s="838">
        <f t="shared" si="16"/>
        <v>0</v>
      </c>
      <c r="N27" s="838">
        <f t="shared" si="16"/>
        <v>0</v>
      </c>
      <c r="O27" s="838">
        <f t="shared" si="16"/>
        <v>0</v>
      </c>
      <c r="P27" s="838">
        <f t="shared" si="16"/>
        <v>0</v>
      </c>
      <c r="Q27" s="839">
        <f t="shared" si="16"/>
        <v>0</v>
      </c>
      <c r="R27" s="793" t="s">
        <v>543</v>
      </c>
    </row>
    <row r="28" spans="1:18">
      <c r="A28" s="24" t="s">
        <v>748</v>
      </c>
      <c r="B28" s="840">
        <v>0</v>
      </c>
      <c r="C28" s="841">
        <f t="shared" ref="C28:Q29" si="17">B28</f>
        <v>0</v>
      </c>
      <c r="D28" s="841">
        <f t="shared" si="17"/>
        <v>0</v>
      </c>
      <c r="E28" s="841">
        <f t="shared" si="17"/>
        <v>0</v>
      </c>
      <c r="F28" s="841">
        <f t="shared" si="17"/>
        <v>0</v>
      </c>
      <c r="G28" s="842">
        <f t="shared" si="17"/>
        <v>0</v>
      </c>
      <c r="H28" s="841">
        <f t="shared" si="17"/>
        <v>0</v>
      </c>
      <c r="I28" s="841">
        <f t="shared" si="17"/>
        <v>0</v>
      </c>
      <c r="J28" s="841">
        <f t="shared" si="17"/>
        <v>0</v>
      </c>
      <c r="K28" s="841">
        <f t="shared" si="17"/>
        <v>0</v>
      </c>
      <c r="L28" s="841">
        <f t="shared" si="17"/>
        <v>0</v>
      </c>
      <c r="M28" s="841">
        <f t="shared" si="17"/>
        <v>0</v>
      </c>
      <c r="N28" s="841">
        <f t="shared" si="17"/>
        <v>0</v>
      </c>
      <c r="O28" s="841">
        <f t="shared" si="17"/>
        <v>0</v>
      </c>
      <c r="P28" s="841">
        <f t="shared" si="17"/>
        <v>0</v>
      </c>
      <c r="Q28" s="842">
        <f t="shared" si="17"/>
        <v>0</v>
      </c>
      <c r="R28" s="794"/>
    </row>
    <row r="29" spans="1:18">
      <c r="A29" s="24" t="s">
        <v>749</v>
      </c>
      <c r="B29" s="840">
        <v>0</v>
      </c>
      <c r="C29" s="841">
        <f t="shared" si="17"/>
        <v>0</v>
      </c>
      <c r="D29" s="841">
        <f t="shared" si="17"/>
        <v>0</v>
      </c>
      <c r="E29" s="841">
        <f t="shared" si="17"/>
        <v>0</v>
      </c>
      <c r="F29" s="841">
        <f t="shared" si="17"/>
        <v>0</v>
      </c>
      <c r="G29" s="842">
        <f t="shared" si="17"/>
        <v>0</v>
      </c>
      <c r="H29" s="841">
        <f t="shared" si="17"/>
        <v>0</v>
      </c>
      <c r="I29" s="841">
        <f t="shared" si="17"/>
        <v>0</v>
      </c>
      <c r="J29" s="841">
        <f t="shared" si="17"/>
        <v>0</v>
      </c>
      <c r="K29" s="841">
        <f t="shared" si="17"/>
        <v>0</v>
      </c>
      <c r="L29" s="841">
        <f t="shared" si="17"/>
        <v>0</v>
      </c>
      <c r="M29" s="841">
        <f t="shared" si="17"/>
        <v>0</v>
      </c>
      <c r="N29" s="841">
        <f t="shared" si="17"/>
        <v>0</v>
      </c>
      <c r="O29" s="841">
        <f t="shared" si="17"/>
        <v>0</v>
      </c>
      <c r="P29" s="841">
        <f t="shared" si="17"/>
        <v>0</v>
      </c>
      <c r="Q29" s="842">
        <f t="shared" si="17"/>
        <v>0</v>
      </c>
      <c r="R29" s="795"/>
    </row>
    <row r="30" spans="1:18">
      <c r="A30" s="24" t="s">
        <v>750</v>
      </c>
      <c r="B30" s="840">
        <f t="shared" ref="B30:E40" si="18">C30/C159</f>
        <v>1961.1575896237605</v>
      </c>
      <c r="C30" s="841">
        <f t="shared" si="18"/>
        <v>1883.6260661015431</v>
      </c>
      <c r="D30" s="841">
        <f t="shared" si="18"/>
        <v>1797.4308873890973</v>
      </c>
      <c r="E30" s="841">
        <f t="shared" si="18"/>
        <v>1732.9972270313085</v>
      </c>
      <c r="F30" s="497">
        <v>1726.297</v>
      </c>
      <c r="G30" s="842">
        <f t="shared" ref="G30:Q30" si="19">F30*G159</f>
        <v>1664.8846983850219</v>
      </c>
      <c r="H30" s="841">
        <f t="shared" si="19"/>
        <v>1595.9599520646518</v>
      </c>
      <c r="I30" s="841">
        <f t="shared" si="19"/>
        <v>1521.5146281919997</v>
      </c>
      <c r="J30" s="841">
        <f t="shared" si="19"/>
        <v>1447.3764454566062</v>
      </c>
      <c r="K30" s="841">
        <f t="shared" si="19"/>
        <v>1381.0749119603779</v>
      </c>
      <c r="L30" s="841">
        <f t="shared" si="19"/>
        <v>1327.5572751327143</v>
      </c>
      <c r="M30" s="841">
        <f t="shared" si="19"/>
        <v>1288.3615157794436</v>
      </c>
      <c r="N30" s="841">
        <f t="shared" si="19"/>
        <v>1261.3057942662617</v>
      </c>
      <c r="O30" s="841">
        <f t="shared" si="19"/>
        <v>1242.9831190891334</v>
      </c>
      <c r="P30" s="841">
        <f t="shared" si="19"/>
        <v>1228.441692579589</v>
      </c>
      <c r="Q30" s="842">
        <f t="shared" si="19"/>
        <v>1214.153941898225</v>
      </c>
      <c r="R30" s="795" t="s">
        <v>542</v>
      </c>
    </row>
    <row r="31" spans="1:18">
      <c r="A31" s="24" t="s">
        <v>751</v>
      </c>
      <c r="B31" s="840">
        <f t="shared" si="18"/>
        <v>2705.7531836029848</v>
      </c>
      <c r="C31" s="841">
        <f t="shared" si="18"/>
        <v>2707.0793032032329</v>
      </c>
      <c r="D31" s="841">
        <f t="shared" si="18"/>
        <v>2702.4772186583027</v>
      </c>
      <c r="E31" s="841">
        <f t="shared" si="18"/>
        <v>2702.4884569600003</v>
      </c>
      <c r="F31" s="497">
        <v>2661.1979999999999</v>
      </c>
      <c r="G31" s="842">
        <f t="shared" ref="G31:Q31" si="20">F31*G160</f>
        <v>2667.7733430178992</v>
      </c>
      <c r="H31" s="841">
        <f t="shared" si="20"/>
        <v>2693.7984401727776</v>
      </c>
      <c r="I31" s="841">
        <f t="shared" si="20"/>
        <v>2734.5887927072604</v>
      </c>
      <c r="J31" s="841">
        <f t="shared" si="20"/>
        <v>2775.4765438564505</v>
      </c>
      <c r="K31" s="841">
        <f t="shared" si="20"/>
        <v>2796.7487759186301</v>
      </c>
      <c r="L31" s="841">
        <f t="shared" si="20"/>
        <v>2785.3241057184655</v>
      </c>
      <c r="M31" s="841">
        <f t="shared" si="20"/>
        <v>2735.07765883108</v>
      </c>
      <c r="N31" s="841">
        <f t="shared" si="20"/>
        <v>2652.5538729447062</v>
      </c>
      <c r="O31" s="841">
        <f t="shared" si="20"/>
        <v>2552.8982326463638</v>
      </c>
      <c r="P31" s="841">
        <f t="shared" si="20"/>
        <v>2457.9205354294068</v>
      </c>
      <c r="Q31" s="842">
        <f t="shared" si="20"/>
        <v>2383.3141330885846</v>
      </c>
    </row>
    <row r="32" spans="1:18">
      <c r="A32" s="24" t="s">
        <v>752</v>
      </c>
      <c r="B32" s="840">
        <f t="shared" si="18"/>
        <v>3203.3509766393818</v>
      </c>
      <c r="C32" s="841">
        <f t="shared" si="18"/>
        <v>3197.4254317565988</v>
      </c>
      <c r="D32" s="841">
        <f t="shared" si="18"/>
        <v>3174.5226103496639</v>
      </c>
      <c r="E32" s="841">
        <f t="shared" si="18"/>
        <v>3148.5909079696012</v>
      </c>
      <c r="F32" s="497">
        <v>3147.08</v>
      </c>
      <c r="G32" s="842">
        <f t="shared" ref="G32:Q32" si="21">F32*G161</f>
        <v>3165.0917993490289</v>
      </c>
      <c r="H32" s="841">
        <f t="shared" si="21"/>
        <v>3216.8068383967088</v>
      </c>
      <c r="I32" s="841">
        <f t="shared" si="21"/>
        <v>3295.7686854252461</v>
      </c>
      <c r="J32" s="841">
        <f t="shared" si="21"/>
        <v>3392.7231552821563</v>
      </c>
      <c r="K32" s="841">
        <f t="shared" si="21"/>
        <v>3493.8167257291352</v>
      </c>
      <c r="L32" s="841">
        <f t="shared" si="21"/>
        <v>3587.748370356283</v>
      </c>
      <c r="M32" s="841">
        <f t="shared" si="21"/>
        <v>3674.914740354016</v>
      </c>
      <c r="N32" s="841">
        <f t="shared" si="21"/>
        <v>3755.2199531190522</v>
      </c>
      <c r="O32" s="841">
        <f t="shared" si="21"/>
        <v>3816.4879273252309</v>
      </c>
      <c r="P32" s="841">
        <f t="shared" si="21"/>
        <v>3843.782171962449</v>
      </c>
      <c r="Q32" s="842">
        <f t="shared" si="21"/>
        <v>3827.8969478251424</v>
      </c>
    </row>
    <row r="33" spans="1:18">
      <c r="A33" s="24" t="s">
        <v>753</v>
      </c>
      <c r="B33" s="840">
        <f t="shared" si="18"/>
        <v>2929.9293033648014</v>
      </c>
      <c r="C33" s="841">
        <f t="shared" si="18"/>
        <v>2967.2395386953481</v>
      </c>
      <c r="D33" s="841">
        <f t="shared" si="18"/>
        <v>3013.0488796969239</v>
      </c>
      <c r="E33" s="841">
        <f t="shared" si="18"/>
        <v>3059.2262028709074</v>
      </c>
      <c r="F33" s="497">
        <v>3085.7150000000001</v>
      </c>
      <c r="G33" s="842">
        <f t="shared" ref="G33:Q33" si="22">F33*G162</f>
        <v>3102.9006553440895</v>
      </c>
      <c r="H33" s="841">
        <f t="shared" si="22"/>
        <v>3099.3086363367511</v>
      </c>
      <c r="I33" s="841">
        <f t="shared" si="22"/>
        <v>3079.7907829884462</v>
      </c>
      <c r="J33" s="841">
        <f t="shared" si="22"/>
        <v>3057.570776368761</v>
      </c>
      <c r="K33" s="841">
        <f t="shared" si="22"/>
        <v>3051.0654829509122</v>
      </c>
      <c r="L33" s="841">
        <f t="shared" si="22"/>
        <v>3072.8928437137124</v>
      </c>
      <c r="M33" s="841">
        <f t="shared" si="22"/>
        <v>3126.4002139144804</v>
      </c>
      <c r="N33" s="841">
        <f t="shared" si="22"/>
        <v>3205.5114482452796</v>
      </c>
      <c r="O33" s="841">
        <f t="shared" si="22"/>
        <v>3301.5853782124896</v>
      </c>
      <c r="P33" s="841">
        <f t="shared" si="22"/>
        <v>3401.7002062445322</v>
      </c>
      <c r="Q33" s="842">
        <f t="shared" si="22"/>
        <v>3495.2416690895679</v>
      </c>
    </row>
    <row r="34" spans="1:18">
      <c r="A34" s="24" t="s">
        <v>754</v>
      </c>
      <c r="B34" s="840">
        <f t="shared" si="18"/>
        <v>2745.129328875385</v>
      </c>
      <c r="C34" s="841">
        <f t="shared" si="18"/>
        <v>2812.4948235623992</v>
      </c>
      <c r="D34" s="841">
        <f t="shared" si="18"/>
        <v>2888.4398273438492</v>
      </c>
      <c r="E34" s="841">
        <f t="shared" si="18"/>
        <v>2963.4813726793172</v>
      </c>
      <c r="F34" s="497">
        <v>3020.9920000000002</v>
      </c>
      <c r="G34" s="842">
        <f t="shared" ref="G34:Q34" si="23">F34*G163</f>
        <v>3058.9582876262816</v>
      </c>
      <c r="H34" s="841">
        <f t="shared" si="23"/>
        <v>3073.5532047017959</v>
      </c>
      <c r="I34" s="841">
        <f t="shared" si="23"/>
        <v>3068.9613412985668</v>
      </c>
      <c r="J34" s="841">
        <f t="shared" si="23"/>
        <v>3050.4313607694426</v>
      </c>
      <c r="K34" s="841">
        <f t="shared" si="23"/>
        <v>3025.840082306428</v>
      </c>
      <c r="L34" s="841">
        <f t="shared" si="23"/>
        <v>3001.7392527140896</v>
      </c>
      <c r="M34" s="841">
        <f t="shared" si="23"/>
        <v>2978.0361360461202</v>
      </c>
      <c r="N34" s="841">
        <f t="shared" si="23"/>
        <v>2955.1982361967894</v>
      </c>
      <c r="O34" s="841">
        <f t="shared" si="23"/>
        <v>2940.9427135639457</v>
      </c>
      <c r="P34" s="841">
        <f t="shared" si="23"/>
        <v>2944.778348786464</v>
      </c>
      <c r="Q34" s="842">
        <f t="shared" si="23"/>
        <v>2972.806593506944</v>
      </c>
    </row>
    <row r="35" spans="1:18">
      <c r="A35" s="24" t="s">
        <v>755</v>
      </c>
      <c r="B35" s="840">
        <f t="shared" si="18"/>
        <v>2373.4380763461777</v>
      </c>
      <c r="C35" s="841">
        <f t="shared" si="18"/>
        <v>2466.392921496933</v>
      </c>
      <c r="D35" s="841">
        <f t="shared" si="18"/>
        <v>2563.9076382985349</v>
      </c>
      <c r="E35" s="841">
        <f t="shared" si="18"/>
        <v>2658.7830114445137</v>
      </c>
      <c r="F35" s="497">
        <v>2722.518</v>
      </c>
      <c r="G35" s="842">
        <f t="shared" ref="G35:Q35" si="24">F35*G164</f>
        <v>2786.6759839248757</v>
      </c>
      <c r="H35" s="841">
        <f t="shared" si="24"/>
        <v>2830.8352259954631</v>
      </c>
      <c r="I35" s="841">
        <f t="shared" si="24"/>
        <v>2857.3079165860481</v>
      </c>
      <c r="J35" s="841">
        <f t="shared" si="24"/>
        <v>2869.5554295690208</v>
      </c>
      <c r="K35" s="841">
        <f t="shared" si="24"/>
        <v>2873.0121956487151</v>
      </c>
      <c r="L35" s="841">
        <f t="shared" si="24"/>
        <v>2871.9597757972065</v>
      </c>
      <c r="M35" s="841">
        <f t="shared" si="24"/>
        <v>2868.3122470999447</v>
      </c>
      <c r="N35" s="841">
        <f t="shared" si="24"/>
        <v>2861.9756105859547</v>
      </c>
      <c r="O35" s="841">
        <f t="shared" si="24"/>
        <v>2853.0512376945244</v>
      </c>
      <c r="P35" s="841">
        <f t="shared" si="24"/>
        <v>2841.063604219542</v>
      </c>
      <c r="Q35" s="842">
        <f t="shared" si="24"/>
        <v>2826.3988431888383</v>
      </c>
    </row>
    <row r="36" spans="1:18">
      <c r="A36" s="24" t="s">
        <v>756</v>
      </c>
      <c r="B36" s="840">
        <f t="shared" si="18"/>
        <v>2246.1469816063986</v>
      </c>
      <c r="C36" s="841">
        <f t="shared" si="18"/>
        <v>2379.50985769412</v>
      </c>
      <c r="D36" s="841">
        <f t="shared" si="18"/>
        <v>2516.131240882225</v>
      </c>
      <c r="E36" s="841">
        <f t="shared" si="18"/>
        <v>2649.3955421460391</v>
      </c>
      <c r="F36" s="497">
        <v>2785.5749999999998</v>
      </c>
      <c r="G36" s="842">
        <f t="shared" ref="G36:Q36" si="25">F36*G165</f>
        <v>2892.4611214192414</v>
      </c>
      <c r="H36" s="841">
        <f t="shared" si="25"/>
        <v>2979.4484193967805</v>
      </c>
      <c r="I36" s="841">
        <f t="shared" si="25"/>
        <v>3047.9324476193883</v>
      </c>
      <c r="J36" s="841">
        <f t="shared" si="25"/>
        <v>3101.3168064675815</v>
      </c>
      <c r="K36" s="841">
        <f t="shared" si="25"/>
        <v>3145.0928889405782</v>
      </c>
      <c r="L36" s="841">
        <f t="shared" si="25"/>
        <v>3183.3687177560278</v>
      </c>
      <c r="M36" s="841">
        <f t="shared" si="25"/>
        <v>3217.3958609028605</v>
      </c>
      <c r="N36" s="841">
        <f t="shared" si="25"/>
        <v>3246.1531275086927</v>
      </c>
      <c r="O36" s="841">
        <f t="shared" si="25"/>
        <v>3268.8851464510008</v>
      </c>
      <c r="P36" s="841">
        <f t="shared" si="25"/>
        <v>3284.1310166878393</v>
      </c>
      <c r="Q36" s="842">
        <f t="shared" si="25"/>
        <v>3291.1497656664696</v>
      </c>
    </row>
    <row r="37" spans="1:18">
      <c r="A37" s="24" t="s">
        <v>757</v>
      </c>
      <c r="B37" s="840">
        <f t="shared" si="18"/>
        <v>1477.096683810176</v>
      </c>
      <c r="C37" s="841">
        <f t="shared" si="18"/>
        <v>1601.9326433044016</v>
      </c>
      <c r="D37" s="841">
        <f t="shared" si="18"/>
        <v>1731.2984428713128</v>
      </c>
      <c r="E37" s="841">
        <f t="shared" si="18"/>
        <v>1860.1153008720189</v>
      </c>
      <c r="F37" s="497">
        <v>2000.7729999999999</v>
      </c>
      <c r="G37" s="842">
        <f t="shared" ref="G37:Q37" si="26">F37*G166</f>
        <v>2121.0373055131772</v>
      </c>
      <c r="H37" s="841">
        <f t="shared" si="26"/>
        <v>2228.9289827568186</v>
      </c>
      <c r="I37" s="841">
        <f t="shared" si="26"/>
        <v>2324.504855760239</v>
      </c>
      <c r="J37" s="841">
        <f t="shared" si="26"/>
        <v>2409.8234553967059</v>
      </c>
      <c r="K37" s="841">
        <f t="shared" si="26"/>
        <v>2488.5965701470795</v>
      </c>
      <c r="L37" s="841">
        <f t="shared" si="26"/>
        <v>2563.5324546915026</v>
      </c>
      <c r="M37" s="841">
        <f t="shared" si="26"/>
        <v>2634.9377443579729</v>
      </c>
      <c r="N37" s="841">
        <f t="shared" si="26"/>
        <v>2701.5783927740258</v>
      </c>
      <c r="O37" s="841">
        <f t="shared" si="26"/>
        <v>2762.905458373456</v>
      </c>
      <c r="P37" s="841">
        <f t="shared" si="26"/>
        <v>2818.0065402327486</v>
      </c>
      <c r="Q37" s="842">
        <f t="shared" si="26"/>
        <v>2866.2319145450283</v>
      </c>
    </row>
    <row r="38" spans="1:18">
      <c r="A38" s="24" t="s">
        <v>758</v>
      </c>
      <c r="B38" s="840">
        <f t="shared" si="18"/>
        <v>958.78155472551396</v>
      </c>
      <c r="C38" s="841">
        <f t="shared" si="18"/>
        <v>1025.425015585294</v>
      </c>
      <c r="D38" s="841">
        <f t="shared" si="18"/>
        <v>1110.6381145228524</v>
      </c>
      <c r="E38" s="841">
        <f t="shared" si="18"/>
        <v>1209.6162360987105</v>
      </c>
      <c r="F38" s="497">
        <v>1309.2750000000001</v>
      </c>
      <c r="G38" s="842">
        <f t="shared" ref="G38:Q38" si="27">F38*G167</f>
        <v>1414.2557781816454</v>
      </c>
      <c r="H38" s="841">
        <f t="shared" si="27"/>
        <v>1517.9624271321475</v>
      </c>
      <c r="I38" s="841">
        <f t="shared" si="27"/>
        <v>1620.7242006593374</v>
      </c>
      <c r="J38" s="841">
        <f t="shared" si="27"/>
        <v>1720.8851457885364</v>
      </c>
      <c r="K38" s="841">
        <f t="shared" si="27"/>
        <v>1817.0106566427692</v>
      </c>
      <c r="L38" s="841">
        <f t="shared" si="27"/>
        <v>1907.9635625075944</v>
      </c>
      <c r="M38" s="841">
        <f t="shared" si="27"/>
        <v>1992.4697341518693</v>
      </c>
      <c r="N38" s="841">
        <f t="shared" si="27"/>
        <v>2069.9287675730793</v>
      </c>
      <c r="O38" s="841">
        <f t="shared" si="27"/>
        <v>2140.841460579773</v>
      </c>
      <c r="P38" s="841">
        <f t="shared" si="27"/>
        <v>2206.2827300151625</v>
      </c>
      <c r="Q38" s="842">
        <f t="shared" si="27"/>
        <v>2267.0079228501536</v>
      </c>
    </row>
    <row r="39" spans="1:18">
      <c r="A39" s="24" t="s">
        <v>759</v>
      </c>
      <c r="B39" s="840">
        <f t="shared" si="18"/>
        <v>672.74260765300744</v>
      </c>
      <c r="C39" s="841">
        <f t="shared" si="18"/>
        <v>683.8688141241098</v>
      </c>
      <c r="D39" s="841">
        <f t="shared" si="18"/>
        <v>689.02087501377014</v>
      </c>
      <c r="E39" s="841">
        <f t="shared" si="18"/>
        <v>693.40037438585239</v>
      </c>
      <c r="F39" s="497">
        <v>674.32899999999995</v>
      </c>
      <c r="G39" s="842">
        <f t="shared" ref="G39:Q39" si="28">F39*G168</f>
        <v>702.12140536312734</v>
      </c>
      <c r="H39" s="841">
        <f t="shared" si="28"/>
        <v>748.42557324360507</v>
      </c>
      <c r="I39" s="841">
        <f t="shared" si="28"/>
        <v>810.56064914453839</v>
      </c>
      <c r="J39" s="841">
        <f t="shared" si="28"/>
        <v>884.26433853946071</v>
      </c>
      <c r="K39" s="841">
        <f t="shared" si="28"/>
        <v>963.08542260210061</v>
      </c>
      <c r="L39" s="841">
        <f t="shared" si="28"/>
        <v>1042.015457647989</v>
      </c>
      <c r="M39" s="841">
        <f t="shared" si="28"/>
        <v>1119.8147135495587</v>
      </c>
      <c r="N39" s="841">
        <f t="shared" si="28"/>
        <v>1196.9932790011089</v>
      </c>
      <c r="O39" s="841">
        <f t="shared" si="28"/>
        <v>1272.3229792823868</v>
      </c>
      <c r="P39" s="841">
        <f t="shared" si="28"/>
        <v>1344.7951924121098</v>
      </c>
      <c r="Q39" s="842">
        <f t="shared" si="28"/>
        <v>1413.6010398782844</v>
      </c>
    </row>
    <row r="40" spans="1:18">
      <c r="A40" s="24" t="s">
        <v>772</v>
      </c>
      <c r="B40" s="843">
        <f t="shared" si="18"/>
        <v>781.59941562694814</v>
      </c>
      <c r="C40" s="844">
        <f t="shared" si="18"/>
        <v>818.47204460858961</v>
      </c>
      <c r="D40" s="844">
        <f t="shared" si="18"/>
        <v>855.04678375171966</v>
      </c>
      <c r="E40" s="844">
        <f t="shared" si="18"/>
        <v>884.00780908112824</v>
      </c>
      <c r="F40" s="498">
        <v>832.67</v>
      </c>
      <c r="G40" s="845">
        <f t="shared" ref="G40:Q40" si="29">F40*G169</f>
        <v>842.09295650938702</v>
      </c>
      <c r="H40" s="844">
        <f t="shared" si="29"/>
        <v>851.01869983243512</v>
      </c>
      <c r="I40" s="844">
        <f t="shared" si="29"/>
        <v>860.02329634803016</v>
      </c>
      <c r="J40" s="844">
        <f t="shared" si="29"/>
        <v>870.79332823009793</v>
      </c>
      <c r="K40" s="844">
        <f t="shared" si="29"/>
        <v>885.46002204387207</v>
      </c>
      <c r="L40" s="844">
        <f t="shared" si="29"/>
        <v>905.61796457197283</v>
      </c>
      <c r="M40" s="844">
        <f t="shared" si="29"/>
        <v>931.8607451249635</v>
      </c>
      <c r="N40" s="844">
        <f t="shared" si="29"/>
        <v>964.05913208172547</v>
      </c>
      <c r="O40" s="844">
        <f t="shared" si="29"/>
        <v>1002.147414448469</v>
      </c>
      <c r="P40" s="844">
        <f t="shared" si="29"/>
        <v>1045.7707528587323</v>
      </c>
      <c r="Q40" s="845">
        <f t="shared" si="29"/>
        <v>1094.5896405112705</v>
      </c>
    </row>
    <row r="41" spans="1:18">
      <c r="A41" s="25" t="s">
        <v>760</v>
      </c>
      <c r="B41" s="846">
        <f>SUM(B27:B40)</f>
        <v>22055.125701874535</v>
      </c>
      <c r="C41" s="847">
        <f>SUM(C27:C40)</f>
        <v>22543.466460132571</v>
      </c>
      <c r="D41" s="847">
        <f t="shared" ref="D41:Q41" si="30">SUM(D27:D40)</f>
        <v>23041.962518778255</v>
      </c>
      <c r="E41" s="847">
        <f t="shared" si="30"/>
        <v>23562.102441539395</v>
      </c>
      <c r="F41" s="847">
        <f t="shared" si="30"/>
        <v>23966.422000000002</v>
      </c>
      <c r="G41" s="847">
        <f t="shared" si="30"/>
        <v>24418.253334633777</v>
      </c>
      <c r="H41" s="847">
        <f t="shared" si="30"/>
        <v>24836.046400029936</v>
      </c>
      <c r="I41" s="847">
        <f t="shared" si="30"/>
        <v>25221.6775967291</v>
      </c>
      <c r="J41" s="847">
        <f t="shared" si="30"/>
        <v>25580.216785724817</v>
      </c>
      <c r="K41" s="847">
        <f t="shared" si="30"/>
        <v>25920.803734890593</v>
      </c>
      <c r="L41" s="847">
        <f t="shared" si="30"/>
        <v>26249.719780607553</v>
      </c>
      <c r="M41" s="847">
        <f t="shared" si="30"/>
        <v>26567.581310112309</v>
      </c>
      <c r="N41" s="847">
        <f t="shared" si="30"/>
        <v>26870.477614296673</v>
      </c>
      <c r="O41" s="847">
        <f t="shared" si="30"/>
        <v>27155.051067666773</v>
      </c>
      <c r="P41" s="847">
        <f t="shared" si="30"/>
        <v>27416.672791428577</v>
      </c>
      <c r="Q41" s="847">
        <f t="shared" si="30"/>
        <v>27652.392412048506</v>
      </c>
    </row>
    <row r="42" spans="1:18" ht="9.9499999999999993" customHeight="1"/>
    <row r="43" spans="1:18" ht="17.25">
      <c r="A43" s="18" t="s">
        <v>24</v>
      </c>
    </row>
    <row r="44" spans="1:18" ht="9.9499999999999993" customHeight="1"/>
    <row r="45" spans="1:18" ht="17.25">
      <c r="A45" s="9"/>
      <c r="B45" s="1495" t="s">
        <v>730</v>
      </c>
      <c r="C45" s="1496"/>
      <c r="D45" s="1496"/>
      <c r="E45" s="1496"/>
      <c r="F45" s="1496"/>
      <c r="G45" s="1497"/>
      <c r="H45" s="1496" t="s">
        <v>734</v>
      </c>
      <c r="I45" s="1496"/>
      <c r="J45" s="1496"/>
      <c r="K45" s="1496"/>
      <c r="L45" s="1496"/>
      <c r="M45" s="1496"/>
      <c r="N45" s="1496"/>
      <c r="O45" s="1496"/>
      <c r="P45" s="1496"/>
      <c r="Q45" s="1496"/>
    </row>
    <row r="46" spans="1:18" ht="17.25" customHeight="1">
      <c r="A46" s="10" t="s">
        <v>746</v>
      </c>
      <c r="B46" s="6">
        <v>2005</v>
      </c>
      <c r="C46" s="7">
        <v>2006</v>
      </c>
      <c r="D46" s="7">
        <v>2007</v>
      </c>
      <c r="E46" s="7">
        <v>2008</v>
      </c>
      <c r="F46" s="7">
        <v>2009</v>
      </c>
      <c r="G46" s="8">
        <v>2010</v>
      </c>
      <c r="H46" s="7">
        <v>2011</v>
      </c>
      <c r="I46" s="7">
        <v>2012</v>
      </c>
      <c r="J46" s="7">
        <v>2013</v>
      </c>
      <c r="K46" s="7">
        <v>2014</v>
      </c>
      <c r="L46" s="7">
        <v>2015</v>
      </c>
      <c r="M46" s="7">
        <v>2016</v>
      </c>
      <c r="N46" s="7">
        <v>2017</v>
      </c>
      <c r="O46" s="7">
        <v>2018</v>
      </c>
      <c r="P46" s="7">
        <v>2019</v>
      </c>
      <c r="Q46" s="7">
        <v>2020</v>
      </c>
    </row>
    <row r="47" spans="1:18" ht="34.5">
      <c r="A47" s="24" t="s">
        <v>747</v>
      </c>
      <c r="B47" s="837">
        <v>0</v>
      </c>
      <c r="C47" s="838">
        <f>B47</f>
        <v>0</v>
      </c>
      <c r="D47" s="838">
        <f t="shared" ref="D47:Q49" si="31">C47</f>
        <v>0</v>
      </c>
      <c r="E47" s="838">
        <f t="shared" si="31"/>
        <v>0</v>
      </c>
      <c r="F47" s="838">
        <f t="shared" si="31"/>
        <v>0</v>
      </c>
      <c r="G47" s="839">
        <f t="shared" si="31"/>
        <v>0</v>
      </c>
      <c r="H47" s="838">
        <f t="shared" si="31"/>
        <v>0</v>
      </c>
      <c r="I47" s="838">
        <f t="shared" si="31"/>
        <v>0</v>
      </c>
      <c r="J47" s="838">
        <f t="shared" si="31"/>
        <v>0</v>
      </c>
      <c r="K47" s="838">
        <f t="shared" si="31"/>
        <v>0</v>
      </c>
      <c r="L47" s="838">
        <f t="shared" si="31"/>
        <v>0</v>
      </c>
      <c r="M47" s="838">
        <f t="shared" si="31"/>
        <v>0</v>
      </c>
      <c r="N47" s="838">
        <f t="shared" si="31"/>
        <v>0</v>
      </c>
      <c r="O47" s="838">
        <f t="shared" si="31"/>
        <v>0</v>
      </c>
      <c r="P47" s="838">
        <f t="shared" si="31"/>
        <v>0</v>
      </c>
      <c r="Q47" s="839">
        <f t="shared" si="31"/>
        <v>0</v>
      </c>
      <c r="R47" s="793" t="s">
        <v>543</v>
      </c>
    </row>
    <row r="48" spans="1:18">
      <c r="A48" s="24" t="s">
        <v>748</v>
      </c>
      <c r="B48" s="840">
        <v>0</v>
      </c>
      <c r="C48" s="841">
        <f>B48</f>
        <v>0</v>
      </c>
      <c r="D48" s="841">
        <f t="shared" si="31"/>
        <v>0</v>
      </c>
      <c r="E48" s="841">
        <f t="shared" si="31"/>
        <v>0</v>
      </c>
      <c r="F48" s="841">
        <f t="shared" si="31"/>
        <v>0</v>
      </c>
      <c r="G48" s="842">
        <f t="shared" si="31"/>
        <v>0</v>
      </c>
      <c r="H48" s="841">
        <f t="shared" si="31"/>
        <v>0</v>
      </c>
      <c r="I48" s="841">
        <f t="shared" si="31"/>
        <v>0</v>
      </c>
      <c r="J48" s="841">
        <f t="shared" si="31"/>
        <v>0</v>
      </c>
      <c r="K48" s="841">
        <f t="shared" si="31"/>
        <v>0</v>
      </c>
      <c r="L48" s="841">
        <f t="shared" si="31"/>
        <v>0</v>
      </c>
      <c r="M48" s="841">
        <f t="shared" si="31"/>
        <v>0</v>
      </c>
      <c r="N48" s="841">
        <f t="shared" si="31"/>
        <v>0</v>
      </c>
      <c r="O48" s="841">
        <f t="shared" si="31"/>
        <v>0</v>
      </c>
      <c r="P48" s="841">
        <f t="shared" si="31"/>
        <v>0</v>
      </c>
      <c r="Q48" s="842">
        <f t="shared" si="31"/>
        <v>0</v>
      </c>
      <c r="R48" s="794"/>
    </row>
    <row r="49" spans="1:18">
      <c r="A49" s="24" t="s">
        <v>749</v>
      </c>
      <c r="B49" s="840">
        <v>0</v>
      </c>
      <c r="C49" s="841">
        <f>B49</f>
        <v>0</v>
      </c>
      <c r="D49" s="841">
        <f t="shared" si="31"/>
        <v>0</v>
      </c>
      <c r="E49" s="841">
        <f t="shared" si="31"/>
        <v>0</v>
      </c>
      <c r="F49" s="841">
        <f t="shared" si="31"/>
        <v>0</v>
      </c>
      <c r="G49" s="842">
        <f t="shared" si="31"/>
        <v>0</v>
      </c>
      <c r="H49" s="841">
        <f t="shared" si="31"/>
        <v>0</v>
      </c>
      <c r="I49" s="841">
        <f t="shared" si="31"/>
        <v>0</v>
      </c>
      <c r="J49" s="841">
        <f t="shared" si="31"/>
        <v>0</v>
      </c>
      <c r="K49" s="841">
        <f t="shared" si="31"/>
        <v>0</v>
      </c>
      <c r="L49" s="841">
        <f t="shared" si="31"/>
        <v>0</v>
      </c>
      <c r="M49" s="841">
        <f t="shared" si="31"/>
        <v>0</v>
      </c>
      <c r="N49" s="841">
        <f t="shared" si="31"/>
        <v>0</v>
      </c>
      <c r="O49" s="841">
        <f t="shared" si="31"/>
        <v>0</v>
      </c>
      <c r="P49" s="841">
        <f t="shared" si="31"/>
        <v>0</v>
      </c>
      <c r="Q49" s="842">
        <f t="shared" si="31"/>
        <v>0</v>
      </c>
      <c r="R49" s="795"/>
    </row>
    <row r="50" spans="1:18">
      <c r="A50" s="24" t="s">
        <v>750</v>
      </c>
      <c r="B50" s="840">
        <f t="shared" ref="B50:Q50" si="32">B10+B30</f>
        <v>3838.7231954480749</v>
      </c>
      <c r="C50" s="841">
        <f t="shared" si="32"/>
        <v>3720.2709486646841</v>
      </c>
      <c r="D50" s="841">
        <f t="shared" si="32"/>
        <v>3586.5325453658111</v>
      </c>
      <c r="E50" s="841">
        <f t="shared" si="32"/>
        <v>3489.62716477493</v>
      </c>
      <c r="F50" s="841">
        <f t="shared" si="32"/>
        <v>3533.7959999999998</v>
      </c>
      <c r="G50" s="842">
        <f t="shared" si="32"/>
        <v>3438.2834429770755</v>
      </c>
      <c r="H50" s="841">
        <f t="shared" si="32"/>
        <v>3315.7160191505113</v>
      </c>
      <c r="I50" s="841">
        <f t="shared" si="32"/>
        <v>3171.5187520401123</v>
      </c>
      <c r="J50" s="841">
        <f t="shared" si="32"/>
        <v>3020.295529099204</v>
      </c>
      <c r="K50" s="841">
        <f t="shared" si="32"/>
        <v>2881.4267599516297</v>
      </c>
      <c r="L50" s="841">
        <f t="shared" si="32"/>
        <v>2768.1732442725734</v>
      </c>
      <c r="M50" s="841">
        <f t="shared" si="32"/>
        <v>2684.6725759588808</v>
      </c>
      <c r="N50" s="841">
        <f t="shared" si="32"/>
        <v>2626.2547886983511</v>
      </c>
      <c r="O50" s="841">
        <f t="shared" si="32"/>
        <v>2586.4194035050937</v>
      </c>
      <c r="P50" s="841">
        <f t="shared" si="32"/>
        <v>2555.1602246727525</v>
      </c>
      <c r="Q50" s="841">
        <f t="shared" si="32"/>
        <v>2525.2570826506744</v>
      </c>
      <c r="R50" s="795" t="s">
        <v>542</v>
      </c>
    </row>
    <row r="51" spans="1:18">
      <c r="A51" s="24" t="s">
        <v>751</v>
      </c>
      <c r="B51" s="840">
        <f t="shared" ref="B51:Q51" si="33">B11+B31</f>
        <v>5588.1709051682392</v>
      </c>
      <c r="C51" s="841">
        <f t="shared" si="33"/>
        <v>5610.1033042880435</v>
      </c>
      <c r="D51" s="841">
        <f t="shared" si="33"/>
        <v>5634.2897912722074</v>
      </c>
      <c r="E51" s="841">
        <f t="shared" si="33"/>
        <v>5679.1141089149405</v>
      </c>
      <c r="F51" s="841">
        <f t="shared" si="33"/>
        <v>5652.3680000000004</v>
      </c>
      <c r="G51" s="842">
        <f t="shared" si="33"/>
        <v>5710.8629432146636</v>
      </c>
      <c r="H51" s="841">
        <f t="shared" si="33"/>
        <v>5802.2284703683035</v>
      </c>
      <c r="I51" s="841">
        <f t="shared" si="33"/>
        <v>5918.0850426535089</v>
      </c>
      <c r="J51" s="841">
        <f t="shared" si="33"/>
        <v>6026.3351668668165</v>
      </c>
      <c r="K51" s="841">
        <f t="shared" si="33"/>
        <v>6084.5246687960171</v>
      </c>
      <c r="L51" s="841">
        <f t="shared" si="33"/>
        <v>6064.7432835459767</v>
      </c>
      <c r="M51" s="841">
        <f t="shared" si="33"/>
        <v>5953.2441421582225</v>
      </c>
      <c r="N51" s="841">
        <f t="shared" si="33"/>
        <v>5764.5220598970063</v>
      </c>
      <c r="O51" s="841">
        <f t="shared" si="33"/>
        <v>5533.7168585821346</v>
      </c>
      <c r="P51" s="841">
        <f t="shared" si="33"/>
        <v>5311.1949928025351</v>
      </c>
      <c r="Q51" s="841">
        <f t="shared" si="33"/>
        <v>5133.3486647598438</v>
      </c>
    </row>
    <row r="52" spans="1:18">
      <c r="A52" s="24" t="s">
        <v>752</v>
      </c>
      <c r="B52" s="840">
        <f t="shared" ref="B52:Q52" si="34">B12+B32</f>
        <v>6794.0025493265675</v>
      </c>
      <c r="C52" s="841">
        <f t="shared" si="34"/>
        <v>6767.9046159200643</v>
      </c>
      <c r="D52" s="841">
        <f t="shared" si="34"/>
        <v>6705.7349727063483</v>
      </c>
      <c r="E52" s="841">
        <f t="shared" si="34"/>
        <v>6643.654393426661</v>
      </c>
      <c r="F52" s="841">
        <f t="shared" si="34"/>
        <v>6612.2759999999998</v>
      </c>
      <c r="G52" s="842">
        <f t="shared" si="34"/>
        <v>6662.4617840094725</v>
      </c>
      <c r="H52" s="841">
        <f t="shared" si="34"/>
        <v>6800.9830960352228</v>
      </c>
      <c r="I52" s="841">
        <f t="shared" si="34"/>
        <v>7011.8714973112146</v>
      </c>
      <c r="J52" s="841">
        <f t="shared" si="34"/>
        <v>7269.9537330304211</v>
      </c>
      <c r="K52" s="841">
        <f t="shared" si="34"/>
        <v>7538.1585334544397</v>
      </c>
      <c r="L52" s="841">
        <f t="shared" si="34"/>
        <v>7786.6451254061067</v>
      </c>
      <c r="M52" s="841">
        <f t="shared" si="34"/>
        <v>8015.363810770159</v>
      </c>
      <c r="N52" s="841">
        <f t="shared" si="34"/>
        <v>8224.5133841548304</v>
      </c>
      <c r="O52" s="841">
        <f t="shared" si="34"/>
        <v>8385.4364244589142</v>
      </c>
      <c r="P52" s="841">
        <f t="shared" si="34"/>
        <v>8463.4476506401443</v>
      </c>
      <c r="Q52" s="841">
        <f t="shared" si="34"/>
        <v>8437.2194730529991</v>
      </c>
    </row>
    <row r="53" spans="1:18">
      <c r="A53" s="24" t="s">
        <v>753</v>
      </c>
      <c r="B53" s="840">
        <f t="shared" ref="B53:Q53" si="35">B13+B33</f>
        <v>6017.1182169012809</v>
      </c>
      <c r="C53" s="841">
        <f t="shared" si="35"/>
        <v>6092.5767431533532</v>
      </c>
      <c r="D53" s="841">
        <f t="shared" si="35"/>
        <v>6183.8123010355885</v>
      </c>
      <c r="E53" s="841">
        <f t="shared" si="35"/>
        <v>6275.2057787890881</v>
      </c>
      <c r="F53" s="841">
        <f t="shared" si="35"/>
        <v>6336.1360000000004</v>
      </c>
      <c r="G53" s="842">
        <f t="shared" si="35"/>
        <v>6367.1994456949506</v>
      </c>
      <c r="H53" s="841">
        <f t="shared" si="35"/>
        <v>6352.8874100916073</v>
      </c>
      <c r="I53" s="841">
        <f t="shared" si="35"/>
        <v>6304.5294683473103</v>
      </c>
      <c r="J53" s="841">
        <f t="shared" si="35"/>
        <v>6254.4043948302078</v>
      </c>
      <c r="K53" s="841">
        <f t="shared" si="35"/>
        <v>6247.1086809396857</v>
      </c>
      <c r="L53" s="841">
        <f t="shared" si="35"/>
        <v>6312.9934340068612</v>
      </c>
      <c r="M53" s="841">
        <f t="shared" si="35"/>
        <v>6460.6585438515831</v>
      </c>
      <c r="N53" s="841">
        <f t="shared" si="35"/>
        <v>6674.9912780809345</v>
      </c>
      <c r="O53" s="841">
        <f t="shared" si="35"/>
        <v>6932.8307665394987</v>
      </c>
      <c r="P53" s="841">
        <f t="shared" si="35"/>
        <v>7199.8659842295492</v>
      </c>
      <c r="Q53" s="841">
        <f t="shared" si="35"/>
        <v>7448.1940519981981</v>
      </c>
    </row>
    <row r="54" spans="1:18">
      <c r="A54" s="24" t="s">
        <v>754</v>
      </c>
      <c r="B54" s="840">
        <f t="shared" ref="B54:Q54" si="36">B14+B34</f>
        <v>5580.6353376077068</v>
      </c>
      <c r="C54" s="841">
        <f t="shared" si="36"/>
        <v>5713.5294315795709</v>
      </c>
      <c r="D54" s="841">
        <f t="shared" si="36"/>
        <v>5865.2608859103584</v>
      </c>
      <c r="E54" s="841">
        <f t="shared" si="36"/>
        <v>6017.497397152305</v>
      </c>
      <c r="F54" s="841">
        <f t="shared" si="36"/>
        <v>6159.5529999999999</v>
      </c>
      <c r="G54" s="842">
        <f t="shared" si="36"/>
        <v>6239.5136669176591</v>
      </c>
      <c r="H54" s="841">
        <f t="shared" si="36"/>
        <v>6271.3513092651301</v>
      </c>
      <c r="I54" s="841">
        <f t="shared" si="36"/>
        <v>6264.2810642395325</v>
      </c>
      <c r="J54" s="841">
        <f t="shared" si="36"/>
        <v>6228.2198445472977</v>
      </c>
      <c r="K54" s="841">
        <f t="shared" si="36"/>
        <v>6178.1627219408592</v>
      </c>
      <c r="L54" s="841">
        <f t="shared" si="36"/>
        <v>6127.1194246507002</v>
      </c>
      <c r="M54" s="841">
        <f t="shared" si="36"/>
        <v>6073.639782521318</v>
      </c>
      <c r="N54" s="841">
        <f t="shared" si="36"/>
        <v>6019.938463896031</v>
      </c>
      <c r="O54" s="841">
        <f t="shared" si="36"/>
        <v>5986.926700496655</v>
      </c>
      <c r="P54" s="841">
        <f t="shared" si="36"/>
        <v>6000.9568085223273</v>
      </c>
      <c r="Q54" s="841">
        <f t="shared" si="36"/>
        <v>6079.064443116773</v>
      </c>
    </row>
    <row r="55" spans="1:18">
      <c r="A55" s="24" t="s">
        <v>755</v>
      </c>
      <c r="B55" s="840">
        <f t="shared" ref="B55:Q55" si="37">B15+B35</f>
        <v>4901.3461995932466</v>
      </c>
      <c r="C55" s="841">
        <f t="shared" si="37"/>
        <v>5094.8398177671079</v>
      </c>
      <c r="D55" s="841">
        <f t="shared" si="37"/>
        <v>5284.4713717991563</v>
      </c>
      <c r="E55" s="841">
        <f t="shared" si="37"/>
        <v>5461.4738463659723</v>
      </c>
      <c r="F55" s="841">
        <f t="shared" si="37"/>
        <v>5613.79</v>
      </c>
      <c r="G55" s="842">
        <f t="shared" si="37"/>
        <v>5737.3591575690189</v>
      </c>
      <c r="H55" s="841">
        <f t="shared" si="37"/>
        <v>5828.2126637323981</v>
      </c>
      <c r="I55" s="841">
        <f t="shared" si="37"/>
        <v>5888.9718133082606</v>
      </c>
      <c r="J55" s="841">
        <f t="shared" si="37"/>
        <v>5924.232291371316</v>
      </c>
      <c r="K55" s="841">
        <f t="shared" si="37"/>
        <v>5941.1532014687018</v>
      </c>
      <c r="L55" s="841">
        <f t="shared" si="37"/>
        <v>5945.6572356737179</v>
      </c>
      <c r="M55" s="841">
        <f t="shared" si="37"/>
        <v>5941.7460863696979</v>
      </c>
      <c r="N55" s="841">
        <f t="shared" si="37"/>
        <v>5930.5231862149558</v>
      </c>
      <c r="O55" s="841">
        <f t="shared" si="37"/>
        <v>5912.0434945701218</v>
      </c>
      <c r="P55" s="841">
        <f t="shared" si="37"/>
        <v>5885.3246673301783</v>
      </c>
      <c r="Q55" s="841">
        <f t="shared" si="37"/>
        <v>5851.5743313151424</v>
      </c>
    </row>
    <row r="56" spans="1:18">
      <c r="A56" s="24" t="s">
        <v>756</v>
      </c>
      <c r="B56" s="840">
        <f t="shared" ref="B56:Q56" si="38">B16+B36</f>
        <v>4404.025338934498</v>
      </c>
      <c r="C56" s="841">
        <f t="shared" si="38"/>
        <v>4689.9010180208497</v>
      </c>
      <c r="D56" s="841">
        <f t="shared" si="38"/>
        <v>4983.7715243147541</v>
      </c>
      <c r="E56" s="841">
        <f t="shared" si="38"/>
        <v>5269.970870639374</v>
      </c>
      <c r="F56" s="841">
        <f t="shared" si="38"/>
        <v>5545.4830000000002</v>
      </c>
      <c r="G56" s="842">
        <f t="shared" si="38"/>
        <v>5769.2498436638125</v>
      </c>
      <c r="H56" s="841">
        <f t="shared" si="38"/>
        <v>5947.1293798884435</v>
      </c>
      <c r="I56" s="841">
        <f t="shared" si="38"/>
        <v>6082.60365606302</v>
      </c>
      <c r="J56" s="841">
        <f t="shared" si="38"/>
        <v>6184.945437232278</v>
      </c>
      <c r="K56" s="841">
        <f t="shared" si="38"/>
        <v>6268.7202012974303</v>
      </c>
      <c r="L56" s="841">
        <f t="shared" si="38"/>
        <v>6344.6775296565174</v>
      </c>
      <c r="M56" s="841">
        <f t="shared" si="38"/>
        <v>6416.2625893044005</v>
      </c>
      <c r="N56" s="841">
        <f t="shared" si="38"/>
        <v>6480.5087863066292</v>
      </c>
      <c r="O56" s="841">
        <f t="shared" si="38"/>
        <v>6534.3270897531529</v>
      </c>
      <c r="P56" s="841">
        <f t="shared" si="38"/>
        <v>6572.3843299342798</v>
      </c>
      <c r="Q56" s="841">
        <f t="shared" si="38"/>
        <v>6591.4884706192861</v>
      </c>
    </row>
    <row r="57" spans="1:18">
      <c r="A57" s="24" t="s">
        <v>757</v>
      </c>
      <c r="B57" s="840">
        <f t="shared" ref="B57:Q57" si="39">B17+B37</f>
        <v>3120.0778512305433</v>
      </c>
      <c r="C57" s="841">
        <f t="shared" si="39"/>
        <v>3382.8766234667287</v>
      </c>
      <c r="D57" s="841">
        <f t="shared" si="39"/>
        <v>3644.5358194959699</v>
      </c>
      <c r="E57" s="841">
        <f t="shared" si="39"/>
        <v>3902.6932529800324</v>
      </c>
      <c r="F57" s="841">
        <f t="shared" si="39"/>
        <v>4182.0469999999996</v>
      </c>
      <c r="G57" s="842">
        <f t="shared" si="39"/>
        <v>4440.2928291999542</v>
      </c>
      <c r="H57" s="841">
        <f t="shared" si="39"/>
        <v>4692.1266354887202</v>
      </c>
      <c r="I57" s="841">
        <f t="shared" si="39"/>
        <v>4933.825632042528</v>
      </c>
      <c r="J57" s="841">
        <f t="shared" si="39"/>
        <v>5161.012954151558</v>
      </c>
      <c r="K57" s="841">
        <f t="shared" si="39"/>
        <v>5368.8401330427732</v>
      </c>
      <c r="L57" s="841">
        <f t="shared" si="39"/>
        <v>5553.9834825608541</v>
      </c>
      <c r="M57" s="841">
        <f t="shared" si="39"/>
        <v>5713.9020661194209</v>
      </c>
      <c r="N57" s="841">
        <f t="shared" si="39"/>
        <v>5849.2352706958372</v>
      </c>
      <c r="O57" s="841">
        <f t="shared" si="39"/>
        <v>5963.9879309187982</v>
      </c>
      <c r="P57" s="841">
        <f t="shared" si="39"/>
        <v>6064.2279977156777</v>
      </c>
      <c r="Q57" s="841">
        <f t="shared" si="39"/>
        <v>6154.3916159677428</v>
      </c>
    </row>
    <row r="58" spans="1:18">
      <c r="A58" s="24" t="s">
        <v>758</v>
      </c>
      <c r="B58" s="840">
        <f t="shared" ref="B58:Q58" si="40">B18+B38</f>
        <v>1911.0501703188716</v>
      </c>
      <c r="C58" s="841">
        <f t="shared" si="40"/>
        <v>2055.0909784682772</v>
      </c>
      <c r="D58" s="841">
        <f t="shared" si="40"/>
        <v>2234.1805996547155</v>
      </c>
      <c r="E58" s="841">
        <f t="shared" si="40"/>
        <v>2439.9135136108243</v>
      </c>
      <c r="F58" s="841">
        <f t="shared" si="40"/>
        <v>2656.598</v>
      </c>
      <c r="G58" s="842">
        <f t="shared" si="40"/>
        <v>2876.758607096438</v>
      </c>
      <c r="H58" s="841">
        <f t="shared" si="40"/>
        <v>3094.351854135075</v>
      </c>
      <c r="I58" s="841">
        <f t="shared" si="40"/>
        <v>3310.0521021054046</v>
      </c>
      <c r="J58" s="841">
        <f t="shared" si="40"/>
        <v>3523.5469825763039</v>
      </c>
      <c r="K58" s="841">
        <f t="shared" si="40"/>
        <v>3735.9478227227069</v>
      </c>
      <c r="L58" s="841">
        <f t="shared" si="40"/>
        <v>3947.3529601033142</v>
      </c>
      <c r="M58" s="841">
        <f t="shared" si="40"/>
        <v>4157.0089966080686</v>
      </c>
      <c r="N58" s="841">
        <f t="shared" si="40"/>
        <v>4361.617305892416</v>
      </c>
      <c r="O58" s="841">
        <f t="shared" si="40"/>
        <v>4555.8880083217036</v>
      </c>
      <c r="P58" s="841">
        <f t="shared" si="40"/>
        <v>4733.2901532087617</v>
      </c>
      <c r="Q58" s="841">
        <f t="shared" si="40"/>
        <v>4889.2403653939336</v>
      </c>
    </row>
    <row r="59" spans="1:18">
      <c r="A59" s="24" t="s">
        <v>759</v>
      </c>
      <c r="B59" s="840">
        <f t="shared" ref="B59:Q59" si="41">B19+B39</f>
        <v>1308.6065742942951</v>
      </c>
      <c r="C59" s="841">
        <f t="shared" si="41"/>
        <v>1328.5868093296199</v>
      </c>
      <c r="D59" s="841">
        <f t="shared" si="41"/>
        <v>1340.3326964909161</v>
      </c>
      <c r="E59" s="841">
        <f t="shared" si="41"/>
        <v>1354.6382509312739</v>
      </c>
      <c r="F59" s="841">
        <f t="shared" si="41"/>
        <v>1340.2049999999999</v>
      </c>
      <c r="G59" s="842">
        <f t="shared" si="41"/>
        <v>1404.2956263480955</v>
      </c>
      <c r="H59" s="841">
        <f t="shared" si="41"/>
        <v>1504.9812031391589</v>
      </c>
      <c r="I59" s="841">
        <f t="shared" si="41"/>
        <v>1637.3081169043048</v>
      </c>
      <c r="J59" s="841">
        <f t="shared" si="41"/>
        <v>1792.7306758556306</v>
      </c>
      <c r="K59" s="841">
        <f t="shared" si="41"/>
        <v>1958.4502597285182</v>
      </c>
      <c r="L59" s="841">
        <f t="shared" si="41"/>
        <v>2124.6774691557075</v>
      </c>
      <c r="M59" s="841">
        <f t="shared" si="41"/>
        <v>2288.1744923995884</v>
      </c>
      <c r="N59" s="841">
        <f t="shared" si="41"/>
        <v>2450.1702880502962</v>
      </c>
      <c r="O59" s="841">
        <f t="shared" si="41"/>
        <v>2610.5353908353636</v>
      </c>
      <c r="P59" s="841">
        <f t="shared" si="41"/>
        <v>2770.3785488378817</v>
      </c>
      <c r="Q59" s="841">
        <f t="shared" si="41"/>
        <v>2929.9676188046869</v>
      </c>
    </row>
    <row r="60" spans="1:18">
      <c r="A60" s="24" t="s">
        <v>772</v>
      </c>
      <c r="B60" s="843">
        <f t="shared" ref="B60:Q60" si="42">B20+B40</f>
        <v>1651.7244621135146</v>
      </c>
      <c r="C60" s="844">
        <f t="shared" si="42"/>
        <v>1704.7449796516107</v>
      </c>
      <c r="D60" s="844">
        <f t="shared" si="42"/>
        <v>1755.1414378987006</v>
      </c>
      <c r="E60" s="844">
        <f t="shared" si="42"/>
        <v>1797.0981548122027</v>
      </c>
      <c r="F60" s="844">
        <f t="shared" si="42"/>
        <v>1669.6590000000001</v>
      </c>
      <c r="G60" s="845">
        <f t="shared" si="42"/>
        <v>1666.6322026539401</v>
      </c>
      <c r="H60" s="844">
        <f t="shared" si="42"/>
        <v>1663.9270987145119</v>
      </c>
      <c r="I60" s="844">
        <f t="shared" si="42"/>
        <v>1662.9220456574812</v>
      </c>
      <c r="J60" s="844">
        <f t="shared" si="42"/>
        <v>1667.034010892356</v>
      </c>
      <c r="K60" s="844">
        <f t="shared" si="42"/>
        <v>1680.37146501899</v>
      </c>
      <c r="L60" s="844">
        <f t="shared" si="42"/>
        <v>1705.8463662956513</v>
      </c>
      <c r="M60" s="844">
        <f t="shared" si="42"/>
        <v>1744.4510759390457</v>
      </c>
      <c r="N60" s="844">
        <f t="shared" si="42"/>
        <v>1795.7454151869556</v>
      </c>
      <c r="O60" s="844">
        <f t="shared" si="42"/>
        <v>1859.3076267008214</v>
      </c>
      <c r="P60" s="844">
        <f t="shared" si="42"/>
        <v>1934.1704714011778</v>
      </c>
      <c r="Q60" s="844">
        <f t="shared" si="42"/>
        <v>2019.5458240923699</v>
      </c>
    </row>
    <row r="61" spans="1:18">
      <c r="A61" s="25" t="s">
        <v>760</v>
      </c>
      <c r="B61" s="846">
        <f>SUM(B47:B60)</f>
        <v>45115.480800936843</v>
      </c>
      <c r="C61" s="847">
        <f t="shared" ref="C61:Q61" si="43">SUM(C47:C60)</f>
        <v>46160.425270309919</v>
      </c>
      <c r="D61" s="847">
        <f t="shared" si="43"/>
        <v>47218.063945944523</v>
      </c>
      <c r="E61" s="847">
        <f t="shared" si="43"/>
        <v>48330.886732397601</v>
      </c>
      <c r="F61" s="847">
        <f t="shared" si="43"/>
        <v>49301.911</v>
      </c>
      <c r="G61" s="847">
        <f t="shared" si="43"/>
        <v>50312.909549345088</v>
      </c>
      <c r="H61" s="846">
        <f t="shared" si="43"/>
        <v>51273.895140009081</v>
      </c>
      <c r="I61" s="847">
        <f t="shared" si="43"/>
        <v>52185.969190672673</v>
      </c>
      <c r="J61" s="847">
        <f t="shared" si="43"/>
        <v>53052.711020453389</v>
      </c>
      <c r="K61" s="847">
        <f t="shared" si="43"/>
        <v>53882.864448361746</v>
      </c>
      <c r="L61" s="847">
        <f t="shared" si="43"/>
        <v>54681.869555327983</v>
      </c>
      <c r="M61" s="847">
        <f t="shared" si="43"/>
        <v>55449.124162000393</v>
      </c>
      <c r="N61" s="847">
        <f t="shared" si="43"/>
        <v>56178.020227074237</v>
      </c>
      <c r="O61" s="847">
        <f t="shared" si="43"/>
        <v>56861.419694682249</v>
      </c>
      <c r="P61" s="847">
        <f t="shared" si="43"/>
        <v>57490.401829295261</v>
      </c>
      <c r="Q61" s="847">
        <f t="shared" si="43"/>
        <v>58059.291941771648</v>
      </c>
    </row>
    <row r="62" spans="1:18">
      <c r="A62" s="496" t="s">
        <v>725</v>
      </c>
      <c r="B62" s="228">
        <f t="shared" ref="B62:G62" si="44">SUM(B50:B58)</f>
        <v>42155.149764529029</v>
      </c>
      <c r="C62" s="228">
        <f t="shared" si="44"/>
        <v>43127.093481328688</v>
      </c>
      <c r="D62" s="228">
        <f t="shared" si="44"/>
        <v>44122.589811554906</v>
      </c>
      <c r="E62" s="228">
        <f t="shared" si="44"/>
        <v>45179.150326654126</v>
      </c>
      <c r="F62" s="228">
        <f t="shared" si="44"/>
        <v>46292.046999999999</v>
      </c>
      <c r="G62" s="228">
        <f t="shared" si="44"/>
        <v>47241.98172034305</v>
      </c>
    </row>
    <row r="63" spans="1:18">
      <c r="A63" s="496" t="s">
        <v>726</v>
      </c>
      <c r="B63" s="228">
        <f t="shared" ref="B63:G63" si="45">SUM(B50:B59)</f>
        <v>43463.756338823325</v>
      </c>
      <c r="C63" s="228">
        <f t="shared" si="45"/>
        <v>44455.680290658311</v>
      </c>
      <c r="D63" s="228">
        <f t="shared" si="45"/>
        <v>45462.92250804582</v>
      </c>
      <c r="E63" s="228">
        <f t="shared" si="45"/>
        <v>46533.788577585401</v>
      </c>
      <c r="F63" s="228">
        <f t="shared" si="45"/>
        <v>47632.252</v>
      </c>
      <c r="G63" s="228">
        <f t="shared" si="45"/>
        <v>48646.277346691146</v>
      </c>
    </row>
    <row r="64" spans="1:18">
      <c r="A64" s="496"/>
      <c r="B64" s="228"/>
      <c r="C64" s="228"/>
      <c r="D64" s="228"/>
      <c r="E64" s="228"/>
      <c r="F64" s="228"/>
      <c r="G64" s="228"/>
    </row>
    <row r="66" spans="1:17" ht="18.75">
      <c r="A66" s="16" t="s">
        <v>201</v>
      </c>
    </row>
    <row r="68" spans="1:17" ht="17.25">
      <c r="A68" s="18" t="s">
        <v>194</v>
      </c>
    </row>
    <row r="69" spans="1:17" ht="17.25">
      <c r="A69" s="18"/>
    </row>
    <row r="70" spans="1:17" ht="17.25">
      <c r="A70" s="19"/>
      <c r="B70" s="1498" t="s">
        <v>730</v>
      </c>
      <c r="C70" s="1499"/>
      <c r="D70" s="1499"/>
      <c r="E70" s="1499"/>
      <c r="F70" s="1499"/>
      <c r="G70" s="1500"/>
      <c r="H70" s="1499" t="s">
        <v>734</v>
      </c>
      <c r="I70" s="1499"/>
      <c r="J70" s="1499"/>
      <c r="K70" s="1499"/>
      <c r="L70" s="1499"/>
      <c r="M70" s="1499"/>
      <c r="N70" s="1499"/>
      <c r="O70" s="1499"/>
      <c r="P70" s="1499"/>
      <c r="Q70" s="1499"/>
    </row>
    <row r="71" spans="1:17">
      <c r="A71" s="20" t="s">
        <v>746</v>
      </c>
      <c r="B71" s="21">
        <v>2005</v>
      </c>
      <c r="C71" s="22">
        <v>2006</v>
      </c>
      <c r="D71" s="22">
        <v>2007</v>
      </c>
      <c r="E71" s="22">
        <v>2008</v>
      </c>
      <c r="F71" s="22">
        <v>2009</v>
      </c>
      <c r="G71" s="23">
        <v>2010</v>
      </c>
      <c r="H71" s="22">
        <v>2011</v>
      </c>
      <c r="I71" s="22">
        <v>2012</v>
      </c>
      <c r="J71" s="22">
        <v>2013</v>
      </c>
      <c r="K71" s="22">
        <v>2014</v>
      </c>
      <c r="L71" s="22">
        <v>2015</v>
      </c>
      <c r="M71" s="22">
        <v>2016</v>
      </c>
      <c r="N71" s="22">
        <v>2017</v>
      </c>
      <c r="O71" s="22">
        <v>2018</v>
      </c>
      <c r="P71" s="22">
        <v>2019</v>
      </c>
      <c r="Q71" s="22">
        <v>2020</v>
      </c>
    </row>
    <row r="72" spans="1:17">
      <c r="A72" s="24" t="s">
        <v>747</v>
      </c>
      <c r="B72" s="499">
        <v>0</v>
      </c>
      <c r="C72" s="500">
        <v>0</v>
      </c>
      <c r="D72" s="500">
        <v>0</v>
      </c>
      <c r="E72" s="500">
        <v>0</v>
      </c>
      <c r="F72" s="500">
        <v>0</v>
      </c>
      <c r="G72" s="500">
        <v>0</v>
      </c>
      <c r="H72" s="499">
        <v>0</v>
      </c>
      <c r="I72" s="500">
        <v>0</v>
      </c>
      <c r="J72" s="500">
        <v>0</v>
      </c>
      <c r="K72" s="500">
        <v>0</v>
      </c>
      <c r="L72" s="500">
        <v>0</v>
      </c>
      <c r="M72" s="500">
        <v>0</v>
      </c>
      <c r="N72" s="500">
        <v>0</v>
      </c>
      <c r="O72" s="500">
        <v>0</v>
      </c>
      <c r="P72" s="500">
        <v>0</v>
      </c>
      <c r="Q72" s="500">
        <v>0</v>
      </c>
    </row>
    <row r="73" spans="1:17">
      <c r="A73" s="24" t="s">
        <v>748</v>
      </c>
      <c r="B73" s="501">
        <v>0</v>
      </c>
      <c r="C73" s="502">
        <v>0</v>
      </c>
      <c r="D73" s="502">
        <v>0</v>
      </c>
      <c r="E73" s="502">
        <v>0</v>
      </c>
      <c r="F73" s="502">
        <v>0</v>
      </c>
      <c r="G73" s="502">
        <v>0</v>
      </c>
      <c r="H73" s="501">
        <v>0</v>
      </c>
      <c r="I73" s="502">
        <v>0</v>
      </c>
      <c r="J73" s="502">
        <v>0</v>
      </c>
      <c r="K73" s="502">
        <v>0</v>
      </c>
      <c r="L73" s="502">
        <v>0</v>
      </c>
      <c r="M73" s="502">
        <v>0</v>
      </c>
      <c r="N73" s="502">
        <v>0</v>
      </c>
      <c r="O73" s="502">
        <v>0</v>
      </c>
      <c r="P73" s="502">
        <v>0</v>
      </c>
      <c r="Q73" s="502">
        <v>0</v>
      </c>
    </row>
    <row r="74" spans="1:17">
      <c r="A74" s="24" t="s">
        <v>749</v>
      </c>
      <c r="B74" s="501">
        <v>0</v>
      </c>
      <c r="C74" s="502">
        <v>0</v>
      </c>
      <c r="D74" s="502">
        <v>0</v>
      </c>
      <c r="E74" s="502">
        <v>0</v>
      </c>
      <c r="F74" s="502">
        <v>0</v>
      </c>
      <c r="G74" s="502">
        <v>0</v>
      </c>
      <c r="H74" s="501">
        <v>0</v>
      </c>
      <c r="I74" s="502">
        <v>0</v>
      </c>
      <c r="J74" s="502">
        <v>0</v>
      </c>
      <c r="K74" s="502">
        <v>0</v>
      </c>
      <c r="L74" s="502">
        <v>0</v>
      </c>
      <c r="M74" s="502">
        <v>0</v>
      </c>
      <c r="N74" s="502">
        <v>0</v>
      </c>
      <c r="O74" s="502">
        <v>0</v>
      </c>
      <c r="P74" s="502">
        <v>0</v>
      </c>
      <c r="Q74" s="502">
        <v>0</v>
      </c>
    </row>
    <row r="75" spans="1:17">
      <c r="A75" s="24" t="s">
        <v>750</v>
      </c>
      <c r="B75" s="501">
        <v>1802.009</v>
      </c>
      <c r="C75" s="502">
        <v>1762.7349999999999</v>
      </c>
      <c r="D75" s="502">
        <v>1717.105</v>
      </c>
      <c r="E75" s="502">
        <v>1685.94</v>
      </c>
      <c r="F75" s="502">
        <v>1734.7619999999999</v>
      </c>
      <c r="G75" s="502">
        <v>1702.0340000000001</v>
      </c>
      <c r="H75" s="501">
        <v>1650.55</v>
      </c>
      <c r="I75" s="502">
        <v>1583.605</v>
      </c>
      <c r="J75" s="502">
        <v>1509.6220000000001</v>
      </c>
      <c r="K75" s="502">
        <v>1439.9749999999999</v>
      </c>
      <c r="L75" s="502">
        <v>1382.643</v>
      </c>
      <c r="M75" s="502">
        <v>1340.1210000000001</v>
      </c>
      <c r="N75" s="502">
        <v>1310.021</v>
      </c>
      <c r="O75" s="502">
        <v>1289.374</v>
      </c>
      <c r="P75" s="502">
        <v>1273.329</v>
      </c>
      <c r="Q75" s="502">
        <v>1258.3420000000001</v>
      </c>
    </row>
    <row r="76" spans="1:17">
      <c r="A76" s="24" t="s">
        <v>751</v>
      </c>
      <c r="B76" s="501">
        <v>2958.0540000000001</v>
      </c>
      <c r="C76" s="502">
        <v>2979.201</v>
      </c>
      <c r="D76" s="502">
        <v>3008.7449999999999</v>
      </c>
      <c r="E76" s="502">
        <v>3054.7339999999999</v>
      </c>
      <c r="F76" s="502">
        <v>3069.66</v>
      </c>
      <c r="G76" s="502">
        <v>3122.942</v>
      </c>
      <c r="H76" s="501">
        <v>3189.9969999999998</v>
      </c>
      <c r="I76" s="502">
        <v>3267.0329999999999</v>
      </c>
      <c r="J76" s="502">
        <v>3336.163</v>
      </c>
      <c r="K76" s="502">
        <v>3374.049</v>
      </c>
      <c r="L76" s="502">
        <v>3365.473</v>
      </c>
      <c r="M76" s="502">
        <v>3302.6129999999998</v>
      </c>
      <c r="N76" s="502">
        <v>3193.6280000000002</v>
      </c>
      <c r="O76" s="502">
        <v>3059.0369999999998</v>
      </c>
      <c r="P76" s="502">
        <v>2928.1460000000002</v>
      </c>
      <c r="Q76" s="502">
        <v>2822.1970000000001</v>
      </c>
    </row>
    <row r="77" spans="1:17">
      <c r="A77" s="24" t="s">
        <v>752</v>
      </c>
      <c r="B77" s="501">
        <v>3314.3290000000002</v>
      </c>
      <c r="C77" s="502">
        <v>3295.7089999999998</v>
      </c>
      <c r="D77" s="502">
        <v>3259.4639999999999</v>
      </c>
      <c r="E77" s="502">
        <v>3226.0970000000002</v>
      </c>
      <c r="F77" s="502">
        <v>3198.5279999999998</v>
      </c>
      <c r="G77" s="502">
        <v>3228.2260000000001</v>
      </c>
      <c r="H77" s="501">
        <v>3308.3519999999999</v>
      </c>
      <c r="I77" s="502">
        <v>3430.1260000000002</v>
      </c>
      <c r="J77" s="502">
        <v>3578.8539999999998</v>
      </c>
      <c r="K77" s="502">
        <v>3733.105</v>
      </c>
      <c r="L77" s="502">
        <v>3875.7660000000001</v>
      </c>
      <c r="M77" s="502">
        <v>4006.4250000000002</v>
      </c>
      <c r="N77" s="502">
        <v>4125.3540000000003</v>
      </c>
      <c r="O77" s="502">
        <v>4217.34</v>
      </c>
      <c r="P77" s="502">
        <v>4264.1540000000005</v>
      </c>
      <c r="Q77" s="502">
        <v>4254.607</v>
      </c>
    </row>
    <row r="78" spans="1:17">
      <c r="A78" s="24" t="s">
        <v>753</v>
      </c>
      <c r="B78" s="501">
        <v>3159.7559999999999</v>
      </c>
      <c r="C78" s="502">
        <v>3198.8009999999999</v>
      </c>
      <c r="D78" s="502">
        <v>3245.2950000000001</v>
      </c>
      <c r="E78" s="502">
        <v>3291.5740000000001</v>
      </c>
      <c r="F78" s="502">
        <v>3326.8249999999998</v>
      </c>
      <c r="G78" s="502">
        <v>3341.029</v>
      </c>
      <c r="H78" s="501">
        <v>3330.0569999999998</v>
      </c>
      <c r="I78" s="502">
        <v>3300.5390000000002</v>
      </c>
      <c r="J78" s="502">
        <v>3271.9780000000001</v>
      </c>
      <c r="K78" s="502">
        <v>3271.1689999999999</v>
      </c>
      <c r="L78" s="502">
        <v>3316.2620000000002</v>
      </c>
      <c r="M78" s="502">
        <v>3412.6329999999998</v>
      </c>
      <c r="N78" s="502">
        <v>3551.0329999999999</v>
      </c>
      <c r="O78" s="502">
        <v>3716.6010000000001</v>
      </c>
      <c r="P78" s="502">
        <v>3887.4450000000002</v>
      </c>
      <c r="Q78" s="502">
        <v>4045.87</v>
      </c>
    </row>
    <row r="79" spans="1:17">
      <c r="A79" s="24" t="s">
        <v>754</v>
      </c>
      <c r="B79" s="501">
        <v>2997.5309999999999</v>
      </c>
      <c r="C79" s="502">
        <v>3066.8040000000001</v>
      </c>
      <c r="D79" s="502">
        <v>3146.9209999999998</v>
      </c>
      <c r="E79" s="502">
        <v>3228.527</v>
      </c>
      <c r="F79" s="502">
        <v>3317.9029999999998</v>
      </c>
      <c r="G79" s="502">
        <v>3362.297</v>
      </c>
      <c r="H79" s="501">
        <v>3380.5250000000001</v>
      </c>
      <c r="I79" s="502">
        <v>3377.9050000000002</v>
      </c>
      <c r="J79" s="502">
        <v>3359.3719999999998</v>
      </c>
      <c r="K79" s="502">
        <v>3332.451</v>
      </c>
      <c r="L79" s="502">
        <v>3303.9690000000001</v>
      </c>
      <c r="M79" s="502">
        <v>3272.491</v>
      </c>
      <c r="N79" s="502">
        <v>3239.864</v>
      </c>
      <c r="O79" s="502">
        <v>3220.0360000000001</v>
      </c>
      <c r="P79" s="502">
        <v>3230.8130000000001</v>
      </c>
      <c r="Q79" s="502">
        <v>3283.7539999999999</v>
      </c>
    </row>
    <row r="80" spans="1:17">
      <c r="A80" s="24" t="s">
        <v>755</v>
      </c>
      <c r="B80" s="501">
        <v>2723.33</v>
      </c>
      <c r="C80" s="502">
        <v>2831.6410000000001</v>
      </c>
      <c r="D80" s="502">
        <v>2930.8789999999999</v>
      </c>
      <c r="E80" s="502">
        <v>3019.355</v>
      </c>
      <c r="F80" s="502">
        <v>3114.7840000000001</v>
      </c>
      <c r="G80" s="502">
        <v>3178.788</v>
      </c>
      <c r="H80" s="501">
        <v>3229.0920000000001</v>
      </c>
      <c r="I80" s="502">
        <v>3266.029</v>
      </c>
      <c r="J80" s="502">
        <v>3290.8209999999999</v>
      </c>
      <c r="K80" s="502">
        <v>3305.326</v>
      </c>
      <c r="L80" s="502">
        <v>3311.3119999999999</v>
      </c>
      <c r="M80" s="502">
        <v>3311.0279999999998</v>
      </c>
      <c r="N80" s="502">
        <v>3305.7640000000001</v>
      </c>
      <c r="O80" s="502">
        <v>3295.47</v>
      </c>
      <c r="P80" s="502">
        <v>3279.6</v>
      </c>
      <c r="Q80" s="502">
        <v>3259.0390000000002</v>
      </c>
    </row>
    <row r="81" spans="1:17">
      <c r="A81" s="24" t="s">
        <v>756</v>
      </c>
      <c r="B81" s="501">
        <v>2095.3150000000001</v>
      </c>
      <c r="C81" s="502">
        <v>2243.4059999999999</v>
      </c>
      <c r="D81" s="502">
        <v>2396.096</v>
      </c>
      <c r="E81" s="502">
        <v>2544.5970000000002</v>
      </c>
      <c r="F81" s="502">
        <v>2679.89</v>
      </c>
      <c r="G81" s="502">
        <v>2793.3820000000001</v>
      </c>
      <c r="H81" s="501">
        <v>2881.6390000000001</v>
      </c>
      <c r="I81" s="502">
        <v>2946.6869999999999</v>
      </c>
      <c r="J81" s="502">
        <v>2994.2249999999999</v>
      </c>
      <c r="K81" s="502">
        <v>3033.0639999999999</v>
      </c>
      <c r="L81" s="502">
        <v>3069.6529999999998</v>
      </c>
      <c r="M81" s="502">
        <v>3106.1219999999998</v>
      </c>
      <c r="N81" s="502">
        <v>3140.5819999999999</v>
      </c>
      <c r="O81" s="502">
        <v>3170.7669999999998</v>
      </c>
      <c r="P81" s="502">
        <v>3192.9169999999999</v>
      </c>
      <c r="Q81" s="502">
        <v>3204.652</v>
      </c>
    </row>
    <row r="82" spans="1:17">
      <c r="A82" s="24" t="s">
        <v>757</v>
      </c>
      <c r="B82" s="501">
        <v>1404.9369999999999</v>
      </c>
      <c r="C82" s="502">
        <v>1522.9110000000001</v>
      </c>
      <c r="D82" s="502">
        <v>1636.037</v>
      </c>
      <c r="E82" s="502">
        <v>1746.6379999999999</v>
      </c>
      <c r="F82" s="502">
        <v>1865.239</v>
      </c>
      <c r="G82" s="502">
        <v>1983.229</v>
      </c>
      <c r="H82" s="501">
        <v>2106.3159999999998</v>
      </c>
      <c r="I82" s="502">
        <v>2231.268</v>
      </c>
      <c r="J82" s="502">
        <v>2352.5819999999999</v>
      </c>
      <c r="K82" s="502">
        <v>2462.9380000000001</v>
      </c>
      <c r="L82" s="502">
        <v>2557.1779999999999</v>
      </c>
      <c r="M82" s="502">
        <v>2632.8670000000002</v>
      </c>
      <c r="N82" s="502">
        <v>2691.607</v>
      </c>
      <c r="O82" s="502">
        <v>2737.2919999999999</v>
      </c>
      <c r="P82" s="502">
        <v>2775.8910000000001</v>
      </c>
      <c r="Q82" s="502">
        <v>2811.7530000000002</v>
      </c>
    </row>
    <row r="83" spans="1:17">
      <c r="A83" s="24" t="s">
        <v>758</v>
      </c>
      <c r="B83" s="501">
        <v>775.375</v>
      </c>
      <c r="C83" s="502">
        <v>838.39499999999998</v>
      </c>
      <c r="D83" s="502">
        <v>914.83299999999997</v>
      </c>
      <c r="E83" s="502">
        <v>1001.7569999999999</v>
      </c>
      <c r="F83" s="502">
        <v>1097.0440000000001</v>
      </c>
      <c r="G83" s="502">
        <v>1190.828</v>
      </c>
      <c r="H83" s="501">
        <v>1283.559</v>
      </c>
      <c r="I83" s="502">
        <v>1375.518</v>
      </c>
      <c r="J83" s="502">
        <v>1467.799</v>
      </c>
      <c r="K83" s="502">
        <v>1562.4749999999999</v>
      </c>
      <c r="L83" s="502">
        <v>1660.5519999999999</v>
      </c>
      <c r="M83" s="502">
        <v>1762.454</v>
      </c>
      <c r="N83" s="502">
        <v>1865.9839999999999</v>
      </c>
      <c r="O83" s="502">
        <v>1966.4269999999999</v>
      </c>
      <c r="P83" s="502">
        <v>2057.59</v>
      </c>
      <c r="Q83" s="502">
        <v>2135.1260000000002</v>
      </c>
    </row>
    <row r="84" spans="1:17">
      <c r="A84" s="24" t="s">
        <v>759</v>
      </c>
      <c r="B84" s="501">
        <v>405.11599999999999</v>
      </c>
      <c r="C84" s="502">
        <v>410.75700000000001</v>
      </c>
      <c r="D84" s="502">
        <v>414.95800000000003</v>
      </c>
      <c r="E84" s="502">
        <v>421.28199999999998</v>
      </c>
      <c r="F84" s="502">
        <v>424.23700000000002</v>
      </c>
      <c r="G84" s="502">
        <v>447.363</v>
      </c>
      <c r="H84" s="501">
        <v>482.01</v>
      </c>
      <c r="I84" s="502">
        <v>526.73</v>
      </c>
      <c r="J84" s="502">
        <v>578.79399999999998</v>
      </c>
      <c r="K84" s="502">
        <v>634.15800000000002</v>
      </c>
      <c r="L84" s="502">
        <v>689.77599999999995</v>
      </c>
      <c r="M84" s="502">
        <v>744.375</v>
      </c>
      <c r="N84" s="502">
        <v>798.41300000000001</v>
      </c>
      <c r="O84" s="502">
        <v>852.59</v>
      </c>
      <c r="P84" s="502">
        <v>908.255</v>
      </c>
      <c r="Q84" s="502">
        <v>966.09400000000005</v>
      </c>
    </row>
    <row r="85" spans="1:17">
      <c r="A85" s="24" t="s">
        <v>772</v>
      </c>
      <c r="B85" s="503">
        <v>366.57799999999997</v>
      </c>
      <c r="C85" s="504">
        <v>373.38099999999997</v>
      </c>
      <c r="D85" s="504">
        <v>379.20400000000001</v>
      </c>
      <c r="E85" s="504">
        <v>384.67899999999997</v>
      </c>
      <c r="F85" s="504">
        <v>352.61799999999999</v>
      </c>
      <c r="G85" s="504">
        <v>347.37299999999999</v>
      </c>
      <c r="H85" s="503">
        <v>342.47300000000001</v>
      </c>
      <c r="I85" s="504">
        <v>338.25599999999997</v>
      </c>
      <c r="J85" s="504">
        <v>335.45100000000002</v>
      </c>
      <c r="K85" s="504">
        <v>334.89100000000002</v>
      </c>
      <c r="L85" s="504">
        <v>337.13099999999997</v>
      </c>
      <c r="M85" s="504">
        <v>342.339</v>
      </c>
      <c r="N85" s="504">
        <v>350.38400000000001</v>
      </c>
      <c r="O85" s="504">
        <v>361.11599999999999</v>
      </c>
      <c r="P85" s="504">
        <v>374.27699999999999</v>
      </c>
      <c r="Q85" s="504">
        <v>389.678</v>
      </c>
    </row>
    <row r="86" spans="1:17">
      <c r="A86" s="25" t="s">
        <v>760</v>
      </c>
      <c r="B86" s="865">
        <v>22002.329471984696</v>
      </c>
      <c r="C86" s="864">
        <v>22523.740599305103</v>
      </c>
      <c r="D86" s="864">
        <v>23049.538330952902</v>
      </c>
      <c r="E86" s="864">
        <v>23605.181475892899</v>
      </c>
      <c r="F86" s="864">
        <v>24181.490277494031</v>
      </c>
      <c r="G86" s="864">
        <v>24697.489992617677</v>
      </c>
      <c r="H86" s="864">
        <v>25184.570389072669</v>
      </c>
      <c r="I86" s="864">
        <v>25643.69643224118</v>
      </c>
      <c r="J86" s="864">
        <v>26075.661958017037</v>
      </c>
      <c r="K86" s="864">
        <v>26483.602320870054</v>
      </c>
      <c r="L86" s="864">
        <v>26869.716433102312</v>
      </c>
      <c r="M86" s="864">
        <v>27233.468439425531</v>
      </c>
      <c r="N86" s="864">
        <v>27572.634644222289</v>
      </c>
      <c r="O86" s="864">
        <v>27886.049232550879</v>
      </c>
      <c r="P86" s="864">
        <v>28172.418190774748</v>
      </c>
      <c r="Q86" s="864">
        <v>28431.112121991428</v>
      </c>
    </row>
    <row r="88" spans="1:17" ht="17.25">
      <c r="A88" s="18" t="s">
        <v>195</v>
      </c>
    </row>
    <row r="90" spans="1:17" ht="17.25">
      <c r="A90" s="19"/>
      <c r="B90" s="1498" t="s">
        <v>730</v>
      </c>
      <c r="C90" s="1499"/>
      <c r="D90" s="1499"/>
      <c r="E90" s="1499"/>
      <c r="F90" s="1499"/>
      <c r="G90" s="1500"/>
      <c r="H90" s="1499" t="s">
        <v>734</v>
      </c>
      <c r="I90" s="1499"/>
      <c r="J90" s="1499"/>
      <c r="K90" s="1499"/>
      <c r="L90" s="1499"/>
      <c r="M90" s="1499"/>
      <c r="N90" s="1499"/>
      <c r="O90" s="1499"/>
      <c r="P90" s="1499"/>
      <c r="Q90" s="1499"/>
    </row>
    <row r="91" spans="1:17">
      <c r="A91" s="20" t="s">
        <v>746</v>
      </c>
      <c r="B91" s="21">
        <v>2005</v>
      </c>
      <c r="C91" s="22">
        <v>2006</v>
      </c>
      <c r="D91" s="22">
        <v>2007</v>
      </c>
      <c r="E91" s="22">
        <v>2008</v>
      </c>
      <c r="F91" s="22">
        <v>2009</v>
      </c>
      <c r="G91" s="23">
        <v>2010</v>
      </c>
      <c r="H91" s="22">
        <v>2011</v>
      </c>
      <c r="I91" s="22">
        <v>2012</v>
      </c>
      <c r="J91" s="22">
        <v>2013</v>
      </c>
      <c r="K91" s="22">
        <v>2014</v>
      </c>
      <c r="L91" s="22">
        <v>2015</v>
      </c>
      <c r="M91" s="22">
        <v>2016</v>
      </c>
      <c r="N91" s="22">
        <v>2017</v>
      </c>
      <c r="O91" s="22">
        <v>2018</v>
      </c>
      <c r="P91" s="22">
        <v>2019</v>
      </c>
      <c r="Q91" s="22">
        <v>2020</v>
      </c>
    </row>
    <row r="92" spans="1:17">
      <c r="A92" s="24" t="s">
        <v>747</v>
      </c>
      <c r="B92" s="499">
        <v>0</v>
      </c>
      <c r="C92" s="500">
        <v>0</v>
      </c>
      <c r="D92" s="500">
        <v>0</v>
      </c>
      <c r="E92" s="500">
        <v>0</v>
      </c>
      <c r="F92" s="500">
        <v>0</v>
      </c>
      <c r="G92" s="505">
        <v>0</v>
      </c>
      <c r="H92" s="499">
        <v>0</v>
      </c>
      <c r="I92" s="500">
        <v>0</v>
      </c>
      <c r="J92" s="500">
        <v>0</v>
      </c>
      <c r="K92" s="500">
        <v>0</v>
      </c>
      <c r="L92" s="500">
        <v>0</v>
      </c>
      <c r="M92" s="500">
        <v>0</v>
      </c>
      <c r="N92" s="500">
        <v>0</v>
      </c>
      <c r="O92" s="500">
        <v>0</v>
      </c>
      <c r="P92" s="500">
        <v>0</v>
      </c>
      <c r="Q92" s="500">
        <v>0</v>
      </c>
    </row>
    <row r="93" spans="1:17">
      <c r="A93" s="24" t="s">
        <v>748</v>
      </c>
      <c r="B93" s="501">
        <v>0</v>
      </c>
      <c r="C93" s="502">
        <v>0</v>
      </c>
      <c r="D93" s="502">
        <v>0</v>
      </c>
      <c r="E93" s="502">
        <v>0</v>
      </c>
      <c r="F93" s="502">
        <v>0</v>
      </c>
      <c r="G93" s="506">
        <v>0</v>
      </c>
      <c r="H93" s="501">
        <v>0</v>
      </c>
      <c r="I93" s="502">
        <v>0</v>
      </c>
      <c r="J93" s="502">
        <v>0</v>
      </c>
      <c r="K93" s="502">
        <v>0</v>
      </c>
      <c r="L93" s="502">
        <v>0</v>
      </c>
      <c r="M93" s="502">
        <v>0</v>
      </c>
      <c r="N93" s="502">
        <v>0</v>
      </c>
      <c r="O93" s="502">
        <v>0</v>
      </c>
      <c r="P93" s="502">
        <v>0</v>
      </c>
      <c r="Q93" s="502">
        <v>0</v>
      </c>
    </row>
    <row r="94" spans="1:17">
      <c r="A94" s="24" t="s">
        <v>749</v>
      </c>
      <c r="B94" s="501">
        <v>0</v>
      </c>
      <c r="C94" s="502">
        <v>0</v>
      </c>
      <c r="D94" s="502">
        <v>0</v>
      </c>
      <c r="E94" s="502">
        <v>0</v>
      </c>
      <c r="F94" s="502">
        <v>0</v>
      </c>
      <c r="G94" s="506">
        <v>0</v>
      </c>
      <c r="H94" s="501">
        <v>0</v>
      </c>
      <c r="I94" s="502">
        <v>0</v>
      </c>
      <c r="J94" s="502">
        <v>0</v>
      </c>
      <c r="K94" s="502">
        <v>0</v>
      </c>
      <c r="L94" s="502">
        <v>0</v>
      </c>
      <c r="M94" s="502">
        <v>0</v>
      </c>
      <c r="N94" s="502">
        <v>0</v>
      </c>
      <c r="O94" s="502">
        <v>0</v>
      </c>
      <c r="P94" s="502">
        <v>0</v>
      </c>
      <c r="Q94" s="502">
        <v>0</v>
      </c>
    </row>
    <row r="95" spans="1:17">
      <c r="A95" s="24" t="s">
        <v>750</v>
      </c>
      <c r="B95" s="501">
        <v>1724.0039999999999</v>
      </c>
      <c r="C95" s="502">
        <v>1655.848</v>
      </c>
      <c r="D95" s="502">
        <v>1580.076</v>
      </c>
      <c r="E95" s="502">
        <v>1523.434</v>
      </c>
      <c r="F95" s="502">
        <v>1517.5440000000001</v>
      </c>
      <c r="G95" s="506">
        <v>1463.558</v>
      </c>
      <c r="H95" s="501">
        <v>1402.9680000000001</v>
      </c>
      <c r="I95" s="502">
        <v>1337.5250000000001</v>
      </c>
      <c r="J95" s="502">
        <v>1272.3520000000001</v>
      </c>
      <c r="K95" s="502">
        <v>1214.068</v>
      </c>
      <c r="L95" s="502">
        <v>1167.0219999999999</v>
      </c>
      <c r="M95" s="502">
        <v>1132.566</v>
      </c>
      <c r="N95" s="502">
        <v>1108.7819999999999</v>
      </c>
      <c r="O95" s="502">
        <v>1092.675</v>
      </c>
      <c r="P95" s="502">
        <v>1079.8920000000001</v>
      </c>
      <c r="Q95" s="502">
        <v>1067.3320000000001</v>
      </c>
    </row>
    <row r="96" spans="1:17">
      <c r="A96" s="24" t="s">
        <v>751</v>
      </c>
      <c r="B96" s="501">
        <v>2889.1410000000001</v>
      </c>
      <c r="C96" s="502">
        <v>2890.5569999999998</v>
      </c>
      <c r="D96" s="502">
        <v>2885.643</v>
      </c>
      <c r="E96" s="502">
        <v>2885.6550000000002</v>
      </c>
      <c r="F96" s="502">
        <v>2841.5659999999998</v>
      </c>
      <c r="G96" s="506">
        <v>2848.587</v>
      </c>
      <c r="H96" s="501">
        <v>2876.3760000000002</v>
      </c>
      <c r="I96" s="502">
        <v>2919.931</v>
      </c>
      <c r="J96" s="502">
        <v>2963.59</v>
      </c>
      <c r="K96" s="502">
        <v>2986.3040000000001</v>
      </c>
      <c r="L96" s="502">
        <v>2974.105</v>
      </c>
      <c r="M96" s="502">
        <v>2920.453</v>
      </c>
      <c r="N96" s="502">
        <v>2832.3359999999998</v>
      </c>
      <c r="O96" s="502">
        <v>2725.9259999999999</v>
      </c>
      <c r="P96" s="502">
        <v>2624.511</v>
      </c>
      <c r="Q96" s="502">
        <v>2544.848</v>
      </c>
    </row>
    <row r="97" spans="1:17">
      <c r="A97" s="24" t="s">
        <v>752</v>
      </c>
      <c r="B97" s="501">
        <v>3173.864</v>
      </c>
      <c r="C97" s="502">
        <v>3167.9929999999999</v>
      </c>
      <c r="D97" s="502">
        <v>3145.3009999999999</v>
      </c>
      <c r="E97" s="502">
        <v>3119.6080000000002</v>
      </c>
      <c r="F97" s="502">
        <v>3118.1109999999999</v>
      </c>
      <c r="G97" s="506">
        <v>3135.9569999999999</v>
      </c>
      <c r="H97" s="501">
        <v>3187.1959999999999</v>
      </c>
      <c r="I97" s="502">
        <v>3265.431</v>
      </c>
      <c r="J97" s="502">
        <v>3361.4929999999999</v>
      </c>
      <c r="K97" s="502">
        <v>3461.6559999999999</v>
      </c>
      <c r="L97" s="502">
        <v>3554.723</v>
      </c>
      <c r="M97" s="502">
        <v>3641.087</v>
      </c>
      <c r="N97" s="502">
        <v>3720.6529999999998</v>
      </c>
      <c r="O97" s="502">
        <v>3781.357</v>
      </c>
      <c r="P97" s="502">
        <v>3808.4</v>
      </c>
      <c r="Q97" s="502">
        <v>3792.6610000000001</v>
      </c>
    </row>
    <row r="98" spans="1:17">
      <c r="A98" s="24" t="s">
        <v>753</v>
      </c>
      <c r="B98" s="501">
        <v>2969.8820000000001</v>
      </c>
      <c r="C98" s="502">
        <v>3007.701</v>
      </c>
      <c r="D98" s="502">
        <v>3054.1350000000002</v>
      </c>
      <c r="E98" s="502">
        <v>3100.942</v>
      </c>
      <c r="F98" s="502">
        <v>3127.7919999999999</v>
      </c>
      <c r="G98" s="506">
        <v>3145.212</v>
      </c>
      <c r="H98" s="501">
        <v>3141.5709999999999</v>
      </c>
      <c r="I98" s="502">
        <v>3121.7869999999998</v>
      </c>
      <c r="J98" s="502">
        <v>3099.2640000000001</v>
      </c>
      <c r="K98" s="502">
        <v>3092.67</v>
      </c>
      <c r="L98" s="502">
        <v>3114.7950000000001</v>
      </c>
      <c r="M98" s="502">
        <v>3169.0320000000002</v>
      </c>
      <c r="N98" s="502">
        <v>3249.2220000000002</v>
      </c>
      <c r="O98" s="502">
        <v>3346.6060000000002</v>
      </c>
      <c r="P98" s="502">
        <v>3448.0859999999998</v>
      </c>
      <c r="Q98" s="502">
        <v>3542.9029999999998</v>
      </c>
    </row>
    <row r="99" spans="1:17">
      <c r="A99" s="24" t="s">
        <v>754</v>
      </c>
      <c r="B99" s="501">
        <v>2871.3519999999999</v>
      </c>
      <c r="C99" s="502">
        <v>2941.8150000000001</v>
      </c>
      <c r="D99" s="502">
        <v>3021.252</v>
      </c>
      <c r="E99" s="502">
        <v>3099.7440000000001</v>
      </c>
      <c r="F99" s="502">
        <v>3159.8989999999999</v>
      </c>
      <c r="G99" s="506">
        <v>3199.6109999999999</v>
      </c>
      <c r="H99" s="501">
        <v>3214.877</v>
      </c>
      <c r="I99" s="502">
        <v>3210.0740000000001</v>
      </c>
      <c r="J99" s="502">
        <v>3190.692</v>
      </c>
      <c r="K99" s="502">
        <v>3164.97</v>
      </c>
      <c r="L99" s="502">
        <v>3139.761</v>
      </c>
      <c r="M99" s="502">
        <v>3114.9679999999998</v>
      </c>
      <c r="N99" s="502">
        <v>3091.08</v>
      </c>
      <c r="O99" s="502">
        <v>3076.1689999999999</v>
      </c>
      <c r="P99" s="502">
        <v>3080.181</v>
      </c>
      <c r="Q99" s="502">
        <v>3109.498</v>
      </c>
    </row>
    <row r="100" spans="1:17">
      <c r="A100" s="24" t="s">
        <v>755</v>
      </c>
      <c r="B100" s="501">
        <v>2575.4609999999998</v>
      </c>
      <c r="C100" s="502">
        <v>2676.328</v>
      </c>
      <c r="D100" s="502">
        <v>2782.143</v>
      </c>
      <c r="E100" s="502">
        <v>2885.0940000000001</v>
      </c>
      <c r="F100" s="502">
        <v>2954.2539999999999</v>
      </c>
      <c r="G100" s="506">
        <v>3023.873</v>
      </c>
      <c r="H100" s="501">
        <v>3071.7910000000002</v>
      </c>
      <c r="I100" s="502">
        <v>3100.5169999999998</v>
      </c>
      <c r="J100" s="502">
        <v>3113.8069999999998</v>
      </c>
      <c r="K100" s="502">
        <v>3117.558</v>
      </c>
      <c r="L100" s="502">
        <v>3116.4160000000002</v>
      </c>
      <c r="M100" s="502">
        <v>3112.4580000000001</v>
      </c>
      <c r="N100" s="502">
        <v>3105.5819999999999</v>
      </c>
      <c r="O100" s="502">
        <v>3095.8980000000001</v>
      </c>
      <c r="P100" s="502">
        <v>3082.89</v>
      </c>
      <c r="Q100" s="502">
        <v>3066.9769999999999</v>
      </c>
    </row>
    <row r="101" spans="1:17">
      <c r="A101" s="24" t="s">
        <v>756</v>
      </c>
      <c r="B101" s="501">
        <v>2027.973</v>
      </c>
      <c r="C101" s="502">
        <v>2148.3820000000001</v>
      </c>
      <c r="D101" s="502">
        <v>2271.7330000000002</v>
      </c>
      <c r="E101" s="502">
        <v>2392.0529999999999</v>
      </c>
      <c r="F101" s="502">
        <v>2515.0050000000001</v>
      </c>
      <c r="G101" s="506">
        <v>2611.509</v>
      </c>
      <c r="H101" s="501">
        <v>2690.047</v>
      </c>
      <c r="I101" s="502">
        <v>2751.8789999999999</v>
      </c>
      <c r="J101" s="502">
        <v>2800.078</v>
      </c>
      <c r="K101" s="502">
        <v>2839.6019999999999</v>
      </c>
      <c r="L101" s="502">
        <v>2874.16</v>
      </c>
      <c r="M101" s="502">
        <v>2904.8820000000001</v>
      </c>
      <c r="N101" s="502">
        <v>2930.846</v>
      </c>
      <c r="O101" s="502">
        <v>2951.37</v>
      </c>
      <c r="P101" s="502">
        <v>2965.1350000000002</v>
      </c>
      <c r="Q101" s="502">
        <v>2971.4720000000002</v>
      </c>
    </row>
    <row r="102" spans="1:17">
      <c r="A102" s="24" t="s">
        <v>757</v>
      </c>
      <c r="B102" s="501">
        <v>1377.694</v>
      </c>
      <c r="C102" s="502">
        <v>1494.1289999999999</v>
      </c>
      <c r="D102" s="502">
        <v>1614.789</v>
      </c>
      <c r="E102" s="502">
        <v>1734.9369999999999</v>
      </c>
      <c r="F102" s="502">
        <v>1866.1289999999999</v>
      </c>
      <c r="G102" s="506">
        <v>1978.3</v>
      </c>
      <c r="H102" s="501">
        <v>2078.931</v>
      </c>
      <c r="I102" s="502">
        <v>2168.0749999999998</v>
      </c>
      <c r="J102" s="502">
        <v>2247.652</v>
      </c>
      <c r="K102" s="502">
        <v>2321.1239999999998</v>
      </c>
      <c r="L102" s="502">
        <v>2391.0169999999998</v>
      </c>
      <c r="M102" s="502">
        <v>2457.6170000000002</v>
      </c>
      <c r="N102" s="502">
        <v>2519.7730000000001</v>
      </c>
      <c r="O102" s="502">
        <v>2576.973</v>
      </c>
      <c r="P102" s="502">
        <v>2628.366</v>
      </c>
      <c r="Q102" s="502">
        <v>2673.346</v>
      </c>
    </row>
    <row r="103" spans="1:17">
      <c r="A103" s="24" t="s">
        <v>758</v>
      </c>
      <c r="B103" s="501">
        <v>693.05200000000002</v>
      </c>
      <c r="C103" s="502">
        <v>741.22500000000002</v>
      </c>
      <c r="D103" s="502">
        <v>802.82100000000003</v>
      </c>
      <c r="E103" s="502">
        <v>874.36699999999996</v>
      </c>
      <c r="F103" s="502">
        <v>946.40499999999997</v>
      </c>
      <c r="G103" s="506">
        <v>1022.29</v>
      </c>
      <c r="H103" s="501">
        <v>1097.2539999999999</v>
      </c>
      <c r="I103" s="502">
        <v>1171.5350000000001</v>
      </c>
      <c r="J103" s="502">
        <v>1243.9359999999999</v>
      </c>
      <c r="K103" s="502">
        <v>1313.42</v>
      </c>
      <c r="L103" s="502">
        <v>1379.165</v>
      </c>
      <c r="M103" s="502">
        <v>1440.25</v>
      </c>
      <c r="N103" s="502">
        <v>1496.241</v>
      </c>
      <c r="O103" s="502">
        <v>1547.5</v>
      </c>
      <c r="P103" s="502">
        <v>1594.8040000000001</v>
      </c>
      <c r="Q103" s="502">
        <v>1638.6990000000001</v>
      </c>
    </row>
    <row r="104" spans="1:17">
      <c r="A104" s="24" t="s">
        <v>759</v>
      </c>
      <c r="B104" s="501">
        <v>407.53199999999998</v>
      </c>
      <c r="C104" s="502">
        <v>414.27199999999999</v>
      </c>
      <c r="D104" s="502">
        <v>417.39299999999997</v>
      </c>
      <c r="E104" s="502">
        <v>420.04599999999999</v>
      </c>
      <c r="F104" s="502">
        <v>408.49299999999999</v>
      </c>
      <c r="G104" s="506">
        <v>425.32900000000001</v>
      </c>
      <c r="H104" s="501">
        <v>453.37900000000002</v>
      </c>
      <c r="I104" s="502">
        <v>491.01900000000001</v>
      </c>
      <c r="J104" s="502">
        <v>535.66700000000003</v>
      </c>
      <c r="K104" s="502">
        <v>583.41499999999996</v>
      </c>
      <c r="L104" s="502">
        <v>631.22900000000004</v>
      </c>
      <c r="M104" s="502">
        <v>678.35799999999995</v>
      </c>
      <c r="N104" s="502">
        <v>725.11099999999999</v>
      </c>
      <c r="O104" s="502">
        <v>770.74400000000003</v>
      </c>
      <c r="P104" s="502">
        <v>814.64599999999996</v>
      </c>
      <c r="Q104" s="502">
        <v>856.327</v>
      </c>
    </row>
    <row r="105" spans="1:17">
      <c r="A105" s="24" t="s">
        <v>772</v>
      </c>
      <c r="B105" s="503">
        <v>356.83499999999998</v>
      </c>
      <c r="C105" s="504">
        <v>373.66899999999998</v>
      </c>
      <c r="D105" s="504">
        <v>390.36700000000002</v>
      </c>
      <c r="E105" s="504">
        <v>403.589</v>
      </c>
      <c r="F105" s="504">
        <v>380.15100000000001</v>
      </c>
      <c r="G105" s="507">
        <v>384.45299999999997</v>
      </c>
      <c r="H105" s="503">
        <v>388.52800000000002</v>
      </c>
      <c r="I105" s="504">
        <v>392.63900000000001</v>
      </c>
      <c r="J105" s="504">
        <v>397.55599999999998</v>
      </c>
      <c r="K105" s="504">
        <v>404.25200000000001</v>
      </c>
      <c r="L105" s="504">
        <v>413.45499999999998</v>
      </c>
      <c r="M105" s="504">
        <v>425.43599999999998</v>
      </c>
      <c r="N105" s="504">
        <v>440.13600000000002</v>
      </c>
      <c r="O105" s="504">
        <v>457.52499999999998</v>
      </c>
      <c r="P105" s="504">
        <v>477.44099999999997</v>
      </c>
      <c r="Q105" s="504">
        <v>499.72899999999998</v>
      </c>
    </row>
    <row r="106" spans="1:17">
      <c r="A106" s="25" t="s">
        <v>760</v>
      </c>
      <c r="B106" s="865">
        <v>21066.790383324998</v>
      </c>
      <c r="C106" s="864">
        <v>21511.919649689698</v>
      </c>
      <c r="D106" s="864">
        <v>21965.654350418601</v>
      </c>
      <c r="E106" s="864">
        <v>22439.469288214994</v>
      </c>
      <c r="F106" s="864">
        <v>22835.348989855203</v>
      </c>
      <c r="G106" s="864">
        <v>23238.678671229369</v>
      </c>
      <c r="H106" s="864">
        <v>23602.916743430658</v>
      </c>
      <c r="I106" s="864">
        <v>23930.412257961871</v>
      </c>
      <c r="J106" s="864">
        <v>24226.085605310676</v>
      </c>
      <c r="K106" s="864">
        <v>24499.037471956621</v>
      </c>
      <c r="L106" s="864">
        <v>24755.848479205149</v>
      </c>
      <c r="M106" s="864">
        <v>24997.107244462524</v>
      </c>
      <c r="N106" s="864">
        <v>25219.761731424624</v>
      </c>
      <c r="O106" s="864">
        <v>25422.742761286925</v>
      </c>
      <c r="P106" s="864">
        <v>25604.352468958416</v>
      </c>
      <c r="Q106" s="864">
        <v>25763.79368921385</v>
      </c>
    </row>
    <row r="108" spans="1:17" ht="17.25">
      <c r="A108" s="18" t="s">
        <v>196</v>
      </c>
    </row>
    <row r="110" spans="1:17" ht="17.25">
      <c r="A110" s="19"/>
      <c r="B110" s="1498" t="s">
        <v>730</v>
      </c>
      <c r="C110" s="1499"/>
      <c r="D110" s="1499"/>
      <c r="E110" s="1499"/>
      <c r="F110" s="1499"/>
      <c r="G110" s="1500"/>
      <c r="H110" s="1499" t="s">
        <v>734</v>
      </c>
      <c r="I110" s="1499"/>
      <c r="J110" s="1499"/>
      <c r="K110" s="1499"/>
      <c r="L110" s="1499"/>
      <c r="M110" s="1499"/>
      <c r="N110" s="1499"/>
      <c r="O110" s="1499"/>
      <c r="P110" s="1499"/>
      <c r="Q110" s="1499"/>
    </row>
    <row r="111" spans="1:17">
      <c r="A111" s="20" t="s">
        <v>746</v>
      </c>
      <c r="B111" s="21">
        <v>2005</v>
      </c>
      <c r="C111" s="22">
        <v>2006</v>
      </c>
      <c r="D111" s="22">
        <v>2007</v>
      </c>
      <c r="E111" s="22">
        <v>2008</v>
      </c>
      <c r="F111" s="22">
        <v>2009</v>
      </c>
      <c r="G111" s="23">
        <v>2010</v>
      </c>
      <c r="H111" s="22">
        <v>2011</v>
      </c>
      <c r="I111" s="22">
        <v>2012</v>
      </c>
      <c r="J111" s="22">
        <v>2013</v>
      </c>
      <c r="K111" s="22">
        <v>2014</v>
      </c>
      <c r="L111" s="22">
        <v>2015</v>
      </c>
      <c r="M111" s="22">
        <v>2016</v>
      </c>
      <c r="N111" s="22">
        <v>2017</v>
      </c>
      <c r="O111" s="22">
        <v>2018</v>
      </c>
      <c r="P111" s="22">
        <v>2019</v>
      </c>
      <c r="Q111" s="22">
        <v>2020</v>
      </c>
    </row>
    <row r="112" spans="1:17">
      <c r="A112" s="24" t="s">
        <v>747</v>
      </c>
      <c r="B112" s="499">
        <f>B72+B92</f>
        <v>0</v>
      </c>
      <c r="C112" s="500">
        <f t="shared" ref="C112:Q114" si="46">C72+C92</f>
        <v>0</v>
      </c>
      <c r="D112" s="500">
        <f t="shared" si="46"/>
        <v>0</v>
      </c>
      <c r="E112" s="500">
        <f t="shared" si="46"/>
        <v>0</v>
      </c>
      <c r="F112" s="500">
        <f t="shared" si="46"/>
        <v>0</v>
      </c>
      <c r="G112" s="500">
        <f t="shared" si="46"/>
        <v>0</v>
      </c>
      <c r="H112" s="499">
        <f t="shared" si="46"/>
        <v>0</v>
      </c>
      <c r="I112" s="500">
        <f t="shared" si="46"/>
        <v>0</v>
      </c>
      <c r="J112" s="500">
        <f t="shared" si="46"/>
        <v>0</v>
      </c>
      <c r="K112" s="500">
        <f t="shared" si="46"/>
        <v>0</v>
      </c>
      <c r="L112" s="500">
        <f t="shared" si="46"/>
        <v>0</v>
      </c>
      <c r="M112" s="500">
        <f t="shared" si="46"/>
        <v>0</v>
      </c>
      <c r="N112" s="500">
        <f t="shared" si="46"/>
        <v>0</v>
      </c>
      <c r="O112" s="500">
        <f t="shared" si="46"/>
        <v>0</v>
      </c>
      <c r="P112" s="500">
        <f t="shared" si="46"/>
        <v>0</v>
      </c>
      <c r="Q112" s="500">
        <f t="shared" si="46"/>
        <v>0</v>
      </c>
    </row>
    <row r="113" spans="1:17">
      <c r="A113" s="24" t="s">
        <v>748</v>
      </c>
      <c r="B113" s="501">
        <f>B73+B93</f>
        <v>0</v>
      </c>
      <c r="C113" s="502">
        <f t="shared" si="46"/>
        <v>0</v>
      </c>
      <c r="D113" s="502">
        <f t="shared" si="46"/>
        <v>0</v>
      </c>
      <c r="E113" s="502">
        <f t="shared" si="46"/>
        <v>0</v>
      </c>
      <c r="F113" s="502">
        <f t="shared" si="46"/>
        <v>0</v>
      </c>
      <c r="G113" s="502">
        <f t="shared" si="46"/>
        <v>0</v>
      </c>
      <c r="H113" s="501">
        <f t="shared" si="46"/>
        <v>0</v>
      </c>
      <c r="I113" s="502">
        <f t="shared" si="46"/>
        <v>0</v>
      </c>
      <c r="J113" s="502">
        <f t="shared" si="46"/>
        <v>0</v>
      </c>
      <c r="K113" s="502">
        <f t="shared" si="46"/>
        <v>0</v>
      </c>
      <c r="L113" s="502">
        <f t="shared" si="46"/>
        <v>0</v>
      </c>
      <c r="M113" s="502">
        <f t="shared" si="46"/>
        <v>0</v>
      </c>
      <c r="N113" s="502">
        <f t="shared" si="46"/>
        <v>0</v>
      </c>
      <c r="O113" s="502">
        <f t="shared" si="46"/>
        <v>0</v>
      </c>
      <c r="P113" s="502">
        <f t="shared" si="46"/>
        <v>0</v>
      </c>
      <c r="Q113" s="502">
        <f t="shared" si="46"/>
        <v>0</v>
      </c>
    </row>
    <row r="114" spans="1:17">
      <c r="A114" s="24" t="s">
        <v>749</v>
      </c>
      <c r="B114" s="501">
        <f>B74+B94</f>
        <v>0</v>
      </c>
      <c r="C114" s="502">
        <f t="shared" si="46"/>
        <v>0</v>
      </c>
      <c r="D114" s="502">
        <f t="shared" si="46"/>
        <v>0</v>
      </c>
      <c r="E114" s="502">
        <f t="shared" si="46"/>
        <v>0</v>
      </c>
      <c r="F114" s="502">
        <f t="shared" si="46"/>
        <v>0</v>
      </c>
      <c r="G114" s="502">
        <f t="shared" si="46"/>
        <v>0</v>
      </c>
      <c r="H114" s="501">
        <f t="shared" si="46"/>
        <v>0</v>
      </c>
      <c r="I114" s="502">
        <f t="shared" si="46"/>
        <v>0</v>
      </c>
      <c r="J114" s="502">
        <f t="shared" si="46"/>
        <v>0</v>
      </c>
      <c r="K114" s="502">
        <f t="shared" si="46"/>
        <v>0</v>
      </c>
      <c r="L114" s="502">
        <f t="shared" si="46"/>
        <v>0</v>
      </c>
      <c r="M114" s="502">
        <f t="shared" si="46"/>
        <v>0</v>
      </c>
      <c r="N114" s="502">
        <f t="shared" si="46"/>
        <v>0</v>
      </c>
      <c r="O114" s="502">
        <f t="shared" si="46"/>
        <v>0</v>
      </c>
      <c r="P114" s="502">
        <f t="shared" si="46"/>
        <v>0</v>
      </c>
      <c r="Q114" s="502">
        <f t="shared" si="46"/>
        <v>0</v>
      </c>
    </row>
    <row r="115" spans="1:17">
      <c r="A115" s="24" t="s">
        <v>750</v>
      </c>
      <c r="B115" s="501">
        <v>3526.0129999999999</v>
      </c>
      <c r="C115" s="502">
        <v>3418.5830000000001</v>
      </c>
      <c r="D115" s="502">
        <v>3297.181</v>
      </c>
      <c r="E115" s="502">
        <v>3209.3739999999998</v>
      </c>
      <c r="F115" s="502">
        <v>3252.306</v>
      </c>
      <c r="G115" s="502">
        <v>3165.5920000000001</v>
      </c>
      <c r="H115" s="501">
        <v>3053.5169999999998</v>
      </c>
      <c r="I115" s="502">
        <v>2921.13</v>
      </c>
      <c r="J115" s="502">
        <v>2781.973</v>
      </c>
      <c r="K115" s="502">
        <v>2654.0430000000001</v>
      </c>
      <c r="L115" s="502">
        <v>2549.665</v>
      </c>
      <c r="M115" s="502">
        <v>2472.6860000000001</v>
      </c>
      <c r="N115" s="502">
        <v>2418.8040000000001</v>
      </c>
      <c r="O115" s="502">
        <v>2382.049</v>
      </c>
      <c r="P115" s="502">
        <v>2353.2199999999998</v>
      </c>
      <c r="Q115" s="502">
        <v>2325.674</v>
      </c>
    </row>
    <row r="116" spans="1:17">
      <c r="A116" s="24" t="s">
        <v>751</v>
      </c>
      <c r="B116" s="501">
        <v>5847.1949999999997</v>
      </c>
      <c r="C116" s="502">
        <v>5869.7579999999998</v>
      </c>
      <c r="D116" s="502">
        <v>5894.3890000000001</v>
      </c>
      <c r="E116" s="502">
        <v>5940.3890000000001</v>
      </c>
      <c r="F116" s="502">
        <v>5911.2250000000004</v>
      </c>
      <c r="G116" s="502">
        <v>5971.5290000000005</v>
      </c>
      <c r="H116" s="501">
        <v>6066.3729999999996</v>
      </c>
      <c r="I116" s="502">
        <v>6186.9639999999999</v>
      </c>
      <c r="J116" s="502">
        <v>6299.7529999999997</v>
      </c>
      <c r="K116" s="502">
        <v>6360.3530000000001</v>
      </c>
      <c r="L116" s="502">
        <v>6339.5780000000004</v>
      </c>
      <c r="M116" s="502">
        <v>6223.0659999999998</v>
      </c>
      <c r="N116" s="502">
        <v>6025.9639999999999</v>
      </c>
      <c r="O116" s="502">
        <v>5784.9629999999997</v>
      </c>
      <c r="P116" s="502">
        <v>5552.6570000000002</v>
      </c>
      <c r="Q116" s="502">
        <v>5367.0450000000001</v>
      </c>
    </row>
    <row r="117" spans="1:17">
      <c r="A117" s="24" t="s">
        <v>752</v>
      </c>
      <c r="B117" s="501">
        <v>6488.192</v>
      </c>
      <c r="C117" s="502">
        <v>6463.7020000000002</v>
      </c>
      <c r="D117" s="502">
        <v>6404.7650000000003</v>
      </c>
      <c r="E117" s="502">
        <v>6345.7049999999999</v>
      </c>
      <c r="F117" s="502">
        <v>6316.6390000000001</v>
      </c>
      <c r="G117" s="502">
        <v>6364.183</v>
      </c>
      <c r="H117" s="501">
        <v>6495.5479999999998</v>
      </c>
      <c r="I117" s="502">
        <v>6695.5569999999998</v>
      </c>
      <c r="J117" s="502">
        <v>6940.3469999999998</v>
      </c>
      <c r="K117" s="502">
        <v>7194.7610000000004</v>
      </c>
      <c r="L117" s="502">
        <v>7430.49</v>
      </c>
      <c r="M117" s="502">
        <v>7647.5129999999999</v>
      </c>
      <c r="N117" s="502">
        <v>7846.0069999999996</v>
      </c>
      <c r="O117" s="502">
        <v>7998.6970000000001</v>
      </c>
      <c r="P117" s="502">
        <v>8072.5540000000001</v>
      </c>
      <c r="Q117" s="502">
        <v>8047.268</v>
      </c>
    </row>
    <row r="118" spans="1:17">
      <c r="A118" s="24" t="s">
        <v>753</v>
      </c>
      <c r="B118" s="501">
        <v>6129.6379999999999</v>
      </c>
      <c r="C118" s="502">
        <v>6206.5020000000004</v>
      </c>
      <c r="D118" s="502">
        <v>6299.43</v>
      </c>
      <c r="E118" s="502">
        <v>6392.5159999999996</v>
      </c>
      <c r="F118" s="502">
        <v>6454.6170000000002</v>
      </c>
      <c r="G118" s="502">
        <v>6486.241</v>
      </c>
      <c r="H118" s="501">
        <v>6471.6270000000004</v>
      </c>
      <c r="I118" s="502">
        <v>6422.326</v>
      </c>
      <c r="J118" s="502">
        <v>6371.2420000000002</v>
      </c>
      <c r="K118" s="502">
        <v>6363.8389999999999</v>
      </c>
      <c r="L118" s="502">
        <v>6431.0569999999998</v>
      </c>
      <c r="M118" s="502">
        <v>6581.665</v>
      </c>
      <c r="N118" s="502">
        <v>6800.2550000000001</v>
      </c>
      <c r="O118" s="502">
        <v>7063.2070000000003</v>
      </c>
      <c r="P118" s="502">
        <v>7335.5309999999999</v>
      </c>
      <c r="Q118" s="502">
        <v>7588.7730000000001</v>
      </c>
    </row>
    <row r="119" spans="1:17">
      <c r="A119" s="24" t="s">
        <v>754</v>
      </c>
      <c r="B119" s="501">
        <v>5868.8819999999996</v>
      </c>
      <c r="C119" s="502">
        <v>6008.62</v>
      </c>
      <c r="D119" s="502">
        <v>6168.1729999999998</v>
      </c>
      <c r="E119" s="502">
        <v>6328.2719999999999</v>
      </c>
      <c r="F119" s="502">
        <v>6477.8019999999997</v>
      </c>
      <c r="G119" s="502">
        <v>6561.9080000000004</v>
      </c>
      <c r="H119" s="501">
        <v>6595.402</v>
      </c>
      <c r="I119" s="502">
        <v>6587.9790000000003</v>
      </c>
      <c r="J119" s="502">
        <v>6550.0640000000003</v>
      </c>
      <c r="K119" s="502">
        <v>6497.4210000000003</v>
      </c>
      <c r="L119" s="502">
        <v>6443.73</v>
      </c>
      <c r="M119" s="502">
        <v>6387.4589999999998</v>
      </c>
      <c r="N119" s="502">
        <v>6330.9430000000002</v>
      </c>
      <c r="O119" s="502">
        <v>6296.2039999999997</v>
      </c>
      <c r="P119" s="502">
        <v>6310.9939999999997</v>
      </c>
      <c r="Q119" s="502">
        <v>6393.2520000000004</v>
      </c>
    </row>
    <row r="120" spans="1:17">
      <c r="A120" s="24" t="s">
        <v>755</v>
      </c>
      <c r="B120" s="501">
        <v>5298.7910000000002</v>
      </c>
      <c r="C120" s="502">
        <v>5507.9690000000001</v>
      </c>
      <c r="D120" s="502">
        <v>5713.0219999999999</v>
      </c>
      <c r="E120" s="502">
        <v>5904.4489999999996</v>
      </c>
      <c r="F120" s="502">
        <v>6069.0370000000003</v>
      </c>
      <c r="G120" s="502">
        <v>6202.6610000000001</v>
      </c>
      <c r="H120" s="501">
        <v>6300.8829999999998</v>
      </c>
      <c r="I120" s="502">
        <v>6366.5460000000003</v>
      </c>
      <c r="J120" s="502">
        <v>6404.6279999999997</v>
      </c>
      <c r="K120" s="502">
        <v>6422.884</v>
      </c>
      <c r="L120" s="502">
        <v>6427.7290000000003</v>
      </c>
      <c r="M120" s="502">
        <v>6423.4859999999999</v>
      </c>
      <c r="N120" s="502">
        <v>6411.3450000000003</v>
      </c>
      <c r="O120" s="502">
        <v>6391.3680000000004</v>
      </c>
      <c r="P120" s="502">
        <v>6362.49</v>
      </c>
      <c r="Q120" s="502">
        <v>6326.0159999999996</v>
      </c>
    </row>
    <row r="121" spans="1:17">
      <c r="A121" s="24" t="s">
        <v>756</v>
      </c>
      <c r="B121" s="501">
        <v>4123.2879999999996</v>
      </c>
      <c r="C121" s="502">
        <v>4391.7870000000003</v>
      </c>
      <c r="D121" s="502">
        <v>4667.83</v>
      </c>
      <c r="E121" s="502">
        <v>4936.6509999999998</v>
      </c>
      <c r="F121" s="502">
        <v>5194.8950000000004</v>
      </c>
      <c r="G121" s="502">
        <v>5404.89</v>
      </c>
      <c r="H121" s="501">
        <v>5571.6859999999997</v>
      </c>
      <c r="I121" s="502">
        <v>5698.5659999999998</v>
      </c>
      <c r="J121" s="502">
        <v>5794.3029999999999</v>
      </c>
      <c r="K121" s="502">
        <v>5872.6660000000002</v>
      </c>
      <c r="L121" s="502">
        <v>5943.8130000000001</v>
      </c>
      <c r="M121" s="502">
        <v>6011.0039999999999</v>
      </c>
      <c r="N121" s="502">
        <v>6071.4279999999999</v>
      </c>
      <c r="O121" s="502">
        <v>6122.1369999999997</v>
      </c>
      <c r="P121" s="502">
        <v>6158.0519999999997</v>
      </c>
      <c r="Q121" s="502">
        <v>6176.125</v>
      </c>
    </row>
    <row r="122" spans="1:17">
      <c r="A122" s="24" t="s">
        <v>757</v>
      </c>
      <c r="B122" s="501">
        <v>2782.6309999999999</v>
      </c>
      <c r="C122" s="502">
        <v>3017.04</v>
      </c>
      <c r="D122" s="502">
        <v>3250.8270000000002</v>
      </c>
      <c r="E122" s="502">
        <v>3481.5740000000001</v>
      </c>
      <c r="F122" s="502">
        <v>3731.3679999999999</v>
      </c>
      <c r="G122" s="502">
        <v>3961.529</v>
      </c>
      <c r="H122" s="501">
        <v>4185.2470000000003</v>
      </c>
      <c r="I122" s="502">
        <v>4399.3429999999998</v>
      </c>
      <c r="J122" s="502">
        <v>4600.2349999999997</v>
      </c>
      <c r="K122" s="502">
        <v>4784.0619999999999</v>
      </c>
      <c r="L122" s="502">
        <v>4948.1949999999997</v>
      </c>
      <c r="M122" s="502">
        <v>5090.4830000000002</v>
      </c>
      <c r="N122" s="502">
        <v>5211.38</v>
      </c>
      <c r="O122" s="502">
        <v>5314.2650000000003</v>
      </c>
      <c r="P122" s="502">
        <v>5404.2569999999996</v>
      </c>
      <c r="Q122" s="502">
        <v>5485.0990000000002</v>
      </c>
    </row>
    <row r="123" spans="1:17">
      <c r="A123" s="24" t="s">
        <v>758</v>
      </c>
      <c r="B123" s="501">
        <v>1468.4269999999999</v>
      </c>
      <c r="C123" s="502">
        <v>1579.62</v>
      </c>
      <c r="D123" s="502">
        <v>1717.654</v>
      </c>
      <c r="E123" s="502">
        <v>1876.125</v>
      </c>
      <c r="F123" s="502">
        <v>2043.45</v>
      </c>
      <c r="G123" s="502">
        <v>2213.1179999999999</v>
      </c>
      <c r="H123" s="501">
        <v>2380.8130000000001</v>
      </c>
      <c r="I123" s="502">
        <v>2547.0529999999999</v>
      </c>
      <c r="J123" s="502">
        <v>2711.7350000000001</v>
      </c>
      <c r="K123" s="502">
        <v>2875.895</v>
      </c>
      <c r="L123" s="502">
        <v>3039.7170000000001</v>
      </c>
      <c r="M123" s="502">
        <v>3202.7049999999999</v>
      </c>
      <c r="N123" s="502">
        <v>3362.2260000000001</v>
      </c>
      <c r="O123" s="502">
        <v>3513.9270000000001</v>
      </c>
      <c r="P123" s="502">
        <v>3652.395</v>
      </c>
      <c r="Q123" s="502">
        <v>3773.826</v>
      </c>
    </row>
    <row r="124" spans="1:17">
      <c r="A124" s="24" t="s">
        <v>759</v>
      </c>
      <c r="B124" s="501">
        <v>812.64800000000002</v>
      </c>
      <c r="C124" s="502">
        <v>825.029</v>
      </c>
      <c r="D124" s="502">
        <v>832.351</v>
      </c>
      <c r="E124" s="502">
        <v>841.32799999999997</v>
      </c>
      <c r="F124" s="502">
        <v>832.73</v>
      </c>
      <c r="G124" s="502">
        <v>872.69299999999998</v>
      </c>
      <c r="H124" s="501">
        <v>935.39</v>
      </c>
      <c r="I124" s="502">
        <v>1017.749</v>
      </c>
      <c r="J124" s="502">
        <v>1114.461</v>
      </c>
      <c r="K124" s="502">
        <v>1217.5730000000001</v>
      </c>
      <c r="L124" s="502">
        <v>1321.0050000000001</v>
      </c>
      <c r="M124" s="502">
        <v>1422.7329999999999</v>
      </c>
      <c r="N124" s="502">
        <v>1523.5239999999999</v>
      </c>
      <c r="O124" s="502">
        <v>1623.3340000000001</v>
      </c>
      <c r="P124" s="502">
        <v>1722.9010000000001</v>
      </c>
      <c r="Q124" s="502">
        <v>1822.421</v>
      </c>
    </row>
    <row r="125" spans="1:17">
      <c r="A125" s="24" t="s">
        <v>772</v>
      </c>
      <c r="B125" s="503">
        <v>723.41300000000001</v>
      </c>
      <c r="C125" s="504">
        <v>747.05</v>
      </c>
      <c r="D125" s="504">
        <v>769.57100000000003</v>
      </c>
      <c r="E125" s="504">
        <v>788.26800000000003</v>
      </c>
      <c r="F125" s="504">
        <v>732.76900000000001</v>
      </c>
      <c r="G125" s="504">
        <v>731.82500000000005</v>
      </c>
      <c r="H125" s="503">
        <v>731.00099999999998</v>
      </c>
      <c r="I125" s="504">
        <v>730.89499999999998</v>
      </c>
      <c r="J125" s="504">
        <v>733.00599999999997</v>
      </c>
      <c r="K125" s="504">
        <v>739.14300000000003</v>
      </c>
      <c r="L125" s="504">
        <v>750.58500000000004</v>
      </c>
      <c r="M125" s="504">
        <v>767.77499999999998</v>
      </c>
      <c r="N125" s="504">
        <v>790.52099999999996</v>
      </c>
      <c r="O125" s="504">
        <v>818.64099999999996</v>
      </c>
      <c r="P125" s="504">
        <v>851.71799999999996</v>
      </c>
      <c r="Q125" s="504">
        <v>889.40800000000002</v>
      </c>
    </row>
    <row r="126" spans="1:17">
      <c r="A126" s="25" t="s">
        <v>760</v>
      </c>
      <c r="B126" s="865">
        <f>SUM(B112:B125)</f>
        <v>43069.118000000002</v>
      </c>
      <c r="C126" s="864">
        <f t="shared" ref="C126:Q126" si="47">SUM(C112:C125)</f>
        <v>44035.660000000011</v>
      </c>
      <c r="D126" s="864">
        <f t="shared" si="47"/>
        <v>45015.193000000007</v>
      </c>
      <c r="E126" s="864">
        <f t="shared" si="47"/>
        <v>46044.650999999998</v>
      </c>
      <c r="F126" s="864">
        <f t="shared" si="47"/>
        <v>47016.838000000011</v>
      </c>
      <c r="G126" s="864">
        <f t="shared" si="47"/>
        <v>47936.169000000002</v>
      </c>
      <c r="H126" s="864">
        <f t="shared" si="47"/>
        <v>48787.487000000001</v>
      </c>
      <c r="I126" s="864">
        <f t="shared" si="47"/>
        <v>49574.108</v>
      </c>
      <c r="J126" s="864">
        <f t="shared" si="47"/>
        <v>50301.747000000003</v>
      </c>
      <c r="K126" s="864">
        <f t="shared" si="47"/>
        <v>50982.639999999985</v>
      </c>
      <c r="L126" s="864">
        <f t="shared" si="47"/>
        <v>51625.563999999998</v>
      </c>
      <c r="M126" s="864">
        <f t="shared" si="47"/>
        <v>52230.575000000004</v>
      </c>
      <c r="N126" s="864">
        <f t="shared" si="47"/>
        <v>52792.396999999997</v>
      </c>
      <c r="O126" s="864">
        <f t="shared" si="47"/>
        <v>53308.792000000009</v>
      </c>
      <c r="P126" s="864">
        <f t="shared" si="47"/>
        <v>53776.768999999986</v>
      </c>
      <c r="Q126" s="864">
        <f t="shared" si="47"/>
        <v>54194.907000000014</v>
      </c>
    </row>
    <row r="127" spans="1:17" ht="15.75" thickBot="1"/>
    <row r="128" spans="1:17" ht="15.75" thickTop="1">
      <c r="A128" s="26"/>
      <c r="B128" s="26"/>
      <c r="C128" s="26"/>
      <c r="D128" s="26"/>
      <c r="E128" s="26"/>
      <c r="F128" s="26"/>
      <c r="G128" s="26"/>
      <c r="H128" s="26"/>
      <c r="I128" s="26"/>
      <c r="J128" s="26"/>
      <c r="K128" s="26"/>
      <c r="L128" s="26"/>
      <c r="M128" s="26"/>
      <c r="N128" s="26"/>
      <c r="O128" s="26"/>
      <c r="P128" s="26"/>
      <c r="Q128" s="26"/>
    </row>
    <row r="130" spans="1:17" ht="18.75">
      <c r="A130" s="16" t="s">
        <v>197</v>
      </c>
    </row>
    <row r="132" spans="1:17" ht="17.25">
      <c r="A132" s="18" t="s">
        <v>198</v>
      </c>
    </row>
    <row r="133" spans="1:17" ht="17.25">
      <c r="A133" s="18"/>
    </row>
    <row r="134" spans="1:17" ht="17.25">
      <c r="A134" s="19"/>
      <c r="B134" s="1498" t="s">
        <v>730</v>
      </c>
      <c r="C134" s="1499"/>
      <c r="D134" s="1499"/>
      <c r="E134" s="1499"/>
      <c r="F134" s="1499"/>
      <c r="G134" s="1500"/>
      <c r="H134" s="1499" t="s">
        <v>734</v>
      </c>
      <c r="I134" s="1499"/>
      <c r="J134" s="1499"/>
      <c r="K134" s="1499"/>
      <c r="L134" s="1499"/>
      <c r="M134" s="1499"/>
      <c r="N134" s="1499"/>
      <c r="O134" s="1499"/>
      <c r="P134" s="1499"/>
      <c r="Q134" s="1499"/>
    </row>
    <row r="135" spans="1:17">
      <c r="A135" s="20" t="s">
        <v>746</v>
      </c>
      <c r="B135" s="21">
        <v>2005</v>
      </c>
      <c r="C135" s="22">
        <v>2006</v>
      </c>
      <c r="D135" s="22">
        <v>2007</v>
      </c>
      <c r="E135" s="22">
        <v>2008</v>
      </c>
      <c r="F135" s="22">
        <v>2009</v>
      </c>
      <c r="G135" s="23">
        <v>2010</v>
      </c>
      <c r="H135" s="22">
        <v>2011</v>
      </c>
      <c r="I135" s="22">
        <v>2012</v>
      </c>
      <c r="J135" s="22">
        <v>2013</v>
      </c>
      <c r="K135" s="22">
        <v>2014</v>
      </c>
      <c r="L135" s="22">
        <v>2015</v>
      </c>
      <c r="M135" s="22">
        <v>2016</v>
      </c>
      <c r="N135" s="22">
        <v>2017</v>
      </c>
      <c r="O135" s="22">
        <v>2018</v>
      </c>
      <c r="P135" s="22">
        <v>2019</v>
      </c>
      <c r="Q135" s="22">
        <v>2020</v>
      </c>
    </row>
    <row r="136" spans="1:17">
      <c r="A136" s="24" t="s">
        <v>747</v>
      </c>
      <c r="B136" s="866"/>
      <c r="C136" s="867">
        <f>IF(B72=0,0,(C72/B72))</f>
        <v>0</v>
      </c>
      <c r="D136" s="867">
        <f t="shared" ref="D136:Q136" si="48">IF(C72=0,0,(D72/C72))</f>
        <v>0</v>
      </c>
      <c r="E136" s="867">
        <f t="shared" si="48"/>
        <v>0</v>
      </c>
      <c r="F136" s="867">
        <f t="shared" si="48"/>
        <v>0</v>
      </c>
      <c r="G136" s="867">
        <f t="shared" si="48"/>
        <v>0</v>
      </c>
      <c r="H136" s="867">
        <f t="shared" si="48"/>
        <v>0</v>
      </c>
      <c r="I136" s="867">
        <f t="shared" si="48"/>
        <v>0</v>
      </c>
      <c r="J136" s="867">
        <f t="shared" si="48"/>
        <v>0</v>
      </c>
      <c r="K136" s="867">
        <f t="shared" si="48"/>
        <v>0</v>
      </c>
      <c r="L136" s="867">
        <f t="shared" si="48"/>
        <v>0</v>
      </c>
      <c r="M136" s="867">
        <f t="shared" si="48"/>
        <v>0</v>
      </c>
      <c r="N136" s="867">
        <f t="shared" si="48"/>
        <v>0</v>
      </c>
      <c r="O136" s="867">
        <f t="shared" si="48"/>
        <v>0</v>
      </c>
      <c r="P136" s="867">
        <f t="shared" si="48"/>
        <v>0</v>
      </c>
      <c r="Q136" s="868">
        <f t="shared" si="48"/>
        <v>0</v>
      </c>
    </row>
    <row r="137" spans="1:17">
      <c r="A137" s="24" t="s">
        <v>748</v>
      </c>
      <c r="B137" s="869"/>
      <c r="C137" s="870">
        <f t="shared" ref="C137:Q147" si="49">IF(B73=0,0,(C73/B73))</f>
        <v>0</v>
      </c>
      <c r="D137" s="870">
        <f t="shared" si="49"/>
        <v>0</v>
      </c>
      <c r="E137" s="870">
        <f t="shared" si="49"/>
        <v>0</v>
      </c>
      <c r="F137" s="870">
        <f t="shared" si="49"/>
        <v>0</v>
      </c>
      <c r="G137" s="870">
        <f t="shared" si="49"/>
        <v>0</v>
      </c>
      <c r="H137" s="870">
        <f t="shared" si="49"/>
        <v>0</v>
      </c>
      <c r="I137" s="870">
        <f t="shared" si="49"/>
        <v>0</v>
      </c>
      <c r="J137" s="870">
        <f t="shared" si="49"/>
        <v>0</v>
      </c>
      <c r="K137" s="870">
        <f t="shared" si="49"/>
        <v>0</v>
      </c>
      <c r="L137" s="870">
        <f t="shared" si="49"/>
        <v>0</v>
      </c>
      <c r="M137" s="870">
        <f t="shared" si="49"/>
        <v>0</v>
      </c>
      <c r="N137" s="870">
        <f t="shared" si="49"/>
        <v>0</v>
      </c>
      <c r="O137" s="870">
        <f t="shared" si="49"/>
        <v>0</v>
      </c>
      <c r="P137" s="870">
        <f t="shared" si="49"/>
        <v>0</v>
      </c>
      <c r="Q137" s="871">
        <f t="shared" si="49"/>
        <v>0</v>
      </c>
    </row>
    <row r="138" spans="1:17">
      <c r="A138" s="24" t="s">
        <v>749</v>
      </c>
      <c r="B138" s="869"/>
      <c r="C138" s="870">
        <f t="shared" si="49"/>
        <v>0</v>
      </c>
      <c r="D138" s="870">
        <f t="shared" si="49"/>
        <v>0</v>
      </c>
      <c r="E138" s="870">
        <f t="shared" si="49"/>
        <v>0</v>
      </c>
      <c r="F138" s="870">
        <f t="shared" si="49"/>
        <v>0</v>
      </c>
      <c r="G138" s="870">
        <f t="shared" si="49"/>
        <v>0</v>
      </c>
      <c r="H138" s="870">
        <f t="shared" si="49"/>
        <v>0</v>
      </c>
      <c r="I138" s="870">
        <f t="shared" si="49"/>
        <v>0</v>
      </c>
      <c r="J138" s="870">
        <f t="shared" si="49"/>
        <v>0</v>
      </c>
      <c r="K138" s="870">
        <f t="shared" si="49"/>
        <v>0</v>
      </c>
      <c r="L138" s="870">
        <f t="shared" si="49"/>
        <v>0</v>
      </c>
      <c r="M138" s="870">
        <f t="shared" si="49"/>
        <v>0</v>
      </c>
      <c r="N138" s="870">
        <f t="shared" si="49"/>
        <v>0</v>
      </c>
      <c r="O138" s="870">
        <f t="shared" si="49"/>
        <v>0</v>
      </c>
      <c r="P138" s="870">
        <f t="shared" si="49"/>
        <v>0</v>
      </c>
      <c r="Q138" s="871">
        <f t="shared" si="49"/>
        <v>0</v>
      </c>
    </row>
    <row r="139" spans="1:17">
      <c r="A139" s="24" t="s">
        <v>750</v>
      </c>
      <c r="B139" s="869"/>
      <c r="C139" s="870">
        <f t="shared" si="49"/>
        <v>0.97820543626585654</v>
      </c>
      <c r="D139" s="870">
        <f t="shared" si="49"/>
        <v>0.97411408975257208</v>
      </c>
      <c r="E139" s="870">
        <f t="shared" si="49"/>
        <v>0.98185026541766518</v>
      </c>
      <c r="F139" s="870">
        <f t="shared" si="49"/>
        <v>1.0289583259190718</v>
      </c>
      <c r="G139" s="870">
        <f t="shared" si="49"/>
        <v>0.98113401146670276</v>
      </c>
      <c r="H139" s="870">
        <f t="shared" si="49"/>
        <v>0.96975148557549373</v>
      </c>
      <c r="I139" s="870">
        <f t="shared" si="49"/>
        <v>0.95944079246311842</v>
      </c>
      <c r="J139" s="870">
        <f t="shared" si="49"/>
        <v>0.95328191057744838</v>
      </c>
      <c r="K139" s="870">
        <f t="shared" si="49"/>
        <v>0.953864609816232</v>
      </c>
      <c r="L139" s="870">
        <f t="shared" si="49"/>
        <v>0.960185419885762</v>
      </c>
      <c r="M139" s="870">
        <f t="shared" si="49"/>
        <v>0.96924585739051949</v>
      </c>
      <c r="N139" s="870">
        <f t="shared" si="49"/>
        <v>0.97753934159676614</v>
      </c>
      <c r="O139" s="870">
        <f t="shared" si="49"/>
        <v>0.98423918395201304</v>
      </c>
      <c r="P139" s="870">
        <f t="shared" si="49"/>
        <v>0.98755597677632712</v>
      </c>
      <c r="Q139" s="871">
        <f t="shared" si="49"/>
        <v>0.98823006465728824</v>
      </c>
    </row>
    <row r="140" spans="1:17">
      <c r="A140" s="24" t="s">
        <v>751</v>
      </c>
      <c r="B140" s="869"/>
      <c r="C140" s="870">
        <f t="shared" si="49"/>
        <v>1.0071489567127578</v>
      </c>
      <c r="D140" s="870">
        <f t="shared" si="49"/>
        <v>1.0099167528474917</v>
      </c>
      <c r="E140" s="870">
        <f t="shared" si="49"/>
        <v>1.015285110569357</v>
      </c>
      <c r="F140" s="870">
        <f t="shared" si="49"/>
        <v>1.0048861864895602</v>
      </c>
      <c r="G140" s="870">
        <f t="shared" si="49"/>
        <v>1.0173576226683085</v>
      </c>
      <c r="H140" s="870">
        <f t="shared" si="49"/>
        <v>1.0214717404293772</v>
      </c>
      <c r="I140" s="870">
        <f t="shared" si="49"/>
        <v>1.0241492390118236</v>
      </c>
      <c r="J140" s="870">
        <f t="shared" si="49"/>
        <v>1.0211598719694597</v>
      </c>
      <c r="K140" s="870">
        <f t="shared" si="49"/>
        <v>1.011356159755983</v>
      </c>
      <c r="L140" s="870">
        <f t="shared" si="49"/>
        <v>0.99745824675338146</v>
      </c>
      <c r="M140" s="870">
        <f t="shared" si="49"/>
        <v>0.98132209053526798</v>
      </c>
      <c r="N140" s="870">
        <f t="shared" si="49"/>
        <v>0.96700037212958356</v>
      </c>
      <c r="O140" s="870">
        <f t="shared" si="49"/>
        <v>0.95785639404464129</v>
      </c>
      <c r="P140" s="870">
        <f t="shared" si="49"/>
        <v>0.9572116976682532</v>
      </c>
      <c r="Q140" s="871">
        <f t="shared" si="49"/>
        <v>0.96381703644558703</v>
      </c>
    </row>
    <row r="141" spans="1:17">
      <c r="A141" s="24" t="s">
        <v>752</v>
      </c>
      <c r="B141" s="869"/>
      <c r="C141" s="870">
        <f t="shared" si="49"/>
        <v>0.99438196992513406</v>
      </c>
      <c r="D141" s="870">
        <f t="shared" si="49"/>
        <v>0.98900236641038397</v>
      </c>
      <c r="E141" s="870">
        <f t="shared" si="49"/>
        <v>0.98976304079443744</v>
      </c>
      <c r="F141" s="870">
        <f t="shared" si="49"/>
        <v>0.99145437970401995</v>
      </c>
      <c r="G141" s="870">
        <f t="shared" si="49"/>
        <v>1.0092848960521841</v>
      </c>
      <c r="H141" s="870">
        <f t="shared" si="49"/>
        <v>1.0248204431783896</v>
      </c>
      <c r="I141" s="870">
        <f t="shared" si="49"/>
        <v>1.0368080542820113</v>
      </c>
      <c r="J141" s="870">
        <f t="shared" si="49"/>
        <v>1.043359340152519</v>
      </c>
      <c r="K141" s="870">
        <f t="shared" si="49"/>
        <v>1.0431006685380293</v>
      </c>
      <c r="L141" s="870">
        <f t="shared" si="49"/>
        <v>1.0382151051202686</v>
      </c>
      <c r="M141" s="870">
        <f t="shared" si="49"/>
        <v>1.0337117875537378</v>
      </c>
      <c r="N141" s="870">
        <f t="shared" si="49"/>
        <v>1.0296845691607854</v>
      </c>
      <c r="O141" s="870">
        <f t="shared" si="49"/>
        <v>1.0222977228136059</v>
      </c>
      <c r="P141" s="870">
        <f t="shared" si="49"/>
        <v>1.0111003618394534</v>
      </c>
      <c r="Q141" s="871">
        <f t="shared" si="49"/>
        <v>0.99776110337478419</v>
      </c>
    </row>
    <row r="142" spans="1:17">
      <c r="A142" s="24" t="s">
        <v>753</v>
      </c>
      <c r="B142" s="869"/>
      <c r="C142" s="870">
        <f t="shared" si="49"/>
        <v>1.012356966803766</v>
      </c>
      <c r="D142" s="870">
        <f t="shared" si="49"/>
        <v>1.0145348210157494</v>
      </c>
      <c r="E142" s="870">
        <f t="shared" si="49"/>
        <v>1.0142603368877097</v>
      </c>
      <c r="F142" s="870">
        <f t="shared" si="49"/>
        <v>1.0107094660487657</v>
      </c>
      <c r="G142" s="870">
        <f t="shared" si="49"/>
        <v>1.0042695362695664</v>
      </c>
      <c r="H142" s="870">
        <f t="shared" si="49"/>
        <v>0.99671598181278875</v>
      </c>
      <c r="I142" s="870">
        <f t="shared" si="49"/>
        <v>0.99113588746378833</v>
      </c>
      <c r="J142" s="870">
        <f t="shared" si="49"/>
        <v>0.99134656490954953</v>
      </c>
      <c r="K142" s="870">
        <f t="shared" si="49"/>
        <v>0.99975274894880095</v>
      </c>
      <c r="L142" s="870">
        <f t="shared" si="49"/>
        <v>1.0137849802318377</v>
      </c>
      <c r="M142" s="870">
        <f t="shared" si="49"/>
        <v>1.0290601285423164</v>
      </c>
      <c r="N142" s="870">
        <f t="shared" si="49"/>
        <v>1.0405551959440116</v>
      </c>
      <c r="O142" s="870">
        <f t="shared" si="49"/>
        <v>1.0466253059321049</v>
      </c>
      <c r="P142" s="870">
        <f t="shared" si="49"/>
        <v>1.045967807682342</v>
      </c>
      <c r="Q142" s="871">
        <f t="shared" si="49"/>
        <v>1.0407529881451698</v>
      </c>
    </row>
    <row r="143" spans="1:17">
      <c r="A143" s="24" t="s">
        <v>754</v>
      </c>
      <c r="B143" s="869"/>
      <c r="C143" s="870">
        <f t="shared" si="49"/>
        <v>1.0231100195460865</v>
      </c>
      <c r="D143" s="870">
        <f t="shared" si="49"/>
        <v>1.0261239387975234</v>
      </c>
      <c r="E143" s="870">
        <f t="shared" si="49"/>
        <v>1.0259320141814809</v>
      </c>
      <c r="F143" s="870">
        <f t="shared" si="49"/>
        <v>1.0276832128088134</v>
      </c>
      <c r="G143" s="870">
        <f t="shared" si="49"/>
        <v>1.013380137996801</v>
      </c>
      <c r="H143" s="870">
        <f t="shared" si="49"/>
        <v>1.0054212938357319</v>
      </c>
      <c r="I143" s="870">
        <f t="shared" si="49"/>
        <v>0.99922497245250375</v>
      </c>
      <c r="J143" s="870">
        <f t="shared" si="49"/>
        <v>0.99451346322646716</v>
      </c>
      <c r="K143" s="870">
        <f t="shared" si="49"/>
        <v>0.9919862998203236</v>
      </c>
      <c r="L143" s="870">
        <f t="shared" si="49"/>
        <v>0.99145313764553478</v>
      </c>
      <c r="M143" s="870">
        <f t="shared" si="49"/>
        <v>0.99047267089975721</v>
      </c>
      <c r="N143" s="870">
        <f t="shared" si="49"/>
        <v>0.99002991910443761</v>
      </c>
      <c r="O143" s="870">
        <f t="shared" si="49"/>
        <v>0.99387999002427263</v>
      </c>
      <c r="P143" s="870">
        <f t="shared" si="49"/>
        <v>1.003346856991661</v>
      </c>
      <c r="Q143" s="871">
        <f t="shared" si="49"/>
        <v>1.016386278004948</v>
      </c>
    </row>
    <row r="144" spans="1:17">
      <c r="A144" s="24" t="s">
        <v>755</v>
      </c>
      <c r="B144" s="869"/>
      <c r="C144" s="870">
        <f t="shared" si="49"/>
        <v>1.0397715297081147</v>
      </c>
      <c r="D144" s="870">
        <f t="shared" si="49"/>
        <v>1.0350461093055228</v>
      </c>
      <c r="E144" s="870">
        <f t="shared" si="49"/>
        <v>1.0301875307714854</v>
      </c>
      <c r="F144" s="870">
        <f t="shared" si="49"/>
        <v>1.031605756858667</v>
      </c>
      <c r="G144" s="870">
        <f t="shared" si="49"/>
        <v>1.0205484553664075</v>
      </c>
      <c r="H144" s="870">
        <f t="shared" si="49"/>
        <v>1.0158248993012431</v>
      </c>
      <c r="I144" s="870">
        <f t="shared" si="49"/>
        <v>1.0114388193337323</v>
      </c>
      <c r="J144" s="870">
        <f t="shared" si="49"/>
        <v>1.0075908695238163</v>
      </c>
      <c r="K144" s="870">
        <f t="shared" si="49"/>
        <v>1.0044077146705943</v>
      </c>
      <c r="L144" s="870">
        <f t="shared" si="49"/>
        <v>1.0018110165230298</v>
      </c>
      <c r="M144" s="870">
        <f t="shared" si="49"/>
        <v>0.99991423339147745</v>
      </c>
      <c r="N144" s="870">
        <f t="shared" si="49"/>
        <v>0.99841016143626704</v>
      </c>
      <c r="O144" s="870">
        <f t="shared" si="49"/>
        <v>0.9968860451018281</v>
      </c>
      <c r="P144" s="870">
        <f t="shared" si="49"/>
        <v>0.99518429844604872</v>
      </c>
      <c r="Q144" s="871">
        <f t="shared" si="49"/>
        <v>0.99373063788266869</v>
      </c>
    </row>
    <row r="145" spans="1:17">
      <c r="A145" s="24" t="s">
        <v>756</v>
      </c>
      <c r="B145" s="869"/>
      <c r="C145" s="870">
        <f t="shared" si="49"/>
        <v>1.0706772012799983</v>
      </c>
      <c r="D145" s="870">
        <f t="shared" si="49"/>
        <v>1.0680616883435277</v>
      </c>
      <c r="E145" s="870">
        <f t="shared" si="49"/>
        <v>1.0619762313363073</v>
      </c>
      <c r="F145" s="870">
        <f t="shared" si="49"/>
        <v>1.0531687335951427</v>
      </c>
      <c r="G145" s="870">
        <f t="shared" si="49"/>
        <v>1.0423494994197524</v>
      </c>
      <c r="H145" s="870">
        <f t="shared" si="49"/>
        <v>1.0315950342631262</v>
      </c>
      <c r="I145" s="870">
        <f t="shared" si="49"/>
        <v>1.0225732647288575</v>
      </c>
      <c r="J145" s="870">
        <f t="shared" si="49"/>
        <v>1.016132694106975</v>
      </c>
      <c r="K145" s="870">
        <f t="shared" si="49"/>
        <v>1.0129713030917851</v>
      </c>
      <c r="L145" s="870">
        <f t="shared" si="49"/>
        <v>1.0120633788142948</v>
      </c>
      <c r="M145" s="870">
        <f t="shared" si="49"/>
        <v>1.0118804959387917</v>
      </c>
      <c r="N145" s="870">
        <f t="shared" si="49"/>
        <v>1.0110942197376664</v>
      </c>
      <c r="O145" s="870">
        <f t="shared" si="49"/>
        <v>1.009611275871797</v>
      </c>
      <c r="P145" s="870">
        <f t="shared" si="49"/>
        <v>1.0069856914746496</v>
      </c>
      <c r="Q145" s="871">
        <f t="shared" si="49"/>
        <v>1.0036753225968604</v>
      </c>
    </row>
    <row r="146" spans="1:17">
      <c r="A146" s="24" t="s">
        <v>757</v>
      </c>
      <c r="B146" s="869"/>
      <c r="C146" s="870">
        <f t="shared" si="49"/>
        <v>1.0839710250352863</v>
      </c>
      <c r="D146" s="870">
        <f t="shared" si="49"/>
        <v>1.0742827387811895</v>
      </c>
      <c r="E146" s="870">
        <f t="shared" si="49"/>
        <v>1.0676029943088083</v>
      </c>
      <c r="F146" s="870">
        <f t="shared" si="49"/>
        <v>1.0679024503073906</v>
      </c>
      <c r="G146" s="870">
        <f t="shared" si="49"/>
        <v>1.063257309116955</v>
      </c>
      <c r="H146" s="870">
        <f t="shared" si="49"/>
        <v>1.0620639371449287</v>
      </c>
      <c r="I146" s="870">
        <f t="shared" si="49"/>
        <v>1.0593225328013463</v>
      </c>
      <c r="J146" s="870">
        <f t="shared" si="49"/>
        <v>1.05436998155309</v>
      </c>
      <c r="K146" s="870">
        <f t="shared" si="49"/>
        <v>1.0469084605765071</v>
      </c>
      <c r="L146" s="870">
        <f t="shared" si="49"/>
        <v>1.038263244953791</v>
      </c>
      <c r="M146" s="870">
        <f t="shared" si="49"/>
        <v>1.029598643504676</v>
      </c>
      <c r="N146" s="870">
        <f t="shared" si="49"/>
        <v>1.0223102800103461</v>
      </c>
      <c r="O146" s="870">
        <f t="shared" si="49"/>
        <v>1.0169731316644666</v>
      </c>
      <c r="P146" s="870">
        <f t="shared" si="49"/>
        <v>1.0141011627550149</v>
      </c>
      <c r="Q146" s="871">
        <f t="shared" si="49"/>
        <v>1.0129190951662008</v>
      </c>
    </row>
    <row r="147" spans="1:17">
      <c r="A147" s="24" t="s">
        <v>758</v>
      </c>
      <c r="B147" s="869"/>
      <c r="C147" s="870">
        <f t="shared" si="49"/>
        <v>1.0812768015476382</v>
      </c>
      <c r="D147" s="870">
        <f t="shared" si="49"/>
        <v>1.0911718223510398</v>
      </c>
      <c r="E147" s="870">
        <f t="shared" si="49"/>
        <v>1.0950162488672797</v>
      </c>
      <c r="F147" s="870">
        <f t="shared" si="49"/>
        <v>1.0951198743807133</v>
      </c>
      <c r="G147" s="870">
        <f t="shared" si="49"/>
        <v>1.0854879111503275</v>
      </c>
      <c r="H147" s="870">
        <f t="shared" ref="H147:Q147" si="50">IF(G83=0,0,(H83/G83))</f>
        <v>1.0778710275539372</v>
      </c>
      <c r="I147" s="870">
        <f t="shared" si="50"/>
        <v>1.0716437654988979</v>
      </c>
      <c r="J147" s="870">
        <f t="shared" si="50"/>
        <v>1.0670881805981456</v>
      </c>
      <c r="K147" s="870">
        <f t="shared" si="50"/>
        <v>1.0645020196907069</v>
      </c>
      <c r="L147" s="870">
        <f t="shared" si="50"/>
        <v>1.0627702843245492</v>
      </c>
      <c r="M147" s="870">
        <f t="shared" si="50"/>
        <v>1.0613663408312417</v>
      </c>
      <c r="N147" s="870">
        <f t="shared" si="50"/>
        <v>1.0587419586553748</v>
      </c>
      <c r="O147" s="870">
        <f t="shared" si="50"/>
        <v>1.0538284358279599</v>
      </c>
      <c r="P147" s="870">
        <f t="shared" si="50"/>
        <v>1.0463597173960693</v>
      </c>
      <c r="Q147" s="871">
        <f t="shared" si="50"/>
        <v>1.0376829203096827</v>
      </c>
    </row>
    <row r="148" spans="1:17">
      <c r="A148" s="24" t="s">
        <v>759</v>
      </c>
      <c r="B148" s="869"/>
      <c r="C148" s="870">
        <f t="shared" ref="C148:Q150" si="51">IF(B84=0,0,(C84/B84))</f>
        <v>1.0139244068365605</v>
      </c>
      <c r="D148" s="870">
        <f t="shared" si="51"/>
        <v>1.0102274580834898</v>
      </c>
      <c r="E148" s="870">
        <f t="shared" si="51"/>
        <v>1.0152400965880883</v>
      </c>
      <c r="F148" s="870">
        <f t="shared" si="51"/>
        <v>1.0070143039579189</v>
      </c>
      <c r="G148" s="870">
        <f t="shared" si="51"/>
        <v>1.0545119826889215</v>
      </c>
      <c r="H148" s="870">
        <f t="shared" si="51"/>
        <v>1.0774471737716351</v>
      </c>
      <c r="I148" s="870">
        <f t="shared" si="51"/>
        <v>1.0927781581294995</v>
      </c>
      <c r="J148" s="870">
        <f t="shared" si="51"/>
        <v>1.0988438099215916</v>
      </c>
      <c r="K148" s="870">
        <f t="shared" si="51"/>
        <v>1.0956540669046329</v>
      </c>
      <c r="L148" s="870">
        <f t="shared" si="51"/>
        <v>1.0877036952936019</v>
      </c>
      <c r="M148" s="870">
        <f t="shared" si="51"/>
        <v>1.0791546820996962</v>
      </c>
      <c r="N148" s="870">
        <f t="shared" si="51"/>
        <v>1.0725951301427372</v>
      </c>
      <c r="O148" s="870">
        <f t="shared" si="51"/>
        <v>1.067855859060411</v>
      </c>
      <c r="P148" s="870">
        <f t="shared" si="51"/>
        <v>1.0652892949717918</v>
      </c>
      <c r="Q148" s="871">
        <f t="shared" si="51"/>
        <v>1.0636814550979627</v>
      </c>
    </row>
    <row r="149" spans="1:17">
      <c r="A149" s="24" t="s">
        <v>772</v>
      </c>
      <c r="B149" s="872"/>
      <c r="C149" s="873">
        <f t="shared" si="51"/>
        <v>1.0185581240554533</v>
      </c>
      <c r="D149" s="873">
        <f t="shared" si="51"/>
        <v>1.0155953302390857</v>
      </c>
      <c r="E149" s="873">
        <f t="shared" si="51"/>
        <v>1.0144381388381978</v>
      </c>
      <c r="F149" s="873">
        <f t="shared" si="51"/>
        <v>0.91665518523236267</v>
      </c>
      <c r="G149" s="873">
        <f t="shared" si="51"/>
        <v>0.98512554662552676</v>
      </c>
      <c r="H149" s="873">
        <f t="shared" si="51"/>
        <v>0.98589412533501464</v>
      </c>
      <c r="I149" s="873">
        <f t="shared" si="51"/>
        <v>0.98768662055110901</v>
      </c>
      <c r="J149" s="873">
        <f t="shared" si="51"/>
        <v>0.99170746416915012</v>
      </c>
      <c r="K149" s="873">
        <f t="shared" si="51"/>
        <v>0.99833060566222787</v>
      </c>
      <c r="L149" s="873">
        <f t="shared" si="51"/>
        <v>1.0066887435016167</v>
      </c>
      <c r="M149" s="873">
        <f t="shared" si="51"/>
        <v>1.0154480009254563</v>
      </c>
      <c r="N149" s="873">
        <f t="shared" si="51"/>
        <v>1.0235000978562185</v>
      </c>
      <c r="O149" s="873">
        <f t="shared" si="51"/>
        <v>1.030629252477282</v>
      </c>
      <c r="P149" s="873">
        <f t="shared" si="51"/>
        <v>1.0364453527398398</v>
      </c>
      <c r="Q149" s="874">
        <f t="shared" si="51"/>
        <v>1.0411486679651702</v>
      </c>
    </row>
    <row r="150" spans="1:17">
      <c r="A150" s="25" t="s">
        <v>760</v>
      </c>
      <c r="B150" s="865"/>
      <c r="C150" s="875">
        <f t="shared" si="51"/>
        <v>1.0236979965227915</v>
      </c>
      <c r="D150" s="875">
        <f t="shared" si="51"/>
        <v>1.0233441567722557</v>
      </c>
      <c r="E150" s="875">
        <f t="shared" si="51"/>
        <v>1.0241064761021192</v>
      </c>
      <c r="F150" s="875">
        <f t="shared" si="51"/>
        <v>1.0244145041710311</v>
      </c>
      <c r="G150" s="875">
        <f t="shared" si="51"/>
        <v>1.0213386234347968</v>
      </c>
      <c r="H150" s="875">
        <f t="shared" si="51"/>
        <v>1.0197218582374397</v>
      </c>
      <c r="I150" s="875">
        <f t="shared" si="51"/>
        <v>1.0182304496791306</v>
      </c>
      <c r="J150" s="875">
        <f t="shared" si="51"/>
        <v>1.016844900925935</v>
      </c>
      <c r="K150" s="875">
        <f t="shared" si="51"/>
        <v>1.0156444873196246</v>
      </c>
      <c r="L150" s="875">
        <f t="shared" si="51"/>
        <v>1.0145793652824935</v>
      </c>
      <c r="M150" s="875">
        <f t="shared" si="51"/>
        <v>1.0135376198416106</v>
      </c>
      <c r="N150" s="875">
        <f t="shared" si="51"/>
        <v>1.0124540216223707</v>
      </c>
      <c r="O150" s="875">
        <f t="shared" si="51"/>
        <v>1.0113668712610409</v>
      </c>
      <c r="P150" s="875">
        <f t="shared" si="51"/>
        <v>1.0102692552765631</v>
      </c>
      <c r="Q150" s="875">
        <f t="shared" si="51"/>
        <v>1.0091825248888784</v>
      </c>
    </row>
    <row r="152" spans="1:17" ht="17.25">
      <c r="A152" s="18" t="s">
        <v>199</v>
      </c>
    </row>
    <row r="154" spans="1:17" ht="17.25">
      <c r="A154" s="19"/>
      <c r="B154" s="1498" t="s">
        <v>730</v>
      </c>
      <c r="C154" s="1499"/>
      <c r="D154" s="1499"/>
      <c r="E154" s="1499"/>
      <c r="F154" s="1499"/>
      <c r="G154" s="1500"/>
      <c r="H154" s="1499" t="s">
        <v>734</v>
      </c>
      <c r="I154" s="1499"/>
      <c r="J154" s="1499"/>
      <c r="K154" s="1499"/>
      <c r="L154" s="1499"/>
      <c r="M154" s="1499"/>
      <c r="N154" s="1499"/>
      <c r="O154" s="1499"/>
      <c r="P154" s="1499"/>
      <c r="Q154" s="1499"/>
    </row>
    <row r="155" spans="1:17">
      <c r="A155" s="20" t="s">
        <v>746</v>
      </c>
      <c r="B155" s="21">
        <v>2005</v>
      </c>
      <c r="C155" s="22">
        <v>2006</v>
      </c>
      <c r="D155" s="22">
        <v>2007</v>
      </c>
      <c r="E155" s="22">
        <v>2008</v>
      </c>
      <c r="F155" s="22">
        <v>2009</v>
      </c>
      <c r="G155" s="23">
        <v>2010</v>
      </c>
      <c r="H155" s="22">
        <v>2011</v>
      </c>
      <c r="I155" s="22">
        <v>2012</v>
      </c>
      <c r="J155" s="22">
        <v>2013</v>
      </c>
      <c r="K155" s="22">
        <v>2014</v>
      </c>
      <c r="L155" s="22">
        <v>2015</v>
      </c>
      <c r="M155" s="22">
        <v>2016</v>
      </c>
      <c r="N155" s="22">
        <v>2017</v>
      </c>
      <c r="O155" s="22">
        <v>2018</v>
      </c>
      <c r="P155" s="22">
        <v>2019</v>
      </c>
      <c r="Q155" s="22">
        <v>2020</v>
      </c>
    </row>
    <row r="156" spans="1:17">
      <c r="A156" s="24" t="s">
        <v>747</v>
      </c>
      <c r="B156" s="866"/>
      <c r="C156" s="867">
        <f>IF(B92=0,0,(C92/B92))</f>
        <v>0</v>
      </c>
      <c r="D156" s="867">
        <f t="shared" ref="D156:Q156" si="52">IF(C92=0,0,(D92/C92))</f>
        <v>0</v>
      </c>
      <c r="E156" s="867">
        <f t="shared" si="52"/>
        <v>0</v>
      </c>
      <c r="F156" s="867">
        <f t="shared" si="52"/>
        <v>0</v>
      </c>
      <c r="G156" s="867">
        <f t="shared" si="52"/>
        <v>0</v>
      </c>
      <c r="H156" s="867">
        <f t="shared" si="52"/>
        <v>0</v>
      </c>
      <c r="I156" s="867">
        <f t="shared" si="52"/>
        <v>0</v>
      </c>
      <c r="J156" s="867">
        <f t="shared" si="52"/>
        <v>0</v>
      </c>
      <c r="K156" s="867">
        <f t="shared" si="52"/>
        <v>0</v>
      </c>
      <c r="L156" s="867">
        <f t="shared" si="52"/>
        <v>0</v>
      </c>
      <c r="M156" s="867">
        <f t="shared" si="52"/>
        <v>0</v>
      </c>
      <c r="N156" s="867">
        <f t="shared" si="52"/>
        <v>0</v>
      </c>
      <c r="O156" s="867">
        <f t="shared" si="52"/>
        <v>0</v>
      </c>
      <c r="P156" s="867">
        <f t="shared" si="52"/>
        <v>0</v>
      </c>
      <c r="Q156" s="868">
        <f t="shared" si="52"/>
        <v>0</v>
      </c>
    </row>
    <row r="157" spans="1:17">
      <c r="A157" s="24" t="s">
        <v>748</v>
      </c>
      <c r="B157" s="869"/>
      <c r="C157" s="870">
        <f t="shared" ref="C157:Q167" si="53">IF(B93=0,0,(C93/B93))</f>
        <v>0</v>
      </c>
      <c r="D157" s="870">
        <f t="shared" si="53"/>
        <v>0</v>
      </c>
      <c r="E157" s="870">
        <f t="shared" si="53"/>
        <v>0</v>
      </c>
      <c r="F157" s="870">
        <f t="shared" si="53"/>
        <v>0</v>
      </c>
      <c r="G157" s="870">
        <f t="shared" si="53"/>
        <v>0</v>
      </c>
      <c r="H157" s="870">
        <f t="shared" si="53"/>
        <v>0</v>
      </c>
      <c r="I157" s="870">
        <f t="shared" si="53"/>
        <v>0</v>
      </c>
      <c r="J157" s="870">
        <f t="shared" si="53"/>
        <v>0</v>
      </c>
      <c r="K157" s="870">
        <f t="shared" si="53"/>
        <v>0</v>
      </c>
      <c r="L157" s="870">
        <f t="shared" si="53"/>
        <v>0</v>
      </c>
      <c r="M157" s="870">
        <f t="shared" si="53"/>
        <v>0</v>
      </c>
      <c r="N157" s="870">
        <f t="shared" si="53"/>
        <v>0</v>
      </c>
      <c r="O157" s="870">
        <f t="shared" si="53"/>
        <v>0</v>
      </c>
      <c r="P157" s="870">
        <f t="shared" si="53"/>
        <v>0</v>
      </c>
      <c r="Q157" s="871">
        <f t="shared" si="53"/>
        <v>0</v>
      </c>
    </row>
    <row r="158" spans="1:17">
      <c r="A158" s="24" t="s">
        <v>749</v>
      </c>
      <c r="B158" s="869"/>
      <c r="C158" s="870">
        <f t="shared" si="53"/>
        <v>0</v>
      </c>
      <c r="D158" s="870">
        <f t="shared" si="53"/>
        <v>0</v>
      </c>
      <c r="E158" s="870">
        <f t="shared" si="53"/>
        <v>0</v>
      </c>
      <c r="F158" s="870">
        <f t="shared" si="53"/>
        <v>0</v>
      </c>
      <c r="G158" s="870">
        <f t="shared" si="53"/>
        <v>0</v>
      </c>
      <c r="H158" s="870">
        <f t="shared" si="53"/>
        <v>0</v>
      </c>
      <c r="I158" s="870">
        <f t="shared" si="53"/>
        <v>0</v>
      </c>
      <c r="J158" s="870">
        <f t="shared" si="53"/>
        <v>0</v>
      </c>
      <c r="K158" s="870">
        <f t="shared" si="53"/>
        <v>0</v>
      </c>
      <c r="L158" s="870">
        <f t="shared" si="53"/>
        <v>0</v>
      </c>
      <c r="M158" s="870">
        <f t="shared" si="53"/>
        <v>0</v>
      </c>
      <c r="N158" s="870">
        <f t="shared" si="53"/>
        <v>0</v>
      </c>
      <c r="O158" s="870">
        <f t="shared" si="53"/>
        <v>0</v>
      </c>
      <c r="P158" s="870">
        <f t="shared" si="53"/>
        <v>0</v>
      </c>
      <c r="Q158" s="871">
        <f t="shared" si="53"/>
        <v>0</v>
      </c>
    </row>
    <row r="159" spans="1:17">
      <c r="A159" s="24" t="s">
        <v>750</v>
      </c>
      <c r="B159" s="869"/>
      <c r="C159" s="870">
        <f t="shared" si="53"/>
        <v>0.96046644903376099</v>
      </c>
      <c r="D159" s="870">
        <f t="shared" si="53"/>
        <v>0.95423976113749576</v>
      </c>
      <c r="E159" s="870">
        <f t="shared" si="53"/>
        <v>0.96415235722838644</v>
      </c>
      <c r="F159" s="870">
        <f t="shared" si="53"/>
        <v>0.99613373470724698</v>
      </c>
      <c r="G159" s="870">
        <f t="shared" si="53"/>
        <v>0.96442541369475931</v>
      </c>
      <c r="H159" s="870">
        <f t="shared" si="53"/>
        <v>0.95860088906623453</v>
      </c>
      <c r="I159" s="870">
        <f t="shared" si="53"/>
        <v>0.95335388975372215</v>
      </c>
      <c r="J159" s="870">
        <f t="shared" si="53"/>
        <v>0.95127343414141796</v>
      </c>
      <c r="K159" s="870">
        <f t="shared" si="53"/>
        <v>0.95419192173235068</v>
      </c>
      <c r="L159" s="870">
        <f t="shared" si="53"/>
        <v>0.96124928751931515</v>
      </c>
      <c r="M159" s="870">
        <f t="shared" si="53"/>
        <v>0.97047527810101275</v>
      </c>
      <c r="N159" s="870">
        <f t="shared" si="53"/>
        <v>0.97899989934361431</v>
      </c>
      <c r="O159" s="870">
        <f t="shared" si="53"/>
        <v>0.98547324902460542</v>
      </c>
      <c r="P159" s="870">
        <f t="shared" si="53"/>
        <v>0.98830118745281081</v>
      </c>
      <c r="Q159" s="871">
        <f t="shared" si="53"/>
        <v>0.98836920729109956</v>
      </c>
    </row>
    <row r="160" spans="1:17">
      <c r="A160" s="24" t="s">
        <v>751</v>
      </c>
      <c r="B160" s="869"/>
      <c r="C160" s="870">
        <f t="shared" si="53"/>
        <v>1.0004901110745372</v>
      </c>
      <c r="D160" s="870">
        <f t="shared" si="53"/>
        <v>0.99829998162983824</v>
      </c>
      <c r="E160" s="870">
        <f t="shared" si="53"/>
        <v>1.0000041585185695</v>
      </c>
      <c r="F160" s="870">
        <f t="shared" si="53"/>
        <v>0.98472131976968824</v>
      </c>
      <c r="G160" s="870">
        <f t="shared" si="53"/>
        <v>1.0024708206671955</v>
      </c>
      <c r="H160" s="870">
        <f t="shared" si="53"/>
        <v>1.0097553629220382</v>
      </c>
      <c r="I160" s="870">
        <f t="shared" si="53"/>
        <v>1.0151423179723373</v>
      </c>
      <c r="J160" s="870">
        <f t="shared" si="53"/>
        <v>1.0149520656481266</v>
      </c>
      <c r="K160" s="870">
        <f t="shared" si="53"/>
        <v>1.0076643530312897</v>
      </c>
      <c r="L160" s="870">
        <f t="shared" si="53"/>
        <v>0.9959150173592507</v>
      </c>
      <c r="M160" s="870">
        <f t="shared" si="53"/>
        <v>0.98196028721245554</v>
      </c>
      <c r="N160" s="870">
        <f t="shared" si="53"/>
        <v>0.96982762605664252</v>
      </c>
      <c r="O160" s="870">
        <f t="shared" si="53"/>
        <v>0.96243030487908221</v>
      </c>
      <c r="P160" s="870">
        <f t="shared" si="53"/>
        <v>0.96279612872836606</v>
      </c>
      <c r="Q160" s="871">
        <f t="shared" si="53"/>
        <v>0.96964653605947926</v>
      </c>
    </row>
    <row r="161" spans="1:17">
      <c r="A161" s="24" t="s">
        <v>752</v>
      </c>
      <c r="B161" s="869"/>
      <c r="C161" s="870">
        <f t="shared" si="53"/>
        <v>0.99815020429356771</v>
      </c>
      <c r="D161" s="870">
        <f t="shared" si="53"/>
        <v>0.99283710538501824</v>
      </c>
      <c r="E161" s="870">
        <f t="shared" si="53"/>
        <v>0.99183130644730033</v>
      </c>
      <c r="F161" s="870">
        <f t="shared" si="53"/>
        <v>0.99952013201658663</v>
      </c>
      <c r="G161" s="870">
        <f t="shared" si="53"/>
        <v>1.0057233369819099</v>
      </c>
      <c r="H161" s="870">
        <f t="shared" si="53"/>
        <v>1.0163391908753852</v>
      </c>
      <c r="I161" s="870">
        <f t="shared" si="53"/>
        <v>1.0245466548025286</v>
      </c>
      <c r="J161" s="870">
        <f t="shared" si="53"/>
        <v>1.0294178624506229</v>
      </c>
      <c r="K161" s="870">
        <f t="shared" si="53"/>
        <v>1.0297971764332099</v>
      </c>
      <c r="L161" s="870">
        <f t="shared" si="53"/>
        <v>1.026885109323399</v>
      </c>
      <c r="M161" s="870">
        <f t="shared" si="53"/>
        <v>1.0242955639581481</v>
      </c>
      <c r="N161" s="870">
        <f t="shared" si="53"/>
        <v>1.0218522655459756</v>
      </c>
      <c r="O161" s="870">
        <f t="shared" si="53"/>
        <v>1.0163154156004337</v>
      </c>
      <c r="P161" s="870">
        <f t="shared" si="53"/>
        <v>1.0071516653941959</v>
      </c>
      <c r="Q161" s="871">
        <f t="shared" si="53"/>
        <v>0.99586729335153867</v>
      </c>
    </row>
    <row r="162" spans="1:17">
      <c r="A162" s="24" t="s">
        <v>753</v>
      </c>
      <c r="B162" s="869"/>
      <c r="C162" s="870">
        <f t="shared" si="53"/>
        <v>1.0127341759706279</v>
      </c>
      <c r="D162" s="870">
        <f t="shared" si="53"/>
        <v>1.0154383697049674</v>
      </c>
      <c r="E162" s="870">
        <f t="shared" si="53"/>
        <v>1.0153257796397344</v>
      </c>
      <c r="F162" s="870">
        <f t="shared" si="53"/>
        <v>1.0086586592074278</v>
      </c>
      <c r="G162" s="870">
        <f t="shared" si="53"/>
        <v>1.0055694240537734</v>
      </c>
      <c r="H162" s="870">
        <f t="shared" si="53"/>
        <v>0.99884236738254839</v>
      </c>
      <c r="I162" s="870">
        <f t="shared" si="53"/>
        <v>0.99370251380599062</v>
      </c>
      <c r="J162" s="870">
        <f t="shared" si="53"/>
        <v>0.99278522205390707</v>
      </c>
      <c r="K162" s="870">
        <f t="shared" si="53"/>
        <v>0.99787239809193407</v>
      </c>
      <c r="L162" s="870">
        <f t="shared" si="53"/>
        <v>1.0071540125522607</v>
      </c>
      <c r="M162" s="870">
        <f t="shared" si="53"/>
        <v>1.0174127029226643</v>
      </c>
      <c r="N162" s="870">
        <f t="shared" si="53"/>
        <v>1.0253042569466007</v>
      </c>
      <c r="O162" s="870">
        <f t="shared" si="53"/>
        <v>1.0299714824040955</v>
      </c>
      <c r="P162" s="870">
        <f t="shared" si="53"/>
        <v>1.0303232588479192</v>
      </c>
      <c r="Q162" s="871">
        <f t="shared" si="53"/>
        <v>1.0274984440643302</v>
      </c>
    </row>
    <row r="163" spans="1:17">
      <c r="A163" s="24" t="s">
        <v>754</v>
      </c>
      <c r="B163" s="869"/>
      <c r="C163" s="870">
        <f t="shared" si="53"/>
        <v>1.0245400076340345</v>
      </c>
      <c r="D163" s="870">
        <f t="shared" si="53"/>
        <v>1.0270027177099852</v>
      </c>
      <c r="E163" s="870">
        <f t="shared" si="53"/>
        <v>1.025979957977686</v>
      </c>
      <c r="F163" s="870">
        <f t="shared" si="53"/>
        <v>1.0194064413061206</v>
      </c>
      <c r="G163" s="870">
        <f t="shared" si="53"/>
        <v>1.0125674902900377</v>
      </c>
      <c r="H163" s="870">
        <f t="shared" si="53"/>
        <v>1.0047712049996078</v>
      </c>
      <c r="I163" s="870">
        <f t="shared" si="53"/>
        <v>0.99850600816143198</v>
      </c>
      <c r="J163" s="870">
        <f t="shared" si="53"/>
        <v>0.99396213296017477</v>
      </c>
      <c r="K163" s="870">
        <f t="shared" si="53"/>
        <v>0.99193842589632586</v>
      </c>
      <c r="L163" s="870">
        <f t="shared" si="53"/>
        <v>0.99203499559237529</v>
      </c>
      <c r="M163" s="870">
        <f t="shared" si="53"/>
        <v>0.99210353909103266</v>
      </c>
      <c r="N163" s="870">
        <f t="shared" si="53"/>
        <v>0.99233122138012331</v>
      </c>
      <c r="O163" s="870">
        <f t="shared" si="53"/>
        <v>0.99517611967338271</v>
      </c>
      <c r="P163" s="870">
        <f t="shared" si="53"/>
        <v>1.0013042196316262</v>
      </c>
      <c r="Q163" s="871">
        <f t="shared" si="53"/>
        <v>1.0095179471595987</v>
      </c>
    </row>
    <row r="164" spans="1:17">
      <c r="A164" s="24" t="s">
        <v>755</v>
      </c>
      <c r="B164" s="869"/>
      <c r="C164" s="870">
        <f t="shared" si="53"/>
        <v>1.0391646388743607</v>
      </c>
      <c r="D164" s="870">
        <f t="shared" si="53"/>
        <v>1.0395373810683892</v>
      </c>
      <c r="E164" s="870">
        <f t="shared" si="53"/>
        <v>1.0370042086262281</v>
      </c>
      <c r="F164" s="870">
        <f t="shared" si="53"/>
        <v>1.0239714893171592</v>
      </c>
      <c r="G164" s="870">
        <f t="shared" si="53"/>
        <v>1.0235656785097016</v>
      </c>
      <c r="H164" s="870">
        <f t="shared" si="53"/>
        <v>1.0158465649847068</v>
      </c>
      <c r="I164" s="870">
        <f t="shared" si="53"/>
        <v>1.0093515476801642</v>
      </c>
      <c r="J164" s="870">
        <f t="shared" si="53"/>
        <v>1.0042863819163061</v>
      </c>
      <c r="K164" s="870">
        <f t="shared" si="53"/>
        <v>1.0012046347124277</v>
      </c>
      <c r="L164" s="870">
        <f t="shared" si="53"/>
        <v>0.9996336876491152</v>
      </c>
      <c r="M164" s="870">
        <f t="shared" si="53"/>
        <v>0.99872995132870579</v>
      </c>
      <c r="N164" s="870">
        <f t="shared" si="53"/>
        <v>0.99779081356278532</v>
      </c>
      <c r="O164" s="870">
        <f t="shared" si="53"/>
        <v>0.99688174390500728</v>
      </c>
      <c r="P164" s="870">
        <f t="shared" si="53"/>
        <v>0.99579831118467077</v>
      </c>
      <c r="Q164" s="871">
        <f t="shared" si="53"/>
        <v>0.99483828485609282</v>
      </c>
    </row>
    <row r="165" spans="1:17">
      <c r="A165" s="24" t="s">
        <v>756</v>
      </c>
      <c r="B165" s="869"/>
      <c r="C165" s="870">
        <f t="shared" si="53"/>
        <v>1.0593740646448448</v>
      </c>
      <c r="D165" s="870">
        <f t="shared" si="53"/>
        <v>1.0574157668422097</v>
      </c>
      <c r="E165" s="870">
        <f t="shared" si="53"/>
        <v>1.0529639706778919</v>
      </c>
      <c r="F165" s="870">
        <f t="shared" si="53"/>
        <v>1.0514001989086363</v>
      </c>
      <c r="G165" s="870">
        <f t="shared" si="53"/>
        <v>1.0383712954845019</v>
      </c>
      <c r="H165" s="870">
        <f t="shared" si="53"/>
        <v>1.0300738002434608</v>
      </c>
      <c r="I165" s="870">
        <f t="shared" si="53"/>
        <v>1.0229854720010467</v>
      </c>
      <c r="J165" s="870">
        <f t="shared" si="53"/>
        <v>1.0175149416089879</v>
      </c>
      <c r="K165" s="870">
        <f t="shared" si="53"/>
        <v>1.0141153210731986</v>
      </c>
      <c r="L165" s="870">
        <f t="shared" si="53"/>
        <v>1.0121700153753941</v>
      </c>
      <c r="M165" s="870">
        <f t="shared" si="53"/>
        <v>1.0106890361009826</v>
      </c>
      <c r="N165" s="870">
        <f t="shared" si="53"/>
        <v>1.008938056692148</v>
      </c>
      <c r="O165" s="870">
        <f t="shared" si="53"/>
        <v>1.0070027562007693</v>
      </c>
      <c r="P165" s="870">
        <f t="shared" si="53"/>
        <v>1.0046639357315417</v>
      </c>
      <c r="Q165" s="871">
        <f t="shared" si="53"/>
        <v>1.0021371708202156</v>
      </c>
    </row>
    <row r="166" spans="1:17">
      <c r="A166" s="24" t="s">
        <v>757</v>
      </c>
      <c r="B166" s="869"/>
      <c r="C166" s="870">
        <f t="shared" si="53"/>
        <v>1.0845144132151261</v>
      </c>
      <c r="D166" s="870">
        <f t="shared" si="53"/>
        <v>1.0807560792943582</v>
      </c>
      <c r="E166" s="870">
        <f t="shared" si="53"/>
        <v>1.0744047674340114</v>
      </c>
      <c r="F166" s="870">
        <f t="shared" si="53"/>
        <v>1.0756177313643089</v>
      </c>
      <c r="G166" s="870">
        <f t="shared" si="53"/>
        <v>1.060108920658754</v>
      </c>
      <c r="H166" s="870">
        <f t="shared" si="53"/>
        <v>1.0508674114138401</v>
      </c>
      <c r="I166" s="870">
        <f t="shared" si="53"/>
        <v>1.0428797300150894</v>
      </c>
      <c r="J166" s="870">
        <f t="shared" si="53"/>
        <v>1.0367039885612814</v>
      </c>
      <c r="K166" s="870">
        <f t="shared" si="53"/>
        <v>1.0326883343150985</v>
      </c>
      <c r="L166" s="870">
        <f t="shared" si="53"/>
        <v>1.0301117045017845</v>
      </c>
      <c r="M166" s="870">
        <f t="shared" si="53"/>
        <v>1.0278542561596176</v>
      </c>
      <c r="N166" s="870">
        <f t="shared" si="53"/>
        <v>1.0252911661988016</v>
      </c>
      <c r="O166" s="870">
        <f t="shared" si="53"/>
        <v>1.0227004575412149</v>
      </c>
      <c r="P166" s="870">
        <f t="shared" si="53"/>
        <v>1.0199431658771745</v>
      </c>
      <c r="Q166" s="871">
        <f t="shared" si="53"/>
        <v>1.0171132939628651</v>
      </c>
    </row>
    <row r="167" spans="1:17">
      <c r="A167" s="24" t="s">
        <v>758</v>
      </c>
      <c r="B167" s="869"/>
      <c r="C167" s="870">
        <f t="shared" si="53"/>
        <v>1.069508492869222</v>
      </c>
      <c r="D167" s="870">
        <f t="shared" si="53"/>
        <v>1.0831002731963979</v>
      </c>
      <c r="E167" s="870">
        <f t="shared" si="53"/>
        <v>1.089118246782284</v>
      </c>
      <c r="F167" s="870">
        <f t="shared" si="53"/>
        <v>1.0823887452294059</v>
      </c>
      <c r="G167" s="870">
        <f t="shared" si="53"/>
        <v>1.0801823743534744</v>
      </c>
      <c r="H167" s="870">
        <f t="shared" ref="H167:Q167" si="54">IF(G103=0,0,(H103/G103))</f>
        <v>1.073329485762357</v>
      </c>
      <c r="I167" s="870">
        <f t="shared" si="54"/>
        <v>1.0676971785931062</v>
      </c>
      <c r="J167" s="870">
        <f t="shared" si="54"/>
        <v>1.0618001169405948</v>
      </c>
      <c r="K167" s="870">
        <f t="shared" si="54"/>
        <v>1.0558581791989299</v>
      </c>
      <c r="L167" s="870">
        <f t="shared" si="54"/>
        <v>1.0500563414597006</v>
      </c>
      <c r="M167" s="870">
        <f t="shared" si="54"/>
        <v>1.044291292194915</v>
      </c>
      <c r="N167" s="870">
        <f t="shared" si="54"/>
        <v>1.0388758896024997</v>
      </c>
      <c r="O167" s="870">
        <f t="shared" si="54"/>
        <v>1.0342585185140629</v>
      </c>
      <c r="P167" s="870">
        <f t="shared" si="54"/>
        <v>1.0305680129240711</v>
      </c>
      <c r="Q167" s="871">
        <f t="shared" si="54"/>
        <v>1.0275237584054215</v>
      </c>
    </row>
    <row r="168" spans="1:17">
      <c r="A168" s="24" t="s">
        <v>759</v>
      </c>
      <c r="B168" s="869"/>
      <c r="C168" s="870">
        <f t="shared" ref="C168:Q170" si="55">IF(B104=0,0,(C104/B104))</f>
        <v>1.0165385785656096</v>
      </c>
      <c r="D168" s="870">
        <f t="shared" si="55"/>
        <v>1.0075336976672331</v>
      </c>
      <c r="E168" s="870">
        <f t="shared" si="55"/>
        <v>1.0063561200115958</v>
      </c>
      <c r="F168" s="870">
        <f t="shared" si="55"/>
        <v>0.9724958695000071</v>
      </c>
      <c r="G168" s="870">
        <f t="shared" si="55"/>
        <v>1.0412149045393679</v>
      </c>
      <c r="H168" s="870">
        <f t="shared" si="55"/>
        <v>1.0659489477557373</v>
      </c>
      <c r="I168" s="870">
        <f t="shared" si="55"/>
        <v>1.0830210486149556</v>
      </c>
      <c r="J168" s="870">
        <f t="shared" si="55"/>
        <v>1.090929271576049</v>
      </c>
      <c r="K168" s="870">
        <f t="shared" si="55"/>
        <v>1.0891374678671637</v>
      </c>
      <c r="L168" s="870">
        <f t="shared" si="55"/>
        <v>1.0819553833891828</v>
      </c>
      <c r="M168" s="870">
        <f t="shared" si="55"/>
        <v>1.074662285794854</v>
      </c>
      <c r="N168" s="870">
        <f t="shared" si="55"/>
        <v>1.0689208353111486</v>
      </c>
      <c r="O168" s="870">
        <f t="shared" si="55"/>
        <v>1.0629324337928951</v>
      </c>
      <c r="P168" s="870">
        <f t="shared" si="55"/>
        <v>1.0569605472115253</v>
      </c>
      <c r="Q168" s="871">
        <f t="shared" si="55"/>
        <v>1.0511645549109676</v>
      </c>
    </row>
    <row r="169" spans="1:17">
      <c r="A169" s="24" t="s">
        <v>772</v>
      </c>
      <c r="B169" s="872"/>
      <c r="C169" s="873">
        <f t="shared" si="55"/>
        <v>1.0471758655961438</v>
      </c>
      <c r="D169" s="873">
        <f t="shared" si="55"/>
        <v>1.0446866076661432</v>
      </c>
      <c r="E169" s="873">
        <f t="shared" si="55"/>
        <v>1.0338706909139348</v>
      </c>
      <c r="F169" s="873">
        <f t="shared" si="55"/>
        <v>0.94192606835171422</v>
      </c>
      <c r="G169" s="873">
        <f t="shared" si="55"/>
        <v>1.0113165557896731</v>
      </c>
      <c r="H169" s="873">
        <f t="shared" si="55"/>
        <v>1.0105994750983867</v>
      </c>
      <c r="I169" s="873">
        <f t="shared" si="55"/>
        <v>1.0105809619898694</v>
      </c>
      <c r="J169" s="873">
        <f t="shared" si="55"/>
        <v>1.0125229536546292</v>
      </c>
      <c r="K169" s="873">
        <f t="shared" si="55"/>
        <v>1.0168429101812073</v>
      </c>
      <c r="L169" s="873">
        <f t="shared" si="55"/>
        <v>1.0227655027062328</v>
      </c>
      <c r="M169" s="873">
        <f t="shared" si="55"/>
        <v>1.0289777605785393</v>
      </c>
      <c r="N169" s="873">
        <f t="shared" si="55"/>
        <v>1.03455278819846</v>
      </c>
      <c r="O169" s="873">
        <f t="shared" si="55"/>
        <v>1.0395082429067377</v>
      </c>
      <c r="P169" s="873">
        <f t="shared" si="55"/>
        <v>1.0435298617561881</v>
      </c>
      <c r="Q169" s="874">
        <f t="shared" si="55"/>
        <v>1.0466822078539548</v>
      </c>
    </row>
    <row r="170" spans="1:17">
      <c r="A170" s="25" t="s">
        <v>760</v>
      </c>
      <c r="B170" s="865"/>
      <c r="C170" s="875">
        <f t="shared" si="55"/>
        <v>1.0211294296978923</v>
      </c>
      <c r="D170" s="875">
        <f t="shared" si="55"/>
        <v>1.0210922459788683</v>
      </c>
      <c r="E170" s="875">
        <f t="shared" si="55"/>
        <v>1.0215707180964251</v>
      </c>
      <c r="F170" s="875">
        <f t="shared" si="55"/>
        <v>1.0176421151746278</v>
      </c>
      <c r="G170" s="875">
        <f t="shared" si="55"/>
        <v>1.0176625144443094</v>
      </c>
      <c r="H170" s="875">
        <f t="shared" si="55"/>
        <v>1.0156737858186504</v>
      </c>
      <c r="I170" s="875">
        <f t="shared" si="55"/>
        <v>1.0138752137327418</v>
      </c>
      <c r="J170" s="875">
        <f t="shared" si="55"/>
        <v>1.0123555475836163</v>
      </c>
      <c r="K170" s="875">
        <f t="shared" si="55"/>
        <v>1.0112668580097031</v>
      </c>
      <c r="L170" s="875">
        <f t="shared" si="55"/>
        <v>1.0104824937527646</v>
      </c>
      <c r="M170" s="875">
        <f t="shared" si="55"/>
        <v>1.009745526010148</v>
      </c>
      <c r="N170" s="875">
        <f t="shared" si="55"/>
        <v>1.0089072101337415</v>
      </c>
      <c r="O170" s="875">
        <f t="shared" si="55"/>
        <v>1.0080484911802072</v>
      </c>
      <c r="P170" s="875">
        <f t="shared" si="55"/>
        <v>1.0071435922306557</v>
      </c>
      <c r="Q170" s="875">
        <f t="shared" si="55"/>
        <v>1.006227113942785</v>
      </c>
    </row>
    <row r="172" spans="1:17" ht="17.25">
      <c r="A172" s="18" t="s">
        <v>200</v>
      </c>
    </row>
    <row r="174" spans="1:17" ht="17.25">
      <c r="A174" s="19"/>
      <c r="B174" s="1498" t="s">
        <v>730</v>
      </c>
      <c r="C174" s="1499"/>
      <c r="D174" s="1499"/>
      <c r="E174" s="1499"/>
      <c r="F174" s="1499"/>
      <c r="G174" s="1500"/>
      <c r="H174" s="1499" t="s">
        <v>734</v>
      </c>
      <c r="I174" s="1499"/>
      <c r="J174" s="1499"/>
      <c r="K174" s="1499"/>
      <c r="L174" s="1499"/>
      <c r="M174" s="1499"/>
      <c r="N174" s="1499"/>
      <c r="O174" s="1499"/>
      <c r="P174" s="1499"/>
      <c r="Q174" s="1499"/>
    </row>
    <row r="175" spans="1:17">
      <c r="A175" s="20" t="s">
        <v>746</v>
      </c>
      <c r="B175" s="21">
        <v>2005</v>
      </c>
      <c r="C175" s="22">
        <v>2006</v>
      </c>
      <c r="D175" s="22">
        <v>2007</v>
      </c>
      <c r="E175" s="22">
        <v>2008</v>
      </c>
      <c r="F175" s="22">
        <v>2009</v>
      </c>
      <c r="G175" s="23">
        <v>2010</v>
      </c>
      <c r="H175" s="22">
        <v>2011</v>
      </c>
      <c r="I175" s="22">
        <v>2012</v>
      </c>
      <c r="J175" s="22">
        <v>2013</v>
      </c>
      <c r="K175" s="22">
        <v>2014</v>
      </c>
      <c r="L175" s="22">
        <v>2015</v>
      </c>
      <c r="M175" s="22">
        <v>2016</v>
      </c>
      <c r="N175" s="22">
        <v>2017</v>
      </c>
      <c r="O175" s="22">
        <v>2018</v>
      </c>
      <c r="P175" s="22">
        <v>2019</v>
      </c>
      <c r="Q175" s="22">
        <v>2020</v>
      </c>
    </row>
    <row r="176" spans="1:17">
      <c r="A176" s="24" t="s">
        <v>747</v>
      </c>
      <c r="B176" s="866"/>
      <c r="C176" s="867">
        <f>IF(B112=0,0,(C112/B112))</f>
        <v>0</v>
      </c>
      <c r="D176" s="867">
        <f t="shared" ref="D176:Q176" si="56">IF(C112=0,0,(D112/C112))</f>
        <v>0</v>
      </c>
      <c r="E176" s="867">
        <f t="shared" si="56"/>
        <v>0</v>
      </c>
      <c r="F176" s="867">
        <f t="shared" si="56"/>
        <v>0</v>
      </c>
      <c r="G176" s="867">
        <f t="shared" si="56"/>
        <v>0</v>
      </c>
      <c r="H176" s="867">
        <f t="shared" si="56"/>
        <v>0</v>
      </c>
      <c r="I176" s="867">
        <f t="shared" si="56"/>
        <v>0</v>
      </c>
      <c r="J176" s="867">
        <f t="shared" si="56"/>
        <v>0</v>
      </c>
      <c r="K176" s="867">
        <f t="shared" si="56"/>
        <v>0</v>
      </c>
      <c r="L176" s="867">
        <f t="shared" si="56"/>
        <v>0</v>
      </c>
      <c r="M176" s="867">
        <f t="shared" si="56"/>
        <v>0</v>
      </c>
      <c r="N176" s="867">
        <f t="shared" si="56"/>
        <v>0</v>
      </c>
      <c r="O176" s="867">
        <f t="shared" si="56"/>
        <v>0</v>
      </c>
      <c r="P176" s="867">
        <f t="shared" si="56"/>
        <v>0</v>
      </c>
      <c r="Q176" s="868">
        <f t="shared" si="56"/>
        <v>0</v>
      </c>
    </row>
    <row r="177" spans="1:17">
      <c r="A177" s="24" t="s">
        <v>748</v>
      </c>
      <c r="B177" s="869"/>
      <c r="C177" s="870">
        <f t="shared" ref="C177:Q187" si="57">IF(B113=0,0,(C113/B113))</f>
        <v>0</v>
      </c>
      <c r="D177" s="870">
        <f t="shared" si="57"/>
        <v>0</v>
      </c>
      <c r="E177" s="870">
        <f t="shared" si="57"/>
        <v>0</v>
      </c>
      <c r="F177" s="870">
        <f t="shared" si="57"/>
        <v>0</v>
      </c>
      <c r="G177" s="870">
        <f t="shared" si="57"/>
        <v>0</v>
      </c>
      <c r="H177" s="870">
        <f t="shared" si="57"/>
        <v>0</v>
      </c>
      <c r="I177" s="870">
        <f t="shared" si="57"/>
        <v>0</v>
      </c>
      <c r="J177" s="870">
        <f t="shared" si="57"/>
        <v>0</v>
      </c>
      <c r="K177" s="870">
        <f t="shared" si="57"/>
        <v>0</v>
      </c>
      <c r="L177" s="870">
        <f t="shared" si="57"/>
        <v>0</v>
      </c>
      <c r="M177" s="870">
        <f t="shared" si="57"/>
        <v>0</v>
      </c>
      <c r="N177" s="870">
        <f t="shared" si="57"/>
        <v>0</v>
      </c>
      <c r="O177" s="870">
        <f t="shared" si="57"/>
        <v>0</v>
      </c>
      <c r="P177" s="870">
        <f t="shared" si="57"/>
        <v>0</v>
      </c>
      <c r="Q177" s="871">
        <f t="shared" si="57"/>
        <v>0</v>
      </c>
    </row>
    <row r="178" spans="1:17">
      <c r="A178" s="24" t="s">
        <v>749</v>
      </c>
      <c r="B178" s="869"/>
      <c r="C178" s="870">
        <f t="shared" si="57"/>
        <v>0</v>
      </c>
      <c r="D178" s="870">
        <f t="shared" si="57"/>
        <v>0</v>
      </c>
      <c r="E178" s="870">
        <f t="shared" si="57"/>
        <v>0</v>
      </c>
      <c r="F178" s="870">
        <f t="shared" si="57"/>
        <v>0</v>
      </c>
      <c r="G178" s="870">
        <f t="shared" si="57"/>
        <v>0</v>
      </c>
      <c r="H178" s="870">
        <f t="shared" si="57"/>
        <v>0</v>
      </c>
      <c r="I178" s="870">
        <f t="shared" si="57"/>
        <v>0</v>
      </c>
      <c r="J178" s="870">
        <f t="shared" si="57"/>
        <v>0</v>
      </c>
      <c r="K178" s="870">
        <f t="shared" si="57"/>
        <v>0</v>
      </c>
      <c r="L178" s="870">
        <f t="shared" si="57"/>
        <v>0</v>
      </c>
      <c r="M178" s="870">
        <f t="shared" si="57"/>
        <v>0</v>
      </c>
      <c r="N178" s="870">
        <f t="shared" si="57"/>
        <v>0</v>
      </c>
      <c r="O178" s="870">
        <f t="shared" si="57"/>
        <v>0</v>
      </c>
      <c r="P178" s="870">
        <f t="shared" si="57"/>
        <v>0</v>
      </c>
      <c r="Q178" s="871">
        <f t="shared" si="57"/>
        <v>0</v>
      </c>
    </row>
    <row r="179" spans="1:17">
      <c r="A179" s="24" t="s">
        <v>750</v>
      </c>
      <c r="B179" s="869"/>
      <c r="C179" s="870">
        <f t="shared" si="57"/>
        <v>0.96953215997785602</v>
      </c>
      <c r="D179" s="870">
        <f t="shared" si="57"/>
        <v>0.96448762542843047</v>
      </c>
      <c r="E179" s="870">
        <f t="shared" si="57"/>
        <v>0.97336906891068453</v>
      </c>
      <c r="F179" s="870">
        <f t="shared" si="57"/>
        <v>1.013377063564421</v>
      </c>
      <c r="G179" s="870">
        <f t="shared" si="57"/>
        <v>0.97333768716719771</v>
      </c>
      <c r="H179" s="870">
        <f t="shared" si="57"/>
        <v>0.96459587969643579</v>
      </c>
      <c r="I179" s="870">
        <f t="shared" si="57"/>
        <v>0.95664442018826168</v>
      </c>
      <c r="J179" s="870">
        <f t="shared" si="57"/>
        <v>0.95236192843180545</v>
      </c>
      <c r="K179" s="870">
        <f t="shared" si="57"/>
        <v>0.95401465075326042</v>
      </c>
      <c r="L179" s="870">
        <f t="shared" si="57"/>
        <v>0.96067207652626574</v>
      </c>
      <c r="M179" s="870">
        <f t="shared" si="57"/>
        <v>0.96980819048777001</v>
      </c>
      <c r="N179" s="870">
        <f t="shared" si="57"/>
        <v>0.97820912157872042</v>
      </c>
      <c r="O179" s="870">
        <f t="shared" si="57"/>
        <v>0.98480447361588619</v>
      </c>
      <c r="P179" s="870">
        <f t="shared" si="57"/>
        <v>0.98789739421817091</v>
      </c>
      <c r="Q179" s="871">
        <f t="shared" si="57"/>
        <v>0.98829433712105119</v>
      </c>
    </row>
    <row r="180" spans="1:17">
      <c r="A180" s="24" t="s">
        <v>751</v>
      </c>
      <c r="B180" s="869"/>
      <c r="C180" s="870">
        <f t="shared" si="57"/>
        <v>1.0038587733092534</v>
      </c>
      <c r="D180" s="870">
        <f t="shared" si="57"/>
        <v>1.004196254768936</v>
      </c>
      <c r="E180" s="870">
        <f t="shared" si="57"/>
        <v>1.0078040319361345</v>
      </c>
      <c r="F180" s="870">
        <f t="shared" si="57"/>
        <v>0.99509055720088369</v>
      </c>
      <c r="G180" s="870">
        <f t="shared" si="57"/>
        <v>1.0102016079577414</v>
      </c>
      <c r="H180" s="870">
        <f t="shared" si="57"/>
        <v>1.0158826993890508</v>
      </c>
      <c r="I180" s="870">
        <f t="shared" si="57"/>
        <v>1.0198785996179267</v>
      </c>
      <c r="J180" s="870">
        <f t="shared" si="57"/>
        <v>1.0182301044583417</v>
      </c>
      <c r="K180" s="870">
        <f t="shared" si="57"/>
        <v>1.009619424761574</v>
      </c>
      <c r="L180" s="870">
        <f t="shared" si="57"/>
        <v>0.99673367185752115</v>
      </c>
      <c r="M180" s="870">
        <f t="shared" si="57"/>
        <v>0.98162148963227513</v>
      </c>
      <c r="N180" s="870">
        <f t="shared" si="57"/>
        <v>0.9683271879166957</v>
      </c>
      <c r="O180" s="870">
        <f t="shared" si="57"/>
        <v>0.96000623302761179</v>
      </c>
      <c r="P180" s="870">
        <f t="shared" si="57"/>
        <v>0.95984313123523879</v>
      </c>
      <c r="Q180" s="871">
        <f t="shared" si="57"/>
        <v>0.96657239948370666</v>
      </c>
    </row>
    <row r="181" spans="1:17">
      <c r="A181" s="24" t="s">
        <v>752</v>
      </c>
      <c r="B181" s="869"/>
      <c r="C181" s="870">
        <f t="shared" si="57"/>
        <v>0.99622545078813951</v>
      </c>
      <c r="D181" s="870">
        <f t="shared" si="57"/>
        <v>0.99088185067937851</v>
      </c>
      <c r="E181" s="870">
        <f t="shared" si="57"/>
        <v>0.99077874051585024</v>
      </c>
      <c r="F181" s="870">
        <f t="shared" si="57"/>
        <v>0.99541957906962275</v>
      </c>
      <c r="G181" s="870">
        <f t="shared" si="57"/>
        <v>1.0075267875843466</v>
      </c>
      <c r="H181" s="870">
        <f t="shared" si="57"/>
        <v>1.020641298341044</v>
      </c>
      <c r="I181" s="870">
        <f t="shared" si="57"/>
        <v>1.0307917053341766</v>
      </c>
      <c r="J181" s="870">
        <f t="shared" si="57"/>
        <v>1.0365600651297568</v>
      </c>
      <c r="K181" s="870">
        <f t="shared" si="57"/>
        <v>1.0366572449475511</v>
      </c>
      <c r="L181" s="870">
        <f t="shared" si="57"/>
        <v>1.0327639792343344</v>
      </c>
      <c r="M181" s="870">
        <f t="shared" si="57"/>
        <v>1.0292070913223759</v>
      </c>
      <c r="N181" s="870">
        <f t="shared" si="57"/>
        <v>1.0259553661432155</v>
      </c>
      <c r="O181" s="870">
        <f t="shared" si="57"/>
        <v>1.0194608544193244</v>
      </c>
      <c r="P181" s="870">
        <f t="shared" si="57"/>
        <v>1.0092336289273116</v>
      </c>
      <c r="Q181" s="871">
        <f t="shared" si="57"/>
        <v>0.99686765799274923</v>
      </c>
    </row>
    <row r="182" spans="1:17">
      <c r="A182" s="24" t="s">
        <v>753</v>
      </c>
      <c r="B182" s="869"/>
      <c r="C182" s="870">
        <f t="shared" si="57"/>
        <v>1.0125397290998261</v>
      </c>
      <c r="D182" s="870">
        <f t="shared" si="57"/>
        <v>1.014972685097016</v>
      </c>
      <c r="E182" s="870">
        <f t="shared" si="57"/>
        <v>1.0147768925124971</v>
      </c>
      <c r="F182" s="870">
        <f t="shared" si="57"/>
        <v>1.0097146413086804</v>
      </c>
      <c r="G182" s="870">
        <f t="shared" si="57"/>
        <v>1.0048994386498842</v>
      </c>
      <c r="H182" s="870">
        <f t="shared" si="57"/>
        <v>0.99774692306375923</v>
      </c>
      <c r="I182" s="870">
        <f t="shared" si="57"/>
        <v>0.99238197751508228</v>
      </c>
      <c r="J182" s="870">
        <f t="shared" si="57"/>
        <v>0.99204587247673193</v>
      </c>
      <c r="K182" s="870">
        <f t="shared" si="57"/>
        <v>0.99883806014588672</v>
      </c>
      <c r="L182" s="870">
        <f t="shared" si="57"/>
        <v>1.0105624922314973</v>
      </c>
      <c r="M182" s="870">
        <f t="shared" si="57"/>
        <v>1.0234188563404119</v>
      </c>
      <c r="N182" s="870">
        <f t="shared" si="57"/>
        <v>1.0332119608032315</v>
      </c>
      <c r="O182" s="870">
        <f t="shared" si="57"/>
        <v>1.0386679617161416</v>
      </c>
      <c r="P182" s="870">
        <f t="shared" si="57"/>
        <v>1.0385552908190288</v>
      </c>
      <c r="Q182" s="871">
        <f t="shared" si="57"/>
        <v>1.0345226541882244</v>
      </c>
    </row>
    <row r="183" spans="1:17">
      <c r="A183" s="24" t="s">
        <v>754</v>
      </c>
      <c r="B183" s="869"/>
      <c r="C183" s="870">
        <f t="shared" si="57"/>
        <v>1.0238099862972199</v>
      </c>
      <c r="D183" s="870">
        <f t="shared" si="57"/>
        <v>1.0265540173950092</v>
      </c>
      <c r="E183" s="870">
        <f t="shared" si="57"/>
        <v>1.0259556598039647</v>
      </c>
      <c r="F183" s="870">
        <f t="shared" si="57"/>
        <v>1.0236288832085598</v>
      </c>
      <c r="G183" s="870">
        <f t="shared" si="57"/>
        <v>1.0129837250351277</v>
      </c>
      <c r="H183" s="870">
        <f t="shared" si="57"/>
        <v>1.0051043080762485</v>
      </c>
      <c r="I183" s="870">
        <f t="shared" si="57"/>
        <v>0.99887451894516821</v>
      </c>
      <c r="J183" s="870">
        <f t="shared" si="57"/>
        <v>0.99424482075610743</v>
      </c>
      <c r="K183" s="870">
        <f t="shared" si="57"/>
        <v>0.99196297929302679</v>
      </c>
      <c r="L183" s="870">
        <f t="shared" si="57"/>
        <v>0.99173656747808081</v>
      </c>
      <c r="M183" s="870">
        <f t="shared" si="57"/>
        <v>0.9912673249810281</v>
      </c>
      <c r="N183" s="870">
        <f t="shared" si="57"/>
        <v>0.99115203714027755</v>
      </c>
      <c r="O183" s="870">
        <f t="shared" si="57"/>
        <v>0.99451282376100991</v>
      </c>
      <c r="P183" s="870">
        <f t="shared" si="57"/>
        <v>1.0023490344340813</v>
      </c>
      <c r="Q183" s="871">
        <f t="shared" si="57"/>
        <v>1.0130340798929616</v>
      </c>
    </row>
    <row r="184" spans="1:17">
      <c r="A184" s="24" t="s">
        <v>755</v>
      </c>
      <c r="B184" s="869"/>
      <c r="C184" s="870">
        <f t="shared" si="57"/>
        <v>1.0394765522927778</v>
      </c>
      <c r="D184" s="870">
        <f t="shared" si="57"/>
        <v>1.0372284230357869</v>
      </c>
      <c r="E184" s="870">
        <f t="shared" si="57"/>
        <v>1.0335071351029279</v>
      </c>
      <c r="F184" s="870">
        <f t="shared" si="57"/>
        <v>1.0278752513570699</v>
      </c>
      <c r="G184" s="870">
        <f t="shared" si="57"/>
        <v>1.0220173315799523</v>
      </c>
      <c r="H184" s="870">
        <f t="shared" si="57"/>
        <v>1.0158354615865675</v>
      </c>
      <c r="I184" s="870">
        <f t="shared" si="57"/>
        <v>1.0104212377852437</v>
      </c>
      <c r="J184" s="870">
        <f t="shared" si="57"/>
        <v>1.0059815793367393</v>
      </c>
      <c r="K184" s="870">
        <f t="shared" si="57"/>
        <v>1.0028504387764599</v>
      </c>
      <c r="L184" s="870">
        <f t="shared" si="57"/>
        <v>1.0007543340343683</v>
      </c>
      <c r="M184" s="870">
        <f t="shared" si="57"/>
        <v>0.99933989127419642</v>
      </c>
      <c r="N184" s="870">
        <f t="shared" si="57"/>
        <v>0.99810990480869743</v>
      </c>
      <c r="O184" s="870">
        <f t="shared" si="57"/>
        <v>0.99688411713922742</v>
      </c>
      <c r="P184" s="870">
        <f t="shared" si="57"/>
        <v>0.99548171846778333</v>
      </c>
      <c r="Q184" s="871">
        <f t="shared" si="57"/>
        <v>0.99426733873059125</v>
      </c>
    </row>
    <row r="185" spans="1:17">
      <c r="A185" s="24" t="s">
        <v>756</v>
      </c>
      <c r="B185" s="869"/>
      <c r="C185" s="870">
        <f t="shared" si="57"/>
        <v>1.0651176924823105</v>
      </c>
      <c r="D185" s="870">
        <f t="shared" si="57"/>
        <v>1.0628543688480339</v>
      </c>
      <c r="E185" s="870">
        <f t="shared" si="57"/>
        <v>1.0575901435999169</v>
      </c>
      <c r="F185" s="870">
        <f t="shared" si="57"/>
        <v>1.0523115772210756</v>
      </c>
      <c r="G185" s="870">
        <f t="shared" si="57"/>
        <v>1.0404233386815325</v>
      </c>
      <c r="H185" s="870">
        <f t="shared" si="57"/>
        <v>1.0308602025203102</v>
      </c>
      <c r="I185" s="870">
        <f t="shared" si="57"/>
        <v>1.0227722811371638</v>
      </c>
      <c r="J185" s="870">
        <f t="shared" si="57"/>
        <v>1.0168001914867706</v>
      </c>
      <c r="K185" s="870">
        <f t="shared" si="57"/>
        <v>1.0135241460448305</v>
      </c>
      <c r="L185" s="870">
        <f t="shared" si="57"/>
        <v>1.0121149406419503</v>
      </c>
      <c r="M185" s="870">
        <f t="shared" si="57"/>
        <v>1.0113043596761877</v>
      </c>
      <c r="N185" s="870">
        <f t="shared" si="57"/>
        <v>1.0100522308752415</v>
      </c>
      <c r="O185" s="870">
        <f t="shared" si="57"/>
        <v>1.0083520713743126</v>
      </c>
      <c r="P185" s="870">
        <f t="shared" si="57"/>
        <v>1.0058664155996508</v>
      </c>
      <c r="Q185" s="871">
        <f t="shared" si="57"/>
        <v>1.0029348566722074</v>
      </c>
    </row>
    <row r="186" spans="1:17">
      <c r="A186" s="24" t="s">
        <v>757</v>
      </c>
      <c r="B186" s="869"/>
      <c r="C186" s="870">
        <f t="shared" si="57"/>
        <v>1.0842400591382759</v>
      </c>
      <c r="D186" s="870">
        <f t="shared" si="57"/>
        <v>1.0774888632567021</v>
      </c>
      <c r="E186" s="870">
        <f t="shared" si="57"/>
        <v>1.0709810149848022</v>
      </c>
      <c r="F186" s="870">
        <f t="shared" si="57"/>
        <v>1.0717474337756427</v>
      </c>
      <c r="G186" s="870">
        <f t="shared" si="57"/>
        <v>1.0616827394135342</v>
      </c>
      <c r="H186" s="870">
        <f t="shared" si="57"/>
        <v>1.0564726397307707</v>
      </c>
      <c r="I186" s="870">
        <f t="shared" si="57"/>
        <v>1.0511549258622011</v>
      </c>
      <c r="J186" s="870">
        <f t="shared" si="57"/>
        <v>1.045664091206346</v>
      </c>
      <c r="K186" s="870">
        <f t="shared" si="57"/>
        <v>1.0399603498516925</v>
      </c>
      <c r="L186" s="870">
        <f t="shared" si="57"/>
        <v>1.0343082928273086</v>
      </c>
      <c r="M186" s="870">
        <f t="shared" si="57"/>
        <v>1.0287555361096319</v>
      </c>
      <c r="N186" s="870">
        <f t="shared" si="57"/>
        <v>1.0237496127577677</v>
      </c>
      <c r="O186" s="870">
        <f t="shared" si="57"/>
        <v>1.0197423715023659</v>
      </c>
      <c r="P186" s="870">
        <f t="shared" si="57"/>
        <v>1.0169340445009798</v>
      </c>
      <c r="Q186" s="871">
        <f t="shared" si="57"/>
        <v>1.0149589481033194</v>
      </c>
    </row>
    <row r="187" spans="1:17">
      <c r="A187" s="24" t="s">
        <v>758</v>
      </c>
      <c r="B187" s="869"/>
      <c r="C187" s="870">
        <f t="shared" si="57"/>
        <v>1.0757225248514226</v>
      </c>
      <c r="D187" s="870">
        <f t="shared" si="57"/>
        <v>1.0873843076182881</v>
      </c>
      <c r="E187" s="870">
        <f t="shared" si="57"/>
        <v>1.092260140866554</v>
      </c>
      <c r="F187" s="870">
        <f t="shared" si="57"/>
        <v>1.0891864881071358</v>
      </c>
      <c r="G187" s="870">
        <f t="shared" si="57"/>
        <v>1.0830301695661748</v>
      </c>
      <c r="H187" s="870">
        <f t="shared" ref="H187:Q187" si="58">IF(G123=0,0,(H123/G123))</f>
        <v>1.0757731851622914</v>
      </c>
      <c r="I187" s="870">
        <f t="shared" si="58"/>
        <v>1.0698248875489169</v>
      </c>
      <c r="J187" s="870">
        <f t="shared" si="58"/>
        <v>1.064655898404941</v>
      </c>
      <c r="K187" s="870">
        <f t="shared" si="58"/>
        <v>1.0605368887446598</v>
      </c>
      <c r="L187" s="870">
        <f t="shared" si="58"/>
        <v>1.0569638321287809</v>
      </c>
      <c r="M187" s="870">
        <f t="shared" si="58"/>
        <v>1.0536194652331121</v>
      </c>
      <c r="N187" s="870">
        <f t="shared" si="58"/>
        <v>1.0498082089983312</v>
      </c>
      <c r="O187" s="870">
        <f t="shared" si="58"/>
        <v>1.0451192156624807</v>
      </c>
      <c r="P187" s="870">
        <f t="shared" si="58"/>
        <v>1.0394054856574995</v>
      </c>
      <c r="Q187" s="871">
        <f t="shared" si="58"/>
        <v>1.0332469516577478</v>
      </c>
    </row>
    <row r="188" spans="1:17">
      <c r="A188" s="24" t="s">
        <v>759</v>
      </c>
      <c r="B188" s="869"/>
      <c r="C188" s="870">
        <f t="shared" ref="C188:Q190" si="59">IF(B124=0,0,(C124/B124))</f>
        <v>1.0152353786633326</v>
      </c>
      <c r="D188" s="870">
        <f t="shared" si="59"/>
        <v>1.0088748395510945</v>
      </c>
      <c r="E188" s="870">
        <f t="shared" si="59"/>
        <v>1.010785113491784</v>
      </c>
      <c r="F188" s="870">
        <f t="shared" si="59"/>
        <v>0.98978044234828755</v>
      </c>
      <c r="G188" s="870">
        <f t="shared" si="59"/>
        <v>1.0479903450097869</v>
      </c>
      <c r="H188" s="870">
        <f t="shared" si="59"/>
        <v>1.0718431338397352</v>
      </c>
      <c r="I188" s="870">
        <f t="shared" si="59"/>
        <v>1.0880477661723986</v>
      </c>
      <c r="J188" s="870">
        <f t="shared" si="59"/>
        <v>1.0950253942769779</v>
      </c>
      <c r="K188" s="870">
        <f t="shared" si="59"/>
        <v>1.0925218558567775</v>
      </c>
      <c r="L188" s="870">
        <f t="shared" si="59"/>
        <v>1.084949321313794</v>
      </c>
      <c r="M188" s="870">
        <f t="shared" si="59"/>
        <v>1.077008035548692</v>
      </c>
      <c r="N188" s="870">
        <f t="shared" si="59"/>
        <v>1.0708432291933905</v>
      </c>
      <c r="O188" s="870">
        <f t="shared" si="59"/>
        <v>1.0655125879211618</v>
      </c>
      <c r="P188" s="870">
        <f t="shared" si="59"/>
        <v>1.0613348824086726</v>
      </c>
      <c r="Q188" s="871">
        <f t="shared" si="59"/>
        <v>1.0577630403604155</v>
      </c>
    </row>
    <row r="189" spans="1:17">
      <c r="A189" s="24" t="s">
        <v>772</v>
      </c>
      <c r="B189" s="872"/>
      <c r="C189" s="873">
        <f t="shared" si="59"/>
        <v>1.0326742814961853</v>
      </c>
      <c r="D189" s="873">
        <f t="shared" si="59"/>
        <v>1.0301465765343687</v>
      </c>
      <c r="E189" s="873">
        <f t="shared" si="59"/>
        <v>1.024295354164853</v>
      </c>
      <c r="F189" s="873">
        <f t="shared" si="59"/>
        <v>0.92959374222979996</v>
      </c>
      <c r="G189" s="873">
        <f t="shared" si="59"/>
        <v>0.998711735894941</v>
      </c>
      <c r="H189" s="873">
        <f t="shared" si="59"/>
        <v>0.99887404775731892</v>
      </c>
      <c r="I189" s="873">
        <f t="shared" si="59"/>
        <v>0.99985499335842221</v>
      </c>
      <c r="J189" s="873">
        <f t="shared" si="59"/>
        <v>1.0028882397608412</v>
      </c>
      <c r="K189" s="873">
        <f t="shared" si="59"/>
        <v>1.0083723734867109</v>
      </c>
      <c r="L189" s="873">
        <f t="shared" si="59"/>
        <v>1.0154800897796503</v>
      </c>
      <c r="M189" s="873">
        <f t="shared" si="59"/>
        <v>1.0229021363336597</v>
      </c>
      <c r="N189" s="873">
        <f t="shared" si="59"/>
        <v>1.029625866953209</v>
      </c>
      <c r="O189" s="873">
        <f t="shared" si="59"/>
        <v>1.0355714775445561</v>
      </c>
      <c r="P189" s="873">
        <f t="shared" si="59"/>
        <v>1.04040476839054</v>
      </c>
      <c r="Q189" s="874">
        <f t="shared" si="59"/>
        <v>1.044251735903198</v>
      </c>
    </row>
    <row r="190" spans="1:17">
      <c r="A190" s="25" t="s">
        <v>760</v>
      </c>
      <c r="B190" s="865"/>
      <c r="C190" s="875">
        <f t="shared" si="59"/>
        <v>1.0224416483290883</v>
      </c>
      <c r="D190" s="875">
        <f t="shared" si="59"/>
        <v>1.0222440858159045</v>
      </c>
      <c r="E190" s="875">
        <f t="shared" si="59"/>
        <v>1.0228691233202085</v>
      </c>
      <c r="F190" s="875">
        <f t="shared" si="59"/>
        <v>1.0211140051859664</v>
      </c>
      <c r="G190" s="875">
        <f t="shared" si="59"/>
        <v>1.0195532289942593</v>
      </c>
      <c r="H190" s="875">
        <f t="shared" si="59"/>
        <v>1.0177594083498829</v>
      </c>
      <c r="I190" s="875">
        <f t="shared" si="59"/>
        <v>1.016123417055689</v>
      </c>
      <c r="J190" s="875">
        <f t="shared" si="59"/>
        <v>1.0146778031790304</v>
      </c>
      <c r="K190" s="875">
        <f t="shared" si="59"/>
        <v>1.0135361700260626</v>
      </c>
      <c r="L190" s="875">
        <f t="shared" si="59"/>
        <v>1.012610645506</v>
      </c>
      <c r="M190" s="875">
        <f t="shared" si="59"/>
        <v>1.0117192133726618</v>
      </c>
      <c r="N190" s="875">
        <f t="shared" si="59"/>
        <v>1.0107565731374772</v>
      </c>
      <c r="O190" s="875">
        <f t="shared" si="59"/>
        <v>1.0097816168491083</v>
      </c>
      <c r="P190" s="875">
        <f t="shared" si="59"/>
        <v>1.0087786082265751</v>
      </c>
      <c r="Q190" s="875">
        <f t="shared" si="59"/>
        <v>1.0077754392421758</v>
      </c>
    </row>
  </sheetData>
  <mergeCells count="18">
    <mergeCell ref="B110:G110"/>
    <mergeCell ref="H110:Q110"/>
    <mergeCell ref="B90:G90"/>
    <mergeCell ref="H90:Q90"/>
    <mergeCell ref="B174:G174"/>
    <mergeCell ref="H174:Q174"/>
    <mergeCell ref="B134:G134"/>
    <mergeCell ref="H134:Q134"/>
    <mergeCell ref="B154:G154"/>
    <mergeCell ref="H154:Q154"/>
    <mergeCell ref="B5:G5"/>
    <mergeCell ref="H5:Q5"/>
    <mergeCell ref="B45:G45"/>
    <mergeCell ref="H45:Q45"/>
    <mergeCell ref="B70:G70"/>
    <mergeCell ref="H70:Q70"/>
    <mergeCell ref="B25:G25"/>
    <mergeCell ref="H25:Q25"/>
  </mergeCells>
  <phoneticPr fontId="24" type="noConversion"/>
  <pageMargins left="0.7" right="0.7" top="0.75" bottom="0.75" header="0.3" footer="0.3"/>
  <pageSetup paperSize="9" orientation="portrait" horizontalDpi="1200" verticalDpi="1200" r:id="rId1"/>
  <ignoredErrors>
    <ignoredError sqref="A9 A29 A49" twoDigitTextYear="1"/>
  </ignoredErrors>
</worksheet>
</file>

<file path=xl/worksheets/sheet5.xml><?xml version="1.0" encoding="utf-8"?>
<worksheet xmlns="http://schemas.openxmlformats.org/spreadsheetml/2006/main" xmlns:r="http://schemas.openxmlformats.org/officeDocument/2006/relationships">
  <sheetPr codeName="Sheet4">
    <tabColor theme="3" tint="-0.249977111117893"/>
  </sheetPr>
  <dimension ref="A1:S117"/>
  <sheetViews>
    <sheetView zoomScale="75" zoomScaleNormal="75" workbookViewId="0">
      <pane xSplit="1" ySplit="9" topLeftCell="E45" activePane="bottomRight" state="frozen"/>
      <selection pane="topRight" activeCell="B1" sqref="B1"/>
      <selection pane="bottomLeft" activeCell="A10" sqref="A10"/>
      <selection pane="bottomRight" activeCell="E64" sqref="E64"/>
    </sheetView>
  </sheetViews>
  <sheetFormatPr defaultColWidth="8.85546875" defaultRowHeight="15"/>
  <cols>
    <col min="1" max="1" width="32.85546875" style="17" customWidth="1"/>
    <col min="2" max="4" width="14" style="17" customWidth="1"/>
    <col min="5" max="6" width="14.5703125" style="17" customWidth="1"/>
    <col min="7" max="17" width="14.5703125" style="17" bestFit="1" customWidth="1"/>
    <col min="18" max="18" width="23.5703125" style="149" customWidth="1"/>
    <col min="19" max="19" width="95.85546875" style="17" customWidth="1"/>
    <col min="20" max="16384" width="8.85546875" style="17"/>
  </cols>
  <sheetData>
    <row r="1" spans="1:19" ht="21" hidden="1">
      <c r="A1" s="495" t="s">
        <v>814</v>
      </c>
      <c r="B1" s="18"/>
      <c r="C1" s="18"/>
      <c r="D1" s="18"/>
    </row>
    <row r="2" spans="1:19" hidden="1">
      <c r="O2" s="146"/>
      <c r="P2" s="147"/>
      <c r="Q2" s="148"/>
    </row>
    <row r="3" spans="1:19" hidden="1">
      <c r="F3" s="17">
        <f>830*12</f>
        <v>9960</v>
      </c>
      <c r="O3" s="146"/>
      <c r="P3" s="147"/>
      <c r="Q3" s="148"/>
    </row>
    <row r="4" spans="1:19" hidden="1">
      <c r="O4" s="146"/>
      <c r="P4" s="1510"/>
      <c r="Q4" s="1510"/>
    </row>
    <row r="5" spans="1:19" hidden="1">
      <c r="E5" s="17">
        <f>E19/12</f>
        <v>45000</v>
      </c>
      <c r="O5" s="146"/>
      <c r="P5" s="1510"/>
      <c r="Q5" s="1510"/>
    </row>
    <row r="6" spans="1:19" hidden="1">
      <c r="E6" s="17">
        <f>3360*12</f>
        <v>40320</v>
      </c>
      <c r="O6" s="146"/>
      <c r="P6" s="147"/>
      <c r="Q6" s="148"/>
    </row>
    <row r="7" spans="1:19" ht="9.9499999999999993" customHeight="1">
      <c r="B7" s="337"/>
      <c r="C7" s="337"/>
      <c r="D7" s="337"/>
      <c r="E7" s="337"/>
      <c r="F7" s="337"/>
    </row>
    <row r="8" spans="1:19" ht="17.25">
      <c r="A8" s="422"/>
      <c r="B8" s="1501" t="s">
        <v>730</v>
      </c>
      <c r="C8" s="1502"/>
      <c r="D8" s="1502"/>
      <c r="E8" s="1502"/>
      <c r="F8" s="1502"/>
      <c r="G8" s="1502"/>
      <c r="H8" s="1501" t="s">
        <v>734</v>
      </c>
      <c r="I8" s="1502"/>
      <c r="J8" s="1502"/>
      <c r="K8" s="1502"/>
      <c r="L8" s="1502"/>
      <c r="M8" s="1502"/>
      <c r="N8" s="1502"/>
      <c r="O8" s="1502"/>
      <c r="P8" s="1502"/>
      <c r="Q8" s="1511"/>
      <c r="R8" s="1508" t="s">
        <v>744</v>
      </c>
      <c r="S8" s="1506" t="s">
        <v>540</v>
      </c>
    </row>
    <row r="9" spans="1:19" ht="17.25">
      <c r="A9" s="423" t="s">
        <v>740</v>
      </c>
      <c r="B9" s="424">
        <v>2005</v>
      </c>
      <c r="C9" s="425">
        <v>2006</v>
      </c>
      <c r="D9" s="425">
        <v>2007</v>
      </c>
      <c r="E9" s="425">
        <v>2008</v>
      </c>
      <c r="F9" s="425">
        <v>2009</v>
      </c>
      <c r="G9" s="425">
        <v>2010</v>
      </c>
      <c r="H9" s="424">
        <v>2011</v>
      </c>
      <c r="I9" s="425">
        <v>2012</v>
      </c>
      <c r="J9" s="425">
        <v>2013</v>
      </c>
      <c r="K9" s="425">
        <v>2014</v>
      </c>
      <c r="L9" s="425">
        <v>2015</v>
      </c>
      <c r="M9" s="425">
        <v>2016</v>
      </c>
      <c r="N9" s="425">
        <v>2017</v>
      </c>
      <c r="O9" s="425">
        <v>2018</v>
      </c>
      <c r="P9" s="425">
        <v>2019</v>
      </c>
      <c r="Q9" s="426">
        <v>2020</v>
      </c>
      <c r="R9" s="1509"/>
      <c r="S9" s="1507"/>
    </row>
    <row r="10" spans="1:19" ht="9.9499999999999993" customHeight="1">
      <c r="A10" s="33"/>
      <c r="B10" s="508"/>
      <c r="C10" s="509"/>
      <c r="D10" s="509"/>
      <c r="E10" s="509"/>
      <c r="F10" s="509"/>
      <c r="G10" s="510"/>
      <c r="H10" s="511"/>
      <c r="I10" s="512"/>
      <c r="J10" s="512"/>
      <c r="K10" s="512"/>
      <c r="L10" s="512"/>
      <c r="M10" s="512"/>
      <c r="N10" s="512"/>
      <c r="O10" s="512"/>
      <c r="P10" s="512"/>
      <c r="Q10" s="513"/>
    </row>
    <row r="11" spans="1:19" ht="30">
      <c r="A11" s="427" t="s">
        <v>834</v>
      </c>
      <c r="B11" s="1097">
        <f>'IMF Data'!C6</f>
        <v>15854.7796740699</v>
      </c>
      <c r="C11" s="1097">
        <f>'IMF Data'!D6</f>
        <v>15989.1028432824</v>
      </c>
      <c r="D11" s="1097">
        <f>'IMF Data'!E6</f>
        <v>16083.2954161177</v>
      </c>
      <c r="E11" s="1097">
        <f>'IMF Data'!F6</f>
        <v>16445.275142731702</v>
      </c>
      <c r="F11" s="1097">
        <f>'IMF Data'!G6</f>
        <v>17799.821103896102</v>
      </c>
      <c r="G11" s="1368">
        <f>'IMF Data'!H6</f>
        <v>19125.537563523401</v>
      </c>
      <c r="H11" s="1368">
        <f>'IMF Data'!I6</f>
        <v>20307.167000000001</v>
      </c>
      <c r="I11" s="1368">
        <f>'IMF Data'!J6</f>
        <v>21433.079010000001</v>
      </c>
      <c r="J11" s="1368">
        <f>'IMF Data'!K6</f>
        <v>22076.0713803</v>
      </c>
      <c r="K11" s="1368">
        <f>'IMF Data'!L6</f>
        <v>22738.353521708999</v>
      </c>
      <c r="L11" s="1368">
        <f>'IMF Data'!M6</f>
        <v>23420.504127360298</v>
      </c>
      <c r="M11" s="1368">
        <f>'IMF Data'!N6</f>
        <v>24123.119251181099</v>
      </c>
      <c r="N11" s="1368">
        <f>'IMF Data'!O6</f>
        <v>24846.812828716498</v>
      </c>
      <c r="O11" s="1368">
        <f>'IMF Data'!P6</f>
        <v>25592.217213577998</v>
      </c>
      <c r="P11" s="1368">
        <f>'IMF Data'!Q6</f>
        <v>26359.983729985401</v>
      </c>
      <c r="Q11" s="1368">
        <f>'IMF Data'!R6</f>
        <v>27150.783241884899</v>
      </c>
      <c r="S11" s="17" t="s">
        <v>531</v>
      </c>
    </row>
    <row r="12" spans="1:19">
      <c r="A12" s="427" t="s">
        <v>738</v>
      </c>
      <c r="B12" s="888"/>
      <c r="C12" s="889"/>
      <c r="D12" s="889"/>
      <c r="E12" s="889">
        <v>6123.9952029434053</v>
      </c>
      <c r="F12" s="889">
        <v>6434.2738489486474</v>
      </c>
      <c r="G12" s="890">
        <v>6760.273088288217</v>
      </c>
      <c r="H12" s="879"/>
      <c r="I12" s="880"/>
      <c r="J12" s="880"/>
      <c r="K12" s="880"/>
      <c r="L12" s="880"/>
      <c r="M12" s="880"/>
      <c r="N12" s="880"/>
      <c r="O12" s="880"/>
      <c r="P12" s="880"/>
      <c r="Q12" s="881"/>
      <c r="S12" s="17" t="s">
        <v>531</v>
      </c>
    </row>
    <row r="13" spans="1:19" ht="9.9499999999999993" customHeight="1">
      <c r="A13" s="514"/>
      <c r="B13" s="515"/>
      <c r="C13" s="516"/>
      <c r="D13" s="516"/>
      <c r="E13" s="516"/>
      <c r="F13" s="516"/>
      <c r="G13" s="517"/>
      <c r="H13" s="518"/>
      <c r="I13" s="519"/>
      <c r="J13" s="519"/>
      <c r="K13" s="519"/>
      <c r="L13" s="519"/>
      <c r="M13" s="519"/>
      <c r="N13" s="519"/>
      <c r="O13" s="519"/>
      <c r="P13" s="519"/>
      <c r="Q13" s="520"/>
    </row>
    <row r="14" spans="1:19">
      <c r="A14" s="427" t="s">
        <v>640</v>
      </c>
      <c r="B14" s="888">
        <v>6.13</v>
      </c>
      <c r="C14" s="889">
        <v>4.7300000000000004</v>
      </c>
      <c r="D14" s="889">
        <v>3.15</v>
      </c>
      <c r="E14" s="889"/>
      <c r="F14" s="889">
        <v>8.0399999999999991</v>
      </c>
      <c r="G14" s="890">
        <f>G44+2</f>
        <v>13.859632610595035</v>
      </c>
      <c r="H14" s="888">
        <f t="shared" ref="H14:Q14" si="0">H44+2</f>
        <v>16.388726593715297</v>
      </c>
      <c r="I14" s="889">
        <f t="shared" si="0"/>
        <v>9.1587075872234358</v>
      </c>
      <c r="J14" s="889">
        <f t="shared" si="0"/>
        <v>9.0957092264532946</v>
      </c>
      <c r="K14" s="889">
        <f t="shared" si="0"/>
        <v>8.5981741996719201</v>
      </c>
      <c r="L14" s="889">
        <f t="shared" si="0"/>
        <v>8.0504040296794663</v>
      </c>
      <c r="M14" s="891">
        <f t="shared" si="0"/>
        <v>7.6165623416826875</v>
      </c>
      <c r="N14" s="891">
        <f t="shared" si="0"/>
        <v>7.4302796353774347</v>
      </c>
      <c r="O14" s="891">
        <f t="shared" si="0"/>
        <v>7.4296601551823755</v>
      </c>
      <c r="P14" s="891">
        <f t="shared" si="0"/>
        <v>7.4634307404283593</v>
      </c>
      <c r="Q14" s="892">
        <f t="shared" si="0"/>
        <v>7.4988330545891726</v>
      </c>
      <c r="S14" s="17" t="s">
        <v>531</v>
      </c>
    </row>
    <row r="15" spans="1:19" ht="9.9499999999999993" customHeight="1">
      <c r="A15" s="514" t="s">
        <v>641</v>
      </c>
      <c r="B15" s="515"/>
      <c r="C15" s="516"/>
      <c r="D15" s="516"/>
      <c r="E15" s="516"/>
      <c r="F15" s="516"/>
      <c r="G15" s="517"/>
      <c r="H15" s="518"/>
      <c r="I15" s="519"/>
      <c r="J15" s="519"/>
      <c r="K15" s="519"/>
      <c r="L15" s="519"/>
      <c r="M15" s="519"/>
      <c r="N15" s="519"/>
      <c r="O15" s="519"/>
      <c r="P15" s="519"/>
      <c r="Q15" s="520"/>
    </row>
    <row r="16" spans="1:19" ht="15" customHeight="1">
      <c r="A16" s="429" t="s">
        <v>773</v>
      </c>
      <c r="B16" s="430"/>
      <c r="C16" s="431"/>
      <c r="D16" s="431"/>
      <c r="E16" s="521"/>
      <c r="F16" s="521"/>
      <c r="G16" s="522"/>
      <c r="H16" s="523"/>
      <c r="I16" s="524"/>
      <c r="J16" s="524"/>
      <c r="K16" s="524"/>
      <c r="L16" s="524"/>
      <c r="M16" s="524"/>
      <c r="N16" s="524"/>
      <c r="O16" s="524"/>
      <c r="P16" s="524"/>
      <c r="Q16" s="525"/>
      <c r="R16" s="776"/>
      <c r="S16" s="11"/>
    </row>
    <row r="17" spans="1:19" ht="9.9499999999999993" customHeight="1">
      <c r="A17" s="432"/>
      <c r="B17" s="433"/>
      <c r="C17" s="434"/>
      <c r="D17" s="434"/>
      <c r="E17" s="516"/>
      <c r="F17" s="516"/>
      <c r="G17" s="517"/>
      <c r="H17" s="518"/>
      <c r="I17" s="518"/>
      <c r="J17" s="519"/>
      <c r="K17" s="519"/>
      <c r="L17" s="519"/>
      <c r="M17" s="519"/>
      <c r="N17" s="519"/>
      <c r="O17" s="519"/>
      <c r="P17" s="519"/>
      <c r="Q17" s="520"/>
    </row>
    <row r="18" spans="1:19">
      <c r="A18" s="427" t="s">
        <v>739</v>
      </c>
      <c r="B18" s="918">
        <v>897571</v>
      </c>
      <c r="C18" s="919">
        <v>1023434</v>
      </c>
      <c r="D18" s="919">
        <v>1208563</v>
      </c>
      <c r="E18" s="919">
        <v>1427180</v>
      </c>
      <c r="F18" s="919">
        <f>E18*(1+F50/100)</f>
        <v>1501190.6273467166</v>
      </c>
      <c r="G18" s="1369">
        <f t="shared" ref="G18:Q18" si="1">F18*(1+G50/100)</f>
        <v>1631744.4809929552</v>
      </c>
      <c r="H18" s="1370">
        <f t="shared" si="1"/>
        <v>1792193.2690485099</v>
      </c>
      <c r="I18" s="1371">
        <f t="shared" si="1"/>
        <v>1973979.0660816871</v>
      </c>
      <c r="J18" s="1371">
        <f t="shared" si="1"/>
        <v>2180708.5409323559</v>
      </c>
      <c r="K18" s="1371">
        <f t="shared" si="1"/>
        <v>2416244.5152603243</v>
      </c>
      <c r="L18" s="1371">
        <f t="shared" si="1"/>
        <v>2684971.1784777706</v>
      </c>
      <c r="M18" s="1371">
        <f t="shared" si="1"/>
        <v>2994511.9175297813</v>
      </c>
      <c r="N18" s="1371">
        <f t="shared" si="1"/>
        <v>3352398.6179237124</v>
      </c>
      <c r="O18" s="1371">
        <f t="shared" si="1"/>
        <v>3767819.9654211053</v>
      </c>
      <c r="P18" s="1371">
        <f t="shared" si="1"/>
        <v>4252008.6542374352</v>
      </c>
      <c r="Q18" s="1372">
        <f t="shared" si="1"/>
        <v>4818760.1958383536</v>
      </c>
      <c r="S18" s="17" t="s">
        <v>299</v>
      </c>
    </row>
    <row r="19" spans="1:19">
      <c r="A19" s="427" t="s">
        <v>779</v>
      </c>
      <c r="B19" s="918">
        <v>290000</v>
      </c>
      <c r="C19" s="919">
        <v>450000</v>
      </c>
      <c r="D19" s="919">
        <v>450000</v>
      </c>
      <c r="E19" s="919">
        <v>540000</v>
      </c>
      <c r="F19" s="919">
        <v>650000</v>
      </c>
      <c r="G19" s="1369">
        <v>730000</v>
      </c>
      <c r="H19" s="1373">
        <v>830000</v>
      </c>
      <c r="I19" s="1374">
        <v>1050000</v>
      </c>
      <c r="J19" s="1374">
        <f>I19*(1+J50/100)</f>
        <v>1159963.6527676429</v>
      </c>
      <c r="K19" s="1374">
        <f t="shared" ref="K19:Q19" si="2">J19*(1+K50/100)</f>
        <v>1285250.0741354635</v>
      </c>
      <c r="L19" s="1374">
        <f t="shared" si="2"/>
        <v>1428191.3044791101</v>
      </c>
      <c r="M19" s="1374">
        <f t="shared" si="2"/>
        <v>1592842.3798574146</v>
      </c>
      <c r="N19" s="1374">
        <f t="shared" si="2"/>
        <v>1783209.6648355406</v>
      </c>
      <c r="O19" s="1374">
        <f t="shared" si="2"/>
        <v>2004180.8100554829</v>
      </c>
      <c r="P19" s="1374">
        <f t="shared" si="2"/>
        <v>2261730.716228656</v>
      </c>
      <c r="Q19" s="1374">
        <f t="shared" si="2"/>
        <v>2563197.4991881154</v>
      </c>
      <c r="R19" s="1305" t="s">
        <v>1102</v>
      </c>
      <c r="S19" s="17" t="s">
        <v>299</v>
      </c>
    </row>
    <row r="20" spans="1:19">
      <c r="A20" s="427" t="s">
        <v>705</v>
      </c>
      <c r="B20" s="918"/>
      <c r="C20" s="919"/>
      <c r="D20" s="919"/>
      <c r="E20" s="919"/>
      <c r="F20" s="919"/>
      <c r="G20" s="890">
        <v>73</v>
      </c>
      <c r="H20" s="882">
        <f>G20*(POWER($Q20/$G20,1/10))</f>
        <v>72.157571731930759</v>
      </c>
      <c r="I20" s="883">
        <f t="shared" ref="I20:P21" si="3">H20*(POWER($Q20/$G20,1/10))</f>
        <v>71.3248651814895</v>
      </c>
      <c r="J20" s="883">
        <f t="shared" si="3"/>
        <v>70.501768158953695</v>
      </c>
      <c r="K20" s="883">
        <f t="shared" si="3"/>
        <v>69.688169769282922</v>
      </c>
      <c r="L20" s="883">
        <f t="shared" si="3"/>
        <v>68.8839603971781</v>
      </c>
      <c r="M20" s="883">
        <f t="shared" si="3"/>
        <v>68.089031692313114</v>
      </c>
      <c r="N20" s="883">
        <f t="shared" si="3"/>
        <v>67.303276554736854</v>
      </c>
      <c r="O20" s="883">
        <f t="shared" si="3"/>
        <v>66.526589120443816</v>
      </c>
      <c r="P20" s="883">
        <f t="shared" si="3"/>
        <v>65.75886474711109</v>
      </c>
      <c r="Q20" s="884">
        <v>65</v>
      </c>
      <c r="S20" s="17" t="s">
        <v>532</v>
      </c>
    </row>
    <row r="21" spans="1:19">
      <c r="A21" s="427" t="s">
        <v>706</v>
      </c>
      <c r="B21" s="918">
        <v>87</v>
      </c>
      <c r="C21" s="919">
        <v>86</v>
      </c>
      <c r="D21" s="919">
        <v>86</v>
      </c>
      <c r="E21" s="919">
        <v>86</v>
      </c>
      <c r="F21" s="919">
        <v>86</v>
      </c>
      <c r="G21" s="890">
        <v>86</v>
      </c>
      <c r="H21" s="1377">
        <f>G21*(POWER($Q21/$G21,1/10))</f>
        <v>85.695183949937814</v>
      </c>
      <c r="I21" s="1378">
        <f t="shared" si="3"/>
        <v>85.391448281554403</v>
      </c>
      <c r="J21" s="1378">
        <f t="shared" ref="I21:P23" si="4">I21*(POWER($Q21/$G21,1/10))</f>
        <v>85.088789165574482</v>
      </c>
      <c r="K21" s="1378">
        <f t="shared" si="4"/>
        <v>84.787202786295126</v>
      </c>
      <c r="L21" s="1378">
        <f t="shared" si="4"/>
        <v>84.48668534153768</v>
      </c>
      <c r="M21" s="1378">
        <f t="shared" si="4"/>
        <v>84.187233042599829</v>
      </c>
      <c r="N21" s="1378">
        <f t="shared" si="4"/>
        <v>83.888842114207847</v>
      </c>
      <c r="O21" s="1378">
        <f t="shared" si="4"/>
        <v>83.591508794468965</v>
      </c>
      <c r="P21" s="1378">
        <f t="shared" si="4"/>
        <v>83.295229334823972</v>
      </c>
      <c r="Q21" s="1379">
        <v>83</v>
      </c>
      <c r="S21" s="17" t="s">
        <v>532</v>
      </c>
    </row>
    <row r="22" spans="1:19" s="178" customFormat="1">
      <c r="A22" s="427" t="s">
        <v>707</v>
      </c>
      <c r="B22" s="920">
        <v>17</v>
      </c>
      <c r="C22" s="921">
        <v>15.5</v>
      </c>
      <c r="D22" s="921"/>
      <c r="E22" s="921">
        <v>14.5</v>
      </c>
      <c r="F22" s="921"/>
      <c r="G22" s="1380">
        <v>13.4</v>
      </c>
      <c r="H22" s="885">
        <f>G22*(POWER($Q22/$G22,1/10))</f>
        <v>12.726334006124905</v>
      </c>
      <c r="I22" s="886">
        <f t="shared" ref="I22:P22" si="5">H22*(POWER($Q22/$G22,1/10))</f>
        <v>12.086535614585907</v>
      </c>
      <c r="J22" s="886">
        <f t="shared" si="5"/>
        <v>11.478902179712268</v>
      </c>
      <c r="K22" s="886">
        <f t="shared" si="5"/>
        <v>10.901816653929368</v>
      </c>
      <c r="L22" s="886">
        <f t="shared" si="5"/>
        <v>10.353743284435831</v>
      </c>
      <c r="M22" s="886">
        <f t="shared" si="5"/>
        <v>9.8332235262241099</v>
      </c>
      <c r="N22" s="886">
        <f t="shared" si="5"/>
        <v>9.3388721605681582</v>
      </c>
      <c r="O22" s="886">
        <f t="shared" si="5"/>
        <v>8.869373608648635</v>
      </c>
      <c r="P22" s="886">
        <f t="shared" si="5"/>
        <v>8.423478430505364</v>
      </c>
      <c r="Q22" s="1381">
        <v>8</v>
      </c>
      <c r="R22" s="777"/>
      <c r="S22" s="17" t="s">
        <v>532</v>
      </c>
    </row>
    <row r="23" spans="1:19" ht="32.25" customHeight="1">
      <c r="A23" s="526" t="s">
        <v>708</v>
      </c>
      <c r="B23" s="918">
        <v>23</v>
      </c>
      <c r="C23" s="919">
        <v>20.399999999999999</v>
      </c>
      <c r="D23" s="919"/>
      <c r="E23" s="919">
        <v>18.7</v>
      </c>
      <c r="F23" s="919"/>
      <c r="G23" s="890">
        <v>16.100000000000001</v>
      </c>
      <c r="H23" s="882">
        <f>G23*(POWER($Q23/$G23,1/10))</f>
        <v>15.49824624548534</v>
      </c>
      <c r="I23" s="883">
        <f t="shared" si="4"/>
        <v>14.918983645074562</v>
      </c>
      <c r="J23" s="883">
        <f t="shared" si="4"/>
        <v>14.361371569176026</v>
      </c>
      <c r="K23" s="883">
        <f t="shared" si="4"/>
        <v>13.824600807577779</v>
      </c>
      <c r="L23" s="883">
        <f t="shared" si="4"/>
        <v>13.307892395116516</v>
      </c>
      <c r="M23" s="883">
        <f t="shared" si="4"/>
        <v>12.810496481238351</v>
      </c>
      <c r="N23" s="883">
        <f t="shared" si="4"/>
        <v>12.331691241810896</v>
      </c>
      <c r="O23" s="883">
        <f t="shared" si="4"/>
        <v>11.870781831607463</v>
      </c>
      <c r="P23" s="883">
        <f t="shared" si="4"/>
        <v>11.427099375943227</v>
      </c>
      <c r="Q23" s="884">
        <v>11</v>
      </c>
      <c r="S23" s="35" t="s">
        <v>312</v>
      </c>
    </row>
    <row r="24" spans="1:19">
      <c r="A24" s="526" t="s">
        <v>709</v>
      </c>
      <c r="B24" s="918">
        <v>5</v>
      </c>
      <c r="C24" s="919">
        <v>3.9</v>
      </c>
      <c r="D24" s="919"/>
      <c r="E24" s="919">
        <v>3.3</v>
      </c>
      <c r="F24" s="919"/>
      <c r="G24" s="890">
        <v>3</v>
      </c>
      <c r="H24" s="882">
        <f>G24*(POWER($Q24/$G24,1/10))</f>
        <v>3</v>
      </c>
      <c r="I24" s="883">
        <f t="shared" ref="I24:P24" si="6">H24*(POWER($Q24/$G24,1/10))</f>
        <v>3</v>
      </c>
      <c r="J24" s="883">
        <f t="shared" si="6"/>
        <v>3</v>
      </c>
      <c r="K24" s="883">
        <f t="shared" si="6"/>
        <v>3</v>
      </c>
      <c r="L24" s="883">
        <f t="shared" si="6"/>
        <v>3</v>
      </c>
      <c r="M24" s="883">
        <f t="shared" si="6"/>
        <v>3</v>
      </c>
      <c r="N24" s="883">
        <f t="shared" si="6"/>
        <v>3</v>
      </c>
      <c r="O24" s="883">
        <f t="shared" si="6"/>
        <v>3</v>
      </c>
      <c r="P24" s="883">
        <f t="shared" si="6"/>
        <v>3</v>
      </c>
      <c r="Q24" s="884">
        <v>3</v>
      </c>
      <c r="S24" s="17" t="s">
        <v>533</v>
      </c>
    </row>
    <row r="25" spans="1:19" ht="30">
      <c r="A25" s="427" t="s">
        <v>711</v>
      </c>
      <c r="B25" s="876"/>
      <c r="C25" s="877">
        <f t="shared" ref="C25:Q25" si="7">(C26*C21/100)+((100-C21)/100*C27)</f>
        <v>208400</v>
      </c>
      <c r="D25" s="877">
        <f t="shared" si="7"/>
        <v>208400</v>
      </c>
      <c r="E25" s="877">
        <f t="shared" si="7"/>
        <v>301200</v>
      </c>
      <c r="F25" s="877">
        <f t="shared" si="7"/>
        <v>312600</v>
      </c>
      <c r="G25" s="878">
        <f t="shared" si="7"/>
        <v>344597.85213533521</v>
      </c>
      <c r="H25" s="876">
        <f t="shared" si="7"/>
        <v>414304.81605006225</v>
      </c>
      <c r="I25" s="877">
        <f t="shared" si="7"/>
        <v>442350.21550896659</v>
      </c>
      <c r="J25" s="877">
        <f t="shared" si="7"/>
        <v>469233.51323826663</v>
      </c>
      <c r="K25" s="877">
        <f t="shared" si="7"/>
        <v>495401.1870190092</v>
      </c>
      <c r="L25" s="877">
        <f t="shared" si="7"/>
        <v>521787.12866346852</v>
      </c>
      <c r="M25" s="877">
        <f t="shared" si="7"/>
        <v>548271.32893728022</v>
      </c>
      <c r="N25" s="877">
        <f t="shared" si="7"/>
        <v>576098.01196940849</v>
      </c>
      <c r="O25" s="877">
        <f t="shared" si="7"/>
        <v>605335.14753131359</v>
      </c>
      <c r="P25" s="877">
        <f t="shared" si="7"/>
        <v>636054.14301760378</v>
      </c>
      <c r="Q25" s="878">
        <f t="shared" si="7"/>
        <v>668330.01713827392</v>
      </c>
      <c r="S25" s="17" t="s">
        <v>534</v>
      </c>
    </row>
    <row r="26" spans="1:19">
      <c r="A26" s="51" t="s">
        <v>204</v>
      </c>
      <c r="B26" s="918"/>
      <c r="C26" s="919">
        <v>200000</v>
      </c>
      <c r="D26" s="919">
        <v>200000</v>
      </c>
      <c r="E26" s="919">
        <v>290000</v>
      </c>
      <c r="F26" s="919">
        <v>300000</v>
      </c>
      <c r="G26" s="1376">
        <f>F26*(1+G44/100)</f>
        <v>335578.89783178514</v>
      </c>
      <c r="H26" s="909">
        <v>400000</v>
      </c>
      <c r="I26" s="1374">
        <f>H26*(1+I$78/100)</f>
        <v>426764.19835098815</v>
      </c>
      <c r="J26" s="1374">
        <f t="shared" ref="J26:Q26" si="8">I26*(1+J$78/100)</f>
        <v>452370.05025204679</v>
      </c>
      <c r="K26" s="1374">
        <f t="shared" si="8"/>
        <v>477250.40301590931</v>
      </c>
      <c r="L26" s="1374">
        <f t="shared" si="8"/>
        <v>502306.04917424574</v>
      </c>
      <c r="M26" s="1374">
        <f t="shared" si="8"/>
        <v>527421.35163295781</v>
      </c>
      <c r="N26" s="1374">
        <f t="shared" si="8"/>
        <v>553792.41921460524</v>
      </c>
      <c r="O26" s="1374">
        <f t="shared" si="8"/>
        <v>581482.04017533548</v>
      </c>
      <c r="P26" s="1374">
        <f t="shared" si="8"/>
        <v>610556.14218410361</v>
      </c>
      <c r="Q26" s="1375">
        <f t="shared" si="8"/>
        <v>641083.94929330831</v>
      </c>
      <c r="R26" s="778"/>
      <c r="S26" s="17" t="s">
        <v>533</v>
      </c>
    </row>
    <row r="27" spans="1:19">
      <c r="A27" s="51" t="s">
        <v>203</v>
      </c>
      <c r="B27" s="918"/>
      <c r="C27" s="919">
        <v>260000</v>
      </c>
      <c r="D27" s="919">
        <v>260000</v>
      </c>
      <c r="E27" s="919">
        <v>370000</v>
      </c>
      <c r="F27" s="919">
        <v>390000</v>
      </c>
      <c r="G27" s="1369">
        <v>400000</v>
      </c>
      <c r="H27" s="909">
        <v>500000</v>
      </c>
      <c r="I27" s="1374">
        <f t="shared" ref="I27:Q27" si="9">H27*(1+I$78/100)</f>
        <v>533455.24793873518</v>
      </c>
      <c r="J27" s="1374">
        <f t="shared" si="9"/>
        <v>565462.56281505851</v>
      </c>
      <c r="K27" s="1374">
        <f t="shared" si="9"/>
        <v>596563.00376988668</v>
      </c>
      <c r="L27" s="1374">
        <f t="shared" si="9"/>
        <v>627882.56146780716</v>
      </c>
      <c r="M27" s="1374">
        <f t="shared" si="9"/>
        <v>659276.68954119727</v>
      </c>
      <c r="N27" s="1374">
        <f t="shared" si="9"/>
        <v>692240.52401825658</v>
      </c>
      <c r="O27" s="1374">
        <f t="shared" si="9"/>
        <v>726852.55021916947</v>
      </c>
      <c r="P27" s="1374">
        <f t="shared" si="9"/>
        <v>763195.17773012957</v>
      </c>
      <c r="Q27" s="1375">
        <f t="shared" si="9"/>
        <v>801354.93661663542</v>
      </c>
      <c r="R27" s="778"/>
      <c r="S27" s="17" t="s">
        <v>533</v>
      </c>
    </row>
    <row r="28" spans="1:19" s="75" customFormat="1" ht="15" customHeight="1">
      <c r="A28" s="435" t="s">
        <v>775</v>
      </c>
      <c r="B28" s="436"/>
      <c r="C28" s="437"/>
      <c r="D28" s="437"/>
      <c r="E28" s="527"/>
      <c r="F28" s="527"/>
      <c r="G28" s="528"/>
      <c r="H28" s="523"/>
      <c r="I28" s="524"/>
      <c r="J28" s="524"/>
      <c r="K28" s="524"/>
      <c r="L28" s="524"/>
      <c r="M28" s="524"/>
      <c r="N28" s="524"/>
      <c r="O28" s="524"/>
      <c r="P28" s="524"/>
      <c r="Q28" s="525"/>
      <c r="R28" s="779"/>
      <c r="S28" s="12"/>
    </row>
    <row r="29" spans="1:19" s="75" customFormat="1" ht="9.9499999999999993" customHeight="1">
      <c r="A29" s="519"/>
      <c r="B29" s="529"/>
      <c r="C29" s="530"/>
      <c r="D29" s="530"/>
      <c r="E29" s="530"/>
      <c r="F29" s="530"/>
      <c r="G29" s="531"/>
      <c r="H29" s="518"/>
      <c r="I29" s="519"/>
      <c r="J29" s="519"/>
      <c r="K29" s="519"/>
      <c r="L29" s="519"/>
      <c r="M29" s="519"/>
      <c r="N29" s="519"/>
      <c r="O29" s="519"/>
      <c r="P29" s="519"/>
      <c r="Q29" s="520"/>
      <c r="R29" s="778"/>
    </row>
    <row r="30" spans="1:19">
      <c r="A30" s="51" t="s">
        <v>774</v>
      </c>
      <c r="B30" s="922">
        <v>100</v>
      </c>
      <c r="C30" s="923">
        <v>100</v>
      </c>
      <c r="D30" s="923">
        <v>100</v>
      </c>
      <c r="E30" s="889">
        <v>100</v>
      </c>
      <c r="F30" s="889">
        <v>100</v>
      </c>
      <c r="G30" s="890">
        <v>100</v>
      </c>
      <c r="H30" s="782">
        <f>SUM(H31:H34)</f>
        <v>0</v>
      </c>
      <c r="I30" s="783">
        <f>SUM(I31:I34)</f>
        <v>0</v>
      </c>
      <c r="J30" s="783">
        <f t="shared" ref="J30:Q30" si="10">SUM(J31:J34)</f>
        <v>0</v>
      </c>
      <c r="K30" s="783">
        <f>SUM(K31:K34)</f>
        <v>0</v>
      </c>
      <c r="L30" s="783">
        <f>SUM(L31:L34)</f>
        <v>0</v>
      </c>
      <c r="M30" s="783">
        <f>SUM(M31:M34)</f>
        <v>0</v>
      </c>
      <c r="N30" s="783">
        <f>SUM(N31:N34)</f>
        <v>0</v>
      </c>
      <c r="O30" s="783">
        <f t="shared" si="10"/>
        <v>0</v>
      </c>
      <c r="P30" s="783">
        <f t="shared" si="10"/>
        <v>0</v>
      </c>
      <c r="Q30" s="784">
        <f t="shared" si="10"/>
        <v>0</v>
      </c>
      <c r="R30" s="149">
        <f>R31/R32</f>
        <v>2</v>
      </c>
      <c r="S30" s="17" t="s">
        <v>531</v>
      </c>
    </row>
    <row r="31" spans="1:19">
      <c r="A31" s="532" t="s">
        <v>727</v>
      </c>
      <c r="B31" s="888">
        <v>19.562833466062475</v>
      </c>
      <c r="C31" s="889">
        <v>18.741904164110089</v>
      </c>
      <c r="D31" s="889">
        <v>17.929570992578206</v>
      </c>
      <c r="E31" s="889">
        <v>17.654314946437818</v>
      </c>
      <c r="F31" s="889">
        <v>17.067518961759003</v>
      </c>
      <c r="G31" s="890">
        <v>16.427034366734407</v>
      </c>
      <c r="H31" s="782">
        <f t="shared" ref="H31:Q31" si="11">H59*100/H$58</f>
        <v>0</v>
      </c>
      <c r="I31" s="783">
        <f t="shared" si="11"/>
        <v>0</v>
      </c>
      <c r="J31" s="783">
        <f t="shared" si="11"/>
        <v>0</v>
      </c>
      <c r="K31" s="783">
        <f t="shared" si="11"/>
        <v>0</v>
      </c>
      <c r="L31" s="783">
        <f t="shared" si="11"/>
        <v>0</v>
      </c>
      <c r="M31" s="783">
        <f t="shared" si="11"/>
        <v>0</v>
      </c>
      <c r="N31" s="783">
        <f t="shared" si="11"/>
        <v>0</v>
      </c>
      <c r="O31" s="783">
        <f t="shared" si="11"/>
        <v>0</v>
      </c>
      <c r="P31" s="783">
        <f t="shared" si="11"/>
        <v>0</v>
      </c>
      <c r="Q31" s="784">
        <f t="shared" si="11"/>
        <v>0</v>
      </c>
      <c r="R31" s="149">
        <v>20</v>
      </c>
      <c r="S31" s="17">
        <v>20</v>
      </c>
    </row>
    <row r="32" spans="1:19">
      <c r="A32" s="532" t="s">
        <v>728</v>
      </c>
      <c r="B32" s="888">
        <v>40.166551747826503</v>
      </c>
      <c r="C32" s="889">
        <v>40.966163813876292</v>
      </c>
      <c r="D32" s="889">
        <v>41.631624124297709</v>
      </c>
      <c r="E32" s="889">
        <v>41.502840202423045</v>
      </c>
      <c r="F32" s="889">
        <v>41.582101803060986</v>
      </c>
      <c r="G32" s="890">
        <v>41.938402020271603</v>
      </c>
      <c r="H32" s="782">
        <f t="shared" ref="H32:Q32" si="12">H60*100/H$58</f>
        <v>0</v>
      </c>
      <c r="I32" s="783">
        <f t="shared" si="12"/>
        <v>0</v>
      </c>
      <c r="J32" s="783">
        <f t="shared" si="12"/>
        <v>0</v>
      </c>
      <c r="K32" s="783">
        <f t="shared" si="12"/>
        <v>0</v>
      </c>
      <c r="L32" s="783">
        <f t="shared" si="12"/>
        <v>0</v>
      </c>
      <c r="M32" s="783">
        <f t="shared" si="12"/>
        <v>0</v>
      </c>
      <c r="N32" s="783">
        <f t="shared" si="12"/>
        <v>0</v>
      </c>
      <c r="O32" s="783">
        <f t="shared" si="12"/>
        <v>0</v>
      </c>
      <c r="P32" s="783">
        <f t="shared" si="12"/>
        <v>0</v>
      </c>
      <c r="Q32" s="784">
        <f t="shared" si="12"/>
        <v>0</v>
      </c>
      <c r="R32" s="149">
        <v>10</v>
      </c>
      <c r="S32" s="17">
        <v>10</v>
      </c>
    </row>
    <row r="33" spans="1:19">
      <c r="A33" s="532" t="s">
        <v>729</v>
      </c>
      <c r="B33" s="888">
        <v>40.270614786111018</v>
      </c>
      <c r="C33" s="889">
        <v>40.291932022013619</v>
      </c>
      <c r="D33" s="889">
        <v>40.438804883124092</v>
      </c>
      <c r="E33" s="889">
        <v>40.842844851139134</v>
      </c>
      <c r="F33" s="889">
        <v>41.350185649074852</v>
      </c>
      <c r="G33" s="890">
        <v>41.634563612993986</v>
      </c>
      <c r="H33" s="782">
        <f t="shared" ref="H33:Q33" si="13">H61*100/H$58</f>
        <v>0</v>
      </c>
      <c r="I33" s="783">
        <f t="shared" si="13"/>
        <v>0</v>
      </c>
      <c r="J33" s="783">
        <f t="shared" si="13"/>
        <v>0</v>
      </c>
      <c r="K33" s="783">
        <f t="shared" si="13"/>
        <v>0</v>
      </c>
      <c r="L33" s="783">
        <f t="shared" si="13"/>
        <v>0</v>
      </c>
      <c r="M33" s="783">
        <f t="shared" si="13"/>
        <v>0</v>
      </c>
      <c r="N33" s="783">
        <f t="shared" si="13"/>
        <v>0</v>
      </c>
      <c r="O33" s="783">
        <f t="shared" si="13"/>
        <v>0</v>
      </c>
      <c r="P33" s="783">
        <f t="shared" si="13"/>
        <v>0</v>
      </c>
      <c r="Q33" s="784">
        <f t="shared" si="13"/>
        <v>0</v>
      </c>
    </row>
    <row r="34" spans="1:19">
      <c r="A34" s="532" t="s">
        <v>776</v>
      </c>
      <c r="B34" s="533"/>
      <c r="C34" s="534"/>
      <c r="D34" s="534"/>
      <c r="E34" s="516"/>
      <c r="F34" s="516"/>
      <c r="G34" s="517"/>
      <c r="H34" s="535"/>
      <c r="I34" s="536"/>
      <c r="J34" s="536"/>
      <c r="K34" s="536"/>
      <c r="L34" s="536"/>
      <c r="M34" s="536"/>
      <c r="N34" s="536"/>
      <c r="O34" s="536"/>
      <c r="P34" s="536"/>
      <c r="Q34" s="537"/>
    </row>
    <row r="35" spans="1:19" ht="9.9499999999999993" customHeight="1">
      <c r="A35" s="526"/>
      <c r="B35" s="555"/>
      <c r="C35" s="556"/>
      <c r="D35" s="556"/>
      <c r="E35" s="557"/>
      <c r="F35" s="557"/>
      <c r="G35" s="558"/>
      <c r="H35" s="559"/>
      <c r="I35" s="560"/>
      <c r="J35" s="560"/>
      <c r="K35" s="560"/>
      <c r="L35" s="560"/>
      <c r="M35" s="560"/>
      <c r="N35" s="560"/>
      <c r="O35" s="560"/>
      <c r="P35" s="560"/>
      <c r="Q35" s="561"/>
    </row>
    <row r="36" spans="1:19">
      <c r="A36" s="429" t="s">
        <v>735</v>
      </c>
      <c r="B36" s="436"/>
      <c r="C36" s="437"/>
      <c r="D36" s="437"/>
      <c r="E36" s="521"/>
      <c r="F36" s="521"/>
      <c r="G36" s="522"/>
      <c r="H36" s="538"/>
      <c r="I36" s="539"/>
      <c r="J36" s="539"/>
      <c r="K36" s="539"/>
      <c r="L36" s="539"/>
      <c r="M36" s="539"/>
      <c r="N36" s="539"/>
      <c r="O36" s="539"/>
      <c r="P36" s="539"/>
      <c r="Q36" s="540"/>
      <c r="R36" s="776"/>
      <c r="S36" s="11"/>
    </row>
    <row r="37" spans="1:19" ht="9.9499999999999993" customHeight="1">
      <c r="A37" s="514"/>
      <c r="B37" s="529"/>
      <c r="C37" s="530"/>
      <c r="D37" s="530"/>
      <c r="E37" s="516"/>
      <c r="F37" s="516"/>
      <c r="G37" s="517"/>
      <c r="H37" s="535"/>
      <c r="I37" s="536"/>
      <c r="J37" s="536"/>
      <c r="K37" s="536"/>
      <c r="L37" s="536"/>
      <c r="M37" s="536"/>
      <c r="N37" s="536"/>
      <c r="O37" s="536"/>
      <c r="P37" s="536"/>
      <c r="Q37" s="537"/>
    </row>
    <row r="38" spans="1:19">
      <c r="A38" s="427" t="s">
        <v>732</v>
      </c>
      <c r="B38" s="1098">
        <f>'IMF Data'!C9</f>
        <v>8.4417477724298671</v>
      </c>
      <c r="C38" s="1098">
        <f>'IMF Data'!D9</f>
        <v>8.2289998394260024</v>
      </c>
      <c r="D38" s="1098">
        <f>'IMF Data'!E9</f>
        <v>8.4560064300045141</v>
      </c>
      <c r="E38" s="1098">
        <f>'IMF Data'!F9</f>
        <v>6.3111716342828332</v>
      </c>
      <c r="F38" s="1098">
        <f>'IMF Data'!G9</f>
        <v>5.3229218071021229</v>
      </c>
      <c r="G38" s="1382">
        <f>'IMF Data'!H9</f>
        <v>6.7838897560424121</v>
      </c>
      <c r="H38" s="1382">
        <f>'IMF Data'!I9</f>
        <v>6.2587130113167122</v>
      </c>
      <c r="I38" s="1382">
        <f>'IMF Data'!J9</f>
        <v>6.7515361317472058</v>
      </c>
      <c r="J38" s="1382">
        <f>'IMF Data'!K9</f>
        <v>7.2250930650920999</v>
      </c>
      <c r="K38" s="1382">
        <f>'IMF Data'!L9</f>
        <v>7.4345184884072362</v>
      </c>
      <c r="L38" s="1382">
        <f>'IMF Data'!M9</f>
        <v>7.4949183821616474</v>
      </c>
      <c r="M38" s="1382">
        <f>'IMF Data'!N9</f>
        <v>7.4949183821616208</v>
      </c>
      <c r="N38" s="1382">
        <f>'IMF Data'!O9</f>
        <v>7.4949183821615915</v>
      </c>
      <c r="O38" s="1382">
        <f>'IMF Data'!P9</f>
        <v>7.4949183821615266</v>
      </c>
      <c r="P38" s="1382">
        <f>'IMF Data'!Q9</f>
        <v>7.4949183821620853</v>
      </c>
      <c r="Q38" s="1382">
        <f>'IMF Data'!R9</f>
        <v>7.4949183821606908</v>
      </c>
      <c r="S38" s="17" t="s">
        <v>531</v>
      </c>
    </row>
    <row r="39" spans="1:19" hidden="1">
      <c r="A39" s="541" t="s">
        <v>727</v>
      </c>
      <c r="B39" s="792"/>
      <c r="C39" s="791"/>
      <c r="D39" s="791"/>
      <c r="E39" s="791"/>
      <c r="F39" s="791"/>
      <c r="G39" s="890"/>
      <c r="H39" s="1383"/>
      <c r="I39" s="1384"/>
      <c r="J39" s="1384"/>
      <c r="K39" s="1384"/>
      <c r="L39" s="1384"/>
      <c r="M39" s="1384"/>
      <c r="N39" s="1384"/>
      <c r="O39" s="1384"/>
      <c r="P39" s="1384"/>
      <c r="Q39" s="1385"/>
    </row>
    <row r="40" spans="1:19" hidden="1">
      <c r="A40" s="541" t="s">
        <v>728</v>
      </c>
      <c r="B40" s="792"/>
      <c r="C40" s="791"/>
      <c r="D40" s="791"/>
      <c r="E40" s="791"/>
      <c r="F40" s="791"/>
      <c r="G40" s="890"/>
      <c r="H40" s="1383"/>
      <c r="I40" s="1384"/>
      <c r="J40" s="1384"/>
      <c r="K40" s="1384"/>
      <c r="L40" s="1384"/>
      <c r="M40" s="1384"/>
      <c r="N40" s="1384"/>
      <c r="O40" s="1384"/>
      <c r="P40" s="1384"/>
      <c r="Q40" s="1385"/>
    </row>
    <row r="41" spans="1:19" hidden="1">
      <c r="A41" s="541" t="s">
        <v>729</v>
      </c>
      <c r="B41" s="792"/>
      <c r="C41" s="791"/>
      <c r="D41" s="791"/>
      <c r="E41" s="791"/>
      <c r="F41" s="791"/>
      <c r="G41" s="890"/>
      <c r="H41" s="1383"/>
      <c r="I41" s="1384"/>
      <c r="J41" s="1384"/>
      <c r="K41" s="1384"/>
      <c r="L41" s="1384"/>
      <c r="M41" s="1384"/>
      <c r="N41" s="1384"/>
      <c r="O41" s="1384"/>
      <c r="P41" s="1384"/>
      <c r="Q41" s="1385"/>
    </row>
    <row r="42" spans="1:19">
      <c r="A42" s="541"/>
      <c r="B42" s="533"/>
      <c r="C42" s="534"/>
      <c r="D42" s="534"/>
      <c r="E42" s="516"/>
      <c r="F42" s="516"/>
      <c r="G42" s="537"/>
      <c r="H42" s="535"/>
      <c r="I42" s="536"/>
      <c r="J42" s="536"/>
      <c r="K42" s="536"/>
      <c r="L42" s="536"/>
      <c r="M42" s="536"/>
      <c r="N42" s="536"/>
      <c r="O42" s="536"/>
      <c r="P42" s="536"/>
      <c r="Q42" s="537"/>
    </row>
    <row r="43" spans="1:19" ht="18.75" customHeight="1">
      <c r="A43" s="427" t="s">
        <v>42</v>
      </c>
      <c r="B43" s="1100"/>
      <c r="C43" s="1099">
        <f t="shared" ref="C43:Q43" si="14">(C64/B64-1)*100</f>
        <v>16.092935049988988</v>
      </c>
      <c r="D43" s="1099">
        <f t="shared" si="14"/>
        <v>17.3926357092957</v>
      </c>
      <c r="E43" s="1099">
        <f t="shared" si="14"/>
        <v>29.843320196597855</v>
      </c>
      <c r="F43" s="1099">
        <f t="shared" si="14"/>
        <v>11.67316930610529</v>
      </c>
      <c r="G43" s="1099">
        <f t="shared" si="14"/>
        <v>19.448066768411998</v>
      </c>
      <c r="H43" s="1099">
        <f t="shared" si="14"/>
        <v>21.547988708515618</v>
      </c>
      <c r="I43" s="1099">
        <f t="shared" si="14"/>
        <v>14.393566448288198</v>
      </c>
      <c r="J43" s="1099">
        <f t="shared" si="14"/>
        <v>14.83347388678502</v>
      </c>
      <c r="K43" s="1099">
        <f t="shared" si="14"/>
        <v>14.523235168851167</v>
      </c>
      <c r="L43" s="1099">
        <f t="shared" si="14"/>
        <v>13.998795255656349</v>
      </c>
      <c r="M43" s="1099">
        <f t="shared" si="14"/>
        <v>13.532437487236804</v>
      </c>
      <c r="N43" s="1099">
        <f t="shared" si="14"/>
        <v>13.332193044133733</v>
      </c>
      <c r="O43" s="1099">
        <f t="shared" si="14"/>
        <v>13.331527134403597</v>
      </c>
      <c r="P43" s="1099">
        <f t="shared" si="14"/>
        <v>13.36782879745102</v>
      </c>
      <c r="Q43" s="1099">
        <f t="shared" si="14"/>
        <v>13.405884486163533</v>
      </c>
    </row>
    <row r="44" spans="1:19">
      <c r="A44" s="427" t="s">
        <v>205</v>
      </c>
      <c r="B44" s="1096">
        <f>'IMF Data'!C11</f>
        <v>8.1888102959630995</v>
      </c>
      <c r="C44" s="1096">
        <f>'IMF Data'!D11</f>
        <v>7.2660148594467175</v>
      </c>
      <c r="D44" s="1096">
        <f>'IMF Data'!E11</f>
        <v>8.2398657054171025</v>
      </c>
      <c r="E44" s="1096">
        <f>'IMF Data'!F11</f>
        <v>22.135160586196097</v>
      </c>
      <c r="F44" s="1096">
        <f>'IMF Data'!G11</f>
        <v>6.0293119389850416</v>
      </c>
      <c r="G44" s="1386">
        <f>'IMF Data'!H11</f>
        <v>11.859632610595035</v>
      </c>
      <c r="H44" s="1386">
        <f>'IMF Data'!I11</f>
        <v>14.388726593715296</v>
      </c>
      <c r="I44" s="1386">
        <f>'IMF Data'!J11</f>
        <v>7.1587075872234358</v>
      </c>
      <c r="J44" s="1386">
        <f>'IMF Data'!K11</f>
        <v>7.0957092264532946</v>
      </c>
      <c r="K44" s="1386">
        <f>'IMF Data'!L11</f>
        <v>6.5981741996719192</v>
      </c>
      <c r="L44" s="1386">
        <f>'IMF Data'!M11</f>
        <v>6.0504040296794663</v>
      </c>
      <c r="M44" s="1386">
        <f>'IMF Data'!N11</f>
        <v>5.6165623416826875</v>
      </c>
      <c r="N44" s="1386">
        <f>'IMF Data'!O11</f>
        <v>5.4302796353774347</v>
      </c>
      <c r="O44" s="1386">
        <f>'IMF Data'!P11</f>
        <v>5.4296601551823755</v>
      </c>
      <c r="P44" s="1386">
        <f>'IMF Data'!Q11</f>
        <v>5.4634307404283593</v>
      </c>
      <c r="Q44" s="1386">
        <f>'IMF Data'!R11</f>
        <v>5.4988330545891726</v>
      </c>
      <c r="S44" s="17" t="s">
        <v>531</v>
      </c>
    </row>
    <row r="45" spans="1:19">
      <c r="A45" s="541" t="s">
        <v>635</v>
      </c>
      <c r="B45" s="1101">
        <f t="shared" ref="B45:G45" si="15">B64/B58</f>
        <v>2.135230478047963</v>
      </c>
      <c r="C45" s="1102">
        <f t="shared" si="15"/>
        <v>2.2903766418663576</v>
      </c>
      <c r="D45" s="1102">
        <f t="shared" si="15"/>
        <v>2.4791006013043937</v>
      </c>
      <c r="E45" s="1102">
        <f t="shared" si="15"/>
        <v>3.0278535004964735</v>
      </c>
      <c r="F45" s="1102">
        <f t="shared" si="15"/>
        <v>3.210412233096875</v>
      </c>
      <c r="G45" s="1387">
        <f t="shared" si="15"/>
        <v>3.5911553292277683</v>
      </c>
      <c r="H45" s="1103">
        <f>G45*(1+H44/100)</f>
        <v>4.1078768511059884</v>
      </c>
      <c r="I45" s="1104">
        <f>H45*(1+I44/100)</f>
        <v>4.4019477429199076</v>
      </c>
      <c r="J45" s="1104">
        <f>I45*(1+J44/100)</f>
        <v>4.7142971550579276</v>
      </c>
      <c r="K45" s="1104">
        <f>J45*(1+K44/100)</f>
        <v>5.0253546936388274</v>
      </c>
      <c r="L45" s="1104">
        <f>K45*(1+L44/100)</f>
        <v>5.3294089565284368</v>
      </c>
      <c r="M45" s="1104">
        <f>L45*$R$45</f>
        <v>5.6142451675408385</v>
      </c>
      <c r="N45" s="1104">
        <f>M45*$R$45</f>
        <v>5.9143047678194209</v>
      </c>
      <c r="O45" s="1104">
        <f>N45*$R$45</f>
        <v>6.230401388397703</v>
      </c>
      <c r="P45" s="1104">
        <f>O45*$R$45</f>
        <v>6.5633921457280637</v>
      </c>
      <c r="Q45" s="1105">
        <f>P45*$R$45</f>
        <v>6.9141799658084961</v>
      </c>
      <c r="R45" s="149">
        <f>POWER(L45/H45,1/5)</f>
        <v>1.0534461163209257</v>
      </c>
      <c r="S45" s="149" t="s">
        <v>535</v>
      </c>
    </row>
    <row r="46" spans="1:19">
      <c r="A46" s="427" t="s">
        <v>636</v>
      </c>
      <c r="B46" s="1106"/>
      <c r="C46" s="1102">
        <f>(C86/B86-1)*100</f>
        <v>5.5639071813674557</v>
      </c>
      <c r="D46" s="1102">
        <f>(D86/C86-1)*100</f>
        <v>6.0051038954402447</v>
      </c>
      <c r="E46" s="1102">
        <f>(E86/D86-1)*100</f>
        <v>4.2934450530119461</v>
      </c>
      <c r="F46" s="1102">
        <f>(F86/E86-1)*100</f>
        <v>1.9139373660514103</v>
      </c>
      <c r="G46" s="1387">
        <f>(G86/F86-1)*100</f>
        <v>4.9285403647936432</v>
      </c>
      <c r="H46" s="1103">
        <f>(C46+D46+G46)/3</f>
        <v>5.4991838138671154</v>
      </c>
      <c r="I46" s="1104">
        <f>H46</f>
        <v>5.4991838138671154</v>
      </c>
      <c r="J46" s="1104">
        <f>I46</f>
        <v>5.4991838138671154</v>
      </c>
      <c r="K46" s="1104">
        <f>J46</f>
        <v>5.4991838138671154</v>
      </c>
      <c r="L46" s="1104">
        <f>K46</f>
        <v>5.4991838138671154</v>
      </c>
      <c r="M46" s="1104">
        <v>5.6</v>
      </c>
      <c r="N46" s="1104">
        <v>5.7</v>
      </c>
      <c r="O46" s="1104">
        <v>5.8</v>
      </c>
      <c r="P46" s="1104">
        <v>5.9</v>
      </c>
      <c r="Q46" s="1105">
        <v>6</v>
      </c>
      <c r="R46" s="149" t="s">
        <v>637</v>
      </c>
      <c r="S46" s="149"/>
    </row>
    <row r="47" spans="1:19" hidden="1">
      <c r="A47" s="541" t="s">
        <v>727</v>
      </c>
      <c r="B47" s="785"/>
      <c r="C47" s="786"/>
      <c r="D47" s="786"/>
      <c r="E47" s="786"/>
      <c r="F47" s="786"/>
      <c r="G47" s="1388"/>
      <c r="H47" s="782">
        <v>4.8104159650387102</v>
      </c>
      <c r="I47" s="783">
        <v>4.6951712604346127</v>
      </c>
      <c r="J47" s="783">
        <v>4.5826875108156582</v>
      </c>
      <c r="K47" s="783">
        <v>4.4728985710825455</v>
      </c>
      <c r="L47" s="783">
        <v>4.3657398807956964</v>
      </c>
      <c r="M47" s="783">
        <v>4.2611484262110446</v>
      </c>
      <c r="N47" s="783">
        <v>4.1590627032253495</v>
      </c>
      <c r="O47" s="783">
        <v>4.0594226812092353</v>
      </c>
      <c r="P47" s="783">
        <v>3.9621697677066985</v>
      </c>
      <c r="Q47" s="784">
        <v>3.8672467739803191</v>
      </c>
      <c r="R47" s="150" t="e">
        <f>POWER(G47/C47,1/5)</f>
        <v>#DIV/0!</v>
      </c>
      <c r="S47" s="150"/>
    </row>
    <row r="48" spans="1:19" hidden="1">
      <c r="A48" s="541" t="s">
        <v>728</v>
      </c>
      <c r="B48" s="785"/>
      <c r="C48" s="786"/>
      <c r="D48" s="786"/>
      <c r="E48" s="786"/>
      <c r="F48" s="786"/>
      <c r="G48" s="1388"/>
      <c r="H48" s="782">
        <v>4.8104159650387102</v>
      </c>
      <c r="I48" s="783">
        <v>4.6951712604346127</v>
      </c>
      <c r="J48" s="783">
        <v>4.5826875108156582</v>
      </c>
      <c r="K48" s="783">
        <v>4.4728985710825455</v>
      </c>
      <c r="L48" s="783">
        <v>4.3657398807956964</v>
      </c>
      <c r="M48" s="783">
        <v>4.2611484262110446</v>
      </c>
      <c r="N48" s="783">
        <v>4.1590627032253495</v>
      </c>
      <c r="O48" s="783">
        <v>4.0594226812092353</v>
      </c>
      <c r="P48" s="783">
        <v>3.9621697677066985</v>
      </c>
      <c r="Q48" s="784">
        <v>3.8672467739803191</v>
      </c>
      <c r="R48" s="150" t="e">
        <f>POWER(G48/C48,1/5)</f>
        <v>#DIV/0!</v>
      </c>
      <c r="S48" s="150"/>
    </row>
    <row r="49" spans="1:19" hidden="1">
      <c r="A49" s="542" t="s">
        <v>729</v>
      </c>
      <c r="B49" s="787"/>
      <c r="C49" s="788"/>
      <c r="D49" s="788"/>
      <c r="E49" s="788"/>
      <c r="F49" s="788"/>
      <c r="G49" s="1389"/>
      <c r="H49" s="782">
        <v>4.8104159650387102</v>
      </c>
      <c r="I49" s="783">
        <v>4.6951712604346127</v>
      </c>
      <c r="J49" s="783">
        <v>4.5826875108156582</v>
      </c>
      <c r="K49" s="783">
        <v>4.4728985710825455</v>
      </c>
      <c r="L49" s="783">
        <v>4.3657398807956964</v>
      </c>
      <c r="M49" s="783">
        <v>4.2611484262110446</v>
      </c>
      <c r="N49" s="783">
        <v>4.1590627032253495</v>
      </c>
      <c r="O49" s="783">
        <v>4.0594226812092353</v>
      </c>
      <c r="P49" s="783">
        <v>3.9621697677066985</v>
      </c>
      <c r="Q49" s="784">
        <v>3.8672467739803191</v>
      </c>
      <c r="R49" s="150" t="e">
        <f>POWER(G49/C49,1/5)</f>
        <v>#DIV/0!</v>
      </c>
      <c r="S49" s="150"/>
    </row>
    <row r="50" spans="1:19" s="1322" customFormat="1" ht="30">
      <c r="A50" s="1447" t="s">
        <v>1015</v>
      </c>
      <c r="B50" s="1307"/>
      <c r="C50" s="1308"/>
      <c r="D50" s="1308"/>
      <c r="E50" s="1308"/>
      <c r="F50" s="1304">
        <f>((1+F45/100)*(1+F46/100)-1)*100</f>
        <v>5.1857948784818086</v>
      </c>
      <c r="G50" s="1379">
        <f>((1+G45/100)*(1+G46/100)-1)*100</f>
        <v>8.6966872339848234</v>
      </c>
      <c r="H50" s="1377">
        <f>((1+H45/100)*(1+H46/100)-1)*100</f>
        <v>9.8329603638627194</v>
      </c>
      <c r="I50" s="1378">
        <f t="shared" ref="I50:Q50" si="16">((1+I45/100)*(1+I46/100)-1)*100</f>
        <v>10.143202754560555</v>
      </c>
      <c r="J50" s="1378">
        <f t="shared" si="16"/>
        <v>10.472728835013601</v>
      </c>
      <c r="K50" s="1378">
        <f t="shared" si="16"/>
        <v>10.800891999407947</v>
      </c>
      <c r="L50" s="1378">
        <f t="shared" si="16"/>
        <v>11.121666765107751</v>
      </c>
      <c r="M50" s="1378">
        <f t="shared" si="16"/>
        <v>11.528642896923124</v>
      </c>
      <c r="N50" s="1378">
        <f t="shared" si="16"/>
        <v>11.951420139585123</v>
      </c>
      <c r="O50" s="1378">
        <f t="shared" si="16"/>
        <v>12.391764668924775</v>
      </c>
      <c r="P50" s="1378">
        <f t="shared" si="16"/>
        <v>12.850632282326035</v>
      </c>
      <c r="Q50" s="1379">
        <f t="shared" si="16"/>
        <v>13.329030763757022</v>
      </c>
      <c r="R50" s="1305" t="s">
        <v>1015</v>
      </c>
      <c r="S50" s="1306">
        <f>AVERAGE(H50:Q50)</f>
        <v>11.442294146946864</v>
      </c>
    </row>
    <row r="51" spans="1:19">
      <c r="A51" s="543"/>
      <c r="B51" s="1503" t="s">
        <v>730</v>
      </c>
      <c r="C51" s="1504"/>
      <c r="D51" s="1504"/>
      <c r="E51" s="1504"/>
      <c r="F51" s="1504"/>
      <c r="G51" s="1505"/>
      <c r="H51" s="1503" t="s">
        <v>734</v>
      </c>
      <c r="I51" s="1504"/>
      <c r="J51" s="1504"/>
      <c r="K51" s="1504"/>
      <c r="L51" s="1504"/>
      <c r="M51" s="1504"/>
      <c r="N51" s="1504"/>
      <c r="O51" s="1504"/>
      <c r="P51" s="1504"/>
      <c r="Q51" s="1505"/>
      <c r="R51" s="1508" t="s">
        <v>744</v>
      </c>
      <c r="S51" s="1506" t="s">
        <v>744</v>
      </c>
    </row>
    <row r="52" spans="1:19">
      <c r="A52" s="562" t="s">
        <v>741</v>
      </c>
      <c r="B52" s="544">
        <v>2005</v>
      </c>
      <c r="C52" s="545">
        <v>2006</v>
      </c>
      <c r="D52" s="545">
        <v>2007</v>
      </c>
      <c r="E52" s="545">
        <v>2008</v>
      </c>
      <c r="F52" s="545">
        <v>2009</v>
      </c>
      <c r="G52" s="546">
        <v>2010</v>
      </c>
      <c r="H52" s="544">
        <v>2011</v>
      </c>
      <c r="I52" s="545">
        <v>2012</v>
      </c>
      <c r="J52" s="545">
        <v>2013</v>
      </c>
      <c r="K52" s="545">
        <v>2014</v>
      </c>
      <c r="L52" s="545">
        <v>2015</v>
      </c>
      <c r="M52" s="545">
        <v>2016</v>
      </c>
      <c r="N52" s="545">
        <v>2017</v>
      </c>
      <c r="O52" s="545">
        <v>2018</v>
      </c>
      <c r="P52" s="545">
        <v>2019</v>
      </c>
      <c r="Q52" s="546">
        <v>2020</v>
      </c>
      <c r="R52" s="1509"/>
      <c r="S52" s="1507"/>
    </row>
    <row r="53" spans="1:19" ht="9.9499999999999993" customHeight="1">
      <c r="A53" s="514"/>
      <c r="B53" s="511"/>
      <c r="C53" s="512"/>
      <c r="D53" s="512"/>
      <c r="E53" s="512"/>
      <c r="F53" s="512"/>
      <c r="G53" s="513"/>
      <c r="H53" s="511"/>
      <c r="I53" s="512"/>
      <c r="J53" s="512"/>
      <c r="K53" s="512"/>
      <c r="L53" s="512"/>
      <c r="M53" s="512"/>
      <c r="N53" s="512"/>
      <c r="O53" s="512"/>
      <c r="P53" s="512"/>
      <c r="Q53" s="513"/>
      <c r="R53" s="27"/>
      <c r="S53" s="27"/>
    </row>
    <row r="54" spans="1:19">
      <c r="A54" s="33" t="s">
        <v>777</v>
      </c>
      <c r="B54" s="438"/>
      <c r="C54" s="439"/>
      <c r="D54" s="439"/>
      <c r="E54" s="439"/>
      <c r="F54" s="439"/>
      <c r="G54" s="520"/>
      <c r="H54" s="518"/>
      <c r="I54" s="519"/>
      <c r="J54" s="519"/>
      <c r="K54" s="519"/>
      <c r="L54" s="519"/>
      <c r="M54" s="519"/>
      <c r="N54" s="519"/>
      <c r="O54" s="519"/>
      <c r="P54" s="519"/>
      <c r="Q54" s="520"/>
      <c r="R54" s="27"/>
      <c r="S54" s="27"/>
    </row>
    <row r="55" spans="1:19" ht="9.9499999999999993" customHeight="1">
      <c r="A55" s="33"/>
      <c r="B55" s="438"/>
      <c r="C55" s="40"/>
      <c r="D55" s="40"/>
      <c r="E55" s="519"/>
      <c r="F55" s="519"/>
      <c r="G55" s="520"/>
      <c r="H55" s="518"/>
      <c r="I55" s="519"/>
      <c r="J55" s="519"/>
      <c r="K55" s="519"/>
      <c r="L55" s="519"/>
      <c r="M55" s="519"/>
      <c r="N55" s="519"/>
      <c r="O55" s="519"/>
      <c r="P55" s="519"/>
      <c r="Q55" s="520"/>
      <c r="R55" s="27"/>
      <c r="S55" s="27"/>
    </row>
    <row r="56" spans="1:19">
      <c r="A56" s="429" t="s">
        <v>736</v>
      </c>
      <c r="B56" s="440"/>
      <c r="C56" s="441"/>
      <c r="D56" s="441"/>
      <c r="E56" s="524"/>
      <c r="F56" s="524"/>
      <c r="G56" s="525"/>
      <c r="H56" s="523"/>
      <c r="I56" s="524"/>
      <c r="J56" s="524"/>
      <c r="K56" s="524"/>
      <c r="L56" s="524"/>
      <c r="M56" s="524"/>
      <c r="N56" s="524"/>
      <c r="O56" s="524"/>
      <c r="P56" s="524"/>
      <c r="Q56" s="525"/>
      <c r="R56" s="13"/>
      <c r="S56" s="13"/>
    </row>
    <row r="57" spans="1:19" ht="9.9499999999999993" customHeight="1">
      <c r="A57" s="514"/>
      <c r="B57" s="518"/>
      <c r="C57" s="519"/>
      <c r="D57" s="519"/>
      <c r="E57" s="519"/>
      <c r="F57" s="519"/>
      <c r="G57" s="520"/>
      <c r="H57" s="518"/>
      <c r="I57" s="519"/>
      <c r="J57" s="519"/>
      <c r="K57" s="519"/>
      <c r="L57" s="519"/>
      <c r="M57" s="519"/>
      <c r="N57" s="519"/>
      <c r="O57" s="519"/>
      <c r="P57" s="519"/>
      <c r="Q57" s="520"/>
      <c r="R57" s="27"/>
      <c r="S57" s="27"/>
    </row>
    <row r="58" spans="1:19">
      <c r="A58" s="427" t="s">
        <v>732</v>
      </c>
      <c r="B58" s="1095">
        <f>'IMF Data'!C4*1000</f>
        <v>393030767.998034</v>
      </c>
      <c r="C58" s="1095">
        <f>'IMF Data'!D4*1000</f>
        <v>425373269.26548702</v>
      </c>
      <c r="D58" s="1095">
        <f>'IMF Data'!E4*1000</f>
        <v>461342860.26609701</v>
      </c>
      <c r="E58" s="1095">
        <f>'IMF Data'!F4*1000</f>
        <v>490459000.00000006</v>
      </c>
      <c r="F58" s="1095">
        <f>'IMF Data'!G4*1000</f>
        <v>516565749.06589502</v>
      </c>
      <c r="G58" s="1390">
        <f>'IMF Data'!H4*1000</f>
        <v>551609000</v>
      </c>
      <c r="H58" s="1390">
        <f>'IMF Data'!I4*1000</f>
        <v>586132624.25459409</v>
      </c>
      <c r="I58" s="1390">
        <f>'IMF Data'!J4*1000</f>
        <v>625705580.1611011</v>
      </c>
      <c r="J58" s="1390">
        <f>'IMF Data'!K4*1000</f>
        <v>670913390.64121497</v>
      </c>
      <c r="K58" s="1390">
        <f>'IMF Data'!L4*1000</f>
        <v>720792570.70963609</v>
      </c>
      <c r="L58" s="1390">
        <f>'IMF Data'!M4*1000</f>
        <v>774815385.58900809</v>
      </c>
      <c r="M58" s="1390">
        <f>'IMF Data'!N4*1000</f>
        <v>832887166.35133505</v>
      </c>
      <c r="N58" s="1390">
        <f>'IMF Data'!O4*1000</f>
        <v>895311379.68486607</v>
      </c>
      <c r="O58" s="1390">
        <f>'IMF Data'!P4*1000</f>
        <v>962414236.85845101</v>
      </c>
      <c r="P58" s="1390">
        <f>'IMF Data'!Q4*1000</f>
        <v>1034546398.4093</v>
      </c>
      <c r="Q58" s="1390">
        <f>'IMF Data'!R4*1000</f>
        <v>1112084806.59566</v>
      </c>
      <c r="R58" s="27"/>
      <c r="S58" s="17" t="s">
        <v>531</v>
      </c>
    </row>
    <row r="59" spans="1:19" hidden="1">
      <c r="A59" s="541" t="s">
        <v>727</v>
      </c>
      <c r="B59" s="1093"/>
      <c r="C59" s="1094"/>
      <c r="D59" s="1094"/>
      <c r="E59" s="1088"/>
      <c r="F59" s="1088"/>
      <c r="G59" s="1376"/>
      <c r="H59" s="904"/>
      <c r="I59" s="906"/>
      <c r="J59" s="906"/>
      <c r="K59" s="906"/>
      <c r="L59" s="906"/>
      <c r="M59" s="906"/>
      <c r="N59" s="906"/>
      <c r="O59" s="906"/>
      <c r="P59" s="906"/>
      <c r="Q59" s="905"/>
      <c r="R59" s="27"/>
      <c r="S59" s="27"/>
    </row>
    <row r="60" spans="1:19" hidden="1">
      <c r="A60" s="541" t="s">
        <v>728</v>
      </c>
      <c r="B60" s="1093"/>
      <c r="C60" s="1094"/>
      <c r="D60" s="1094"/>
      <c r="E60" s="1088"/>
      <c r="F60" s="1088"/>
      <c r="G60" s="1376"/>
      <c r="H60" s="904"/>
      <c r="I60" s="906"/>
      <c r="J60" s="906"/>
      <c r="K60" s="906"/>
      <c r="L60" s="906"/>
      <c r="M60" s="906"/>
      <c r="N60" s="906"/>
      <c r="O60" s="906"/>
      <c r="P60" s="906"/>
      <c r="Q60" s="905"/>
      <c r="R60" s="27"/>
      <c r="S60" s="27"/>
    </row>
    <row r="61" spans="1:19" hidden="1">
      <c r="A61" s="541" t="s">
        <v>729</v>
      </c>
      <c r="B61" s="1093"/>
      <c r="C61" s="1094"/>
      <c r="D61" s="1094"/>
      <c r="E61" s="1088"/>
      <c r="F61" s="1088"/>
      <c r="G61" s="1376"/>
      <c r="H61" s="904"/>
      <c r="I61" s="906"/>
      <c r="J61" s="906"/>
      <c r="K61" s="906"/>
      <c r="L61" s="906"/>
      <c r="M61" s="906"/>
      <c r="N61" s="906"/>
      <c r="O61" s="906"/>
      <c r="P61" s="906"/>
      <c r="Q61" s="905"/>
    </row>
    <row r="62" spans="1:19">
      <c r="A62" s="541"/>
      <c r="B62" s="547"/>
      <c r="C62" s="532"/>
      <c r="D62" s="532"/>
      <c r="E62" s="519"/>
      <c r="F62" s="548"/>
      <c r="G62" s="549"/>
      <c r="H62" s="550"/>
      <c r="I62" s="548"/>
      <c r="J62" s="548"/>
      <c r="K62" s="548"/>
      <c r="L62" s="548"/>
      <c r="M62" s="548"/>
      <c r="N62" s="548"/>
      <c r="O62" s="548"/>
      <c r="P62" s="548"/>
      <c r="Q62" s="549"/>
      <c r="R62" s="27"/>
      <c r="S62" s="27"/>
    </row>
    <row r="63" spans="1:19" ht="9.9499999999999993" customHeight="1">
      <c r="A63" s="541"/>
      <c r="B63" s="547"/>
      <c r="C63" s="532"/>
      <c r="D63" s="532"/>
      <c r="E63" s="519"/>
      <c r="F63" s="519"/>
      <c r="G63" s="549"/>
      <c r="H63" s="550"/>
      <c r="I63" s="548"/>
      <c r="J63" s="548"/>
      <c r="K63" s="548"/>
      <c r="L63" s="548"/>
      <c r="M63" s="548"/>
      <c r="N63" s="548"/>
      <c r="O63" s="548"/>
      <c r="P63" s="548"/>
      <c r="Q63" s="549"/>
      <c r="R63" s="27"/>
      <c r="S63" s="27"/>
    </row>
    <row r="64" spans="1:19">
      <c r="A64" s="427" t="s">
        <v>731</v>
      </c>
      <c r="B64" s="1095">
        <f>'IMF Data'!C3*1000</f>
        <v>839211274.6400001</v>
      </c>
      <c r="C64" s="1095">
        <f>'IMF Data'!D3*1000</f>
        <v>974265000.00000012</v>
      </c>
      <c r="D64" s="1095">
        <f>'IMF Data'!E3*1000</f>
        <v>1143715362.29317</v>
      </c>
      <c r="E64" s="1095">
        <f>'IMF Data'!F3*1000</f>
        <v>1485038000</v>
      </c>
      <c r="F64" s="1095">
        <f>'IMF Data'!G3*1000</f>
        <v>1658389000</v>
      </c>
      <c r="G64" s="1390">
        <f>'IMF Data'!H3*1000</f>
        <v>1980913600</v>
      </c>
      <c r="H64" s="1390">
        <f>'IMF Data'!I3*1000</f>
        <v>2407760638.8534503</v>
      </c>
      <c r="I64" s="1390">
        <f>'IMF Data'!J3*1000</f>
        <v>2754323266.3225503</v>
      </c>
      <c r="J64" s="1390">
        <f>'IMF Data'!K3*1000</f>
        <v>3162885088.7901502</v>
      </c>
      <c r="K64" s="1390">
        <f>'IMF Data'!L3*1000</f>
        <v>3622238328.3556705</v>
      </c>
      <c r="L64" s="1390">
        <f>'IMF Data'!M3*1000</f>
        <v>4129308055.61409</v>
      </c>
      <c r="M64" s="1390">
        <f>'IMF Data'!N3*1000</f>
        <v>4688104086.8955002</v>
      </c>
      <c r="N64" s="1390">
        <f>'IMF Data'!O3*1000</f>
        <v>5313131173.8703308</v>
      </c>
      <c r="O64" s="1390">
        <f>'IMF Data'!P3*1000</f>
        <v>6021452698.0013103</v>
      </c>
      <c r="P64" s="1390">
        <f>'IMF Data'!Q3*1000</f>
        <v>6826390185.7896204</v>
      </c>
      <c r="Q64" s="1390">
        <f>'IMF Data'!R3*1000</f>
        <v>7741528168.671381</v>
      </c>
      <c r="R64" s="1084"/>
      <c r="S64" s="149" t="s">
        <v>43</v>
      </c>
    </row>
    <row r="65" spans="1:19" hidden="1">
      <c r="A65" s="541" t="s">
        <v>727</v>
      </c>
      <c r="B65" s="1085"/>
      <c r="C65" s="1086"/>
      <c r="D65" s="1087"/>
      <c r="E65" s="1088"/>
      <c r="F65" s="1088"/>
      <c r="G65" s="1089"/>
      <c r="H65" s="1090"/>
      <c r="I65" s="1091"/>
      <c r="J65" s="1091"/>
      <c r="K65" s="1091"/>
      <c r="L65" s="1091"/>
      <c r="M65" s="1091"/>
      <c r="N65" s="1091"/>
      <c r="O65" s="1091"/>
      <c r="P65" s="1091"/>
      <c r="Q65" s="1092"/>
      <c r="R65" s="27"/>
      <c r="S65" s="27"/>
    </row>
    <row r="66" spans="1:19" hidden="1">
      <c r="A66" s="541" t="s">
        <v>728</v>
      </c>
      <c r="B66" s="1085"/>
      <c r="C66" s="1086"/>
      <c r="D66" s="1087"/>
      <c r="E66" s="1088"/>
      <c r="F66" s="1088"/>
      <c r="G66" s="1089"/>
      <c r="H66" s="1090"/>
      <c r="I66" s="1091"/>
      <c r="J66" s="1091"/>
      <c r="K66" s="1091"/>
      <c r="L66" s="1091"/>
      <c r="M66" s="1091"/>
      <c r="N66" s="1091"/>
      <c r="O66" s="1091"/>
      <c r="P66" s="1091"/>
      <c r="Q66" s="1092"/>
      <c r="R66" s="27"/>
      <c r="S66" s="27"/>
    </row>
    <row r="67" spans="1:19" hidden="1">
      <c r="A67" s="541" t="s">
        <v>729</v>
      </c>
      <c r="B67" s="1085"/>
      <c r="C67" s="1086"/>
      <c r="D67" s="1087"/>
      <c r="E67" s="1088"/>
      <c r="F67" s="1088"/>
      <c r="G67" s="1089"/>
      <c r="H67" s="1090"/>
      <c r="I67" s="1091"/>
      <c r="J67" s="1091"/>
      <c r="K67" s="1091"/>
      <c r="L67" s="1091"/>
      <c r="M67" s="1091"/>
      <c r="N67" s="1091"/>
      <c r="O67" s="1091"/>
      <c r="P67" s="1091"/>
      <c r="Q67" s="1092"/>
      <c r="R67" s="27"/>
      <c r="S67" s="27"/>
    </row>
    <row r="68" spans="1:19" s="133" customFormat="1" ht="15" customHeight="1">
      <c r="A68" s="541"/>
      <c r="B68" s="547"/>
      <c r="C68" s="532"/>
      <c r="D68" s="532"/>
      <c r="E68" s="519"/>
      <c r="F68" s="548"/>
      <c r="G68" s="549"/>
      <c r="H68" s="550"/>
      <c r="I68" s="548"/>
      <c r="J68" s="548"/>
      <c r="K68" s="1448"/>
      <c r="L68" s="1448"/>
      <c r="M68" s="1448"/>
      <c r="N68" s="1448"/>
      <c r="O68" s="1448"/>
      <c r="P68" s="1448"/>
      <c r="Q68" s="1448"/>
      <c r="R68" s="132"/>
      <c r="S68" s="132"/>
    </row>
    <row r="69" spans="1:19" ht="9.9499999999999993" customHeight="1">
      <c r="A69" s="541"/>
      <c r="B69" s="547"/>
      <c r="C69" s="532"/>
      <c r="D69" s="532"/>
      <c r="E69" s="519"/>
      <c r="F69" s="519"/>
      <c r="G69" s="520"/>
      <c r="H69" s="518"/>
      <c r="I69" s="519"/>
      <c r="J69" s="519"/>
      <c r="K69" s="519"/>
      <c r="L69" s="519"/>
      <c r="M69" s="519"/>
      <c r="N69" s="519"/>
      <c r="O69" s="519"/>
      <c r="P69" s="519"/>
      <c r="Q69" s="520"/>
      <c r="R69" s="27"/>
      <c r="S69" s="27"/>
    </row>
    <row r="70" spans="1:19" ht="15" customHeight="1">
      <c r="A70" s="429" t="s">
        <v>769</v>
      </c>
      <c r="B70" s="442"/>
      <c r="C70" s="443"/>
      <c r="D70" s="443"/>
      <c r="E70" s="524"/>
      <c r="F70" s="524"/>
      <c r="G70" s="525"/>
      <c r="H70" s="523"/>
      <c r="I70" s="524"/>
      <c r="J70" s="524"/>
      <c r="K70" s="524"/>
      <c r="L70" s="524"/>
      <c r="M70" s="524"/>
      <c r="N70" s="524"/>
      <c r="O70" s="524"/>
      <c r="P70" s="524"/>
      <c r="Q70" s="525"/>
      <c r="R70" s="13"/>
      <c r="S70" s="13"/>
    </row>
    <row r="71" spans="1:19" ht="9.9499999999999993" customHeight="1">
      <c r="A71" s="541"/>
      <c r="B71" s="547"/>
      <c r="C71" s="532"/>
      <c r="D71" s="532"/>
      <c r="E71" s="519"/>
      <c r="F71" s="519"/>
      <c r="G71" s="520"/>
      <c r="H71" s="518"/>
      <c r="I71" s="519"/>
      <c r="J71" s="519"/>
      <c r="K71" s="519"/>
      <c r="L71" s="519"/>
      <c r="M71" s="519"/>
      <c r="N71" s="519"/>
      <c r="O71" s="519"/>
      <c r="P71" s="519"/>
      <c r="Q71" s="520"/>
      <c r="R71" s="27"/>
      <c r="S71" s="27"/>
    </row>
    <row r="72" spans="1:19">
      <c r="A72" s="444" t="s">
        <v>743</v>
      </c>
      <c r="B72" s="915">
        <f>B58/ECO!B82*1000</f>
        <v>4797033.9517929088</v>
      </c>
      <c r="C72" s="916">
        <f>C58/ECO!C82*1000</f>
        <v>5124092.2034066478</v>
      </c>
      <c r="D72" s="916">
        <f>D58/ECO!D82*1000</f>
        <v>5487445.6437615678</v>
      </c>
      <c r="E72" s="916">
        <f>E58/ECO!E82*1000</f>
        <v>5762178.2776258262</v>
      </c>
      <c r="F72" s="916">
        <f>F58/ECO!F82*1000</f>
        <v>5995108.7887390405</v>
      </c>
      <c r="G72" s="917">
        <f>G58/ECO!G82*1000</f>
        <v>6323601.3109429283</v>
      </c>
      <c r="H72" s="904">
        <f>H58*1000/H$82</f>
        <v>6637221.5537276231</v>
      </c>
      <c r="I72" s="906">
        <f t="shared" ref="I72:Q72" si="17">I58*1000/I$82</f>
        <v>6998859.6095900945</v>
      </c>
      <c r="J72" s="906">
        <f t="shared" si="17"/>
        <v>7413675.9180098101</v>
      </c>
      <c r="K72" s="906">
        <f t="shared" si="17"/>
        <v>7870070.9694355456</v>
      </c>
      <c r="L72" s="906">
        <f t="shared" si="17"/>
        <v>8361733.4949073559</v>
      </c>
      <c r="M72" s="906">
        <f t="shared" si="17"/>
        <v>8886864.2815825976</v>
      </c>
      <c r="N72" s="906">
        <f t="shared" si="17"/>
        <v>9447862.6975178272</v>
      </c>
      <c r="O72" s="906">
        <f t="shared" si="17"/>
        <v>10047779.947705537</v>
      </c>
      <c r="P72" s="906">
        <f t="shared" si="17"/>
        <v>10690008.548169164</v>
      </c>
      <c r="Q72" s="905">
        <f t="shared" si="17"/>
        <v>11378136.365936618</v>
      </c>
      <c r="R72" s="1"/>
      <c r="S72" s="27" t="s">
        <v>536</v>
      </c>
    </row>
    <row r="73" spans="1:19" ht="9.9499999999999993" customHeight="1">
      <c r="A73" s="541"/>
      <c r="B73" s="551"/>
      <c r="C73" s="552"/>
      <c r="D73" s="552"/>
      <c r="E73" s="552"/>
      <c r="F73" s="552"/>
      <c r="G73" s="553"/>
      <c r="H73" s="550"/>
      <c r="I73" s="548"/>
      <c r="J73" s="548"/>
      <c r="K73" s="548"/>
      <c r="L73" s="548"/>
      <c r="M73" s="548"/>
      <c r="N73" s="548"/>
      <c r="O73" s="548"/>
      <c r="P73" s="548"/>
      <c r="Q73" s="549"/>
      <c r="R73" s="27"/>
      <c r="S73" s="27"/>
    </row>
    <row r="74" spans="1:19">
      <c r="A74" s="444" t="s">
        <v>745</v>
      </c>
      <c r="B74" s="915">
        <f t="shared" ref="B74:G74" si="18">B64/B82*1000</f>
        <v>10242773.098099083</v>
      </c>
      <c r="C74" s="916">
        <f t="shared" si="18"/>
        <v>11736101.093452103</v>
      </c>
      <c r="D74" s="916">
        <f t="shared" si="18"/>
        <v>13603929.79507448</v>
      </c>
      <c r="E74" s="916">
        <f t="shared" si="18"/>
        <v>17447031.6683941</v>
      </c>
      <c r="F74" s="916">
        <f t="shared" si="18"/>
        <v>19246770.5941144</v>
      </c>
      <c r="G74" s="917">
        <f t="shared" si="18"/>
        <v>22709034.547704399</v>
      </c>
      <c r="H74" s="904">
        <f>H64*1000/H$82</f>
        <v>27264888.776219409</v>
      </c>
      <c r="I74" s="906">
        <f t="shared" ref="I74:Q74" si="19">I64*1000/I$82</f>
        <v>30808614.261448424</v>
      </c>
      <c r="J74" s="906">
        <f t="shared" si="19"/>
        <v>34950271.288795151</v>
      </c>
      <c r="K74" s="906">
        <f t="shared" si="19"/>
        <v>39549898.085523643</v>
      </c>
      <c r="L74" s="906">
        <f t="shared" si="19"/>
        <v>44563097.379863046</v>
      </c>
      <c r="M74" s="906">
        <f t="shared" si="19"/>
        <v>50021835.419419341</v>
      </c>
      <c r="N74" s="906">
        <f t="shared" si="19"/>
        <v>56067347.029920839</v>
      </c>
      <c r="O74" s="906">
        <f t="shared" si="19"/>
        <v>62865063.044504255</v>
      </c>
      <c r="P74" s="906">
        <f t="shared" si="19"/>
        <v>70537357.774801508</v>
      </c>
      <c r="Q74" s="905">
        <f t="shared" si="19"/>
        <v>79206336.298692763</v>
      </c>
      <c r="R74" s="1"/>
      <c r="S74" s="27" t="s">
        <v>536</v>
      </c>
    </row>
    <row r="75" spans="1:19" ht="9.9499999999999993" customHeight="1">
      <c r="A75" s="541"/>
      <c r="B75" s="547"/>
      <c r="C75" s="532"/>
      <c r="D75" s="532"/>
      <c r="E75" s="519"/>
      <c r="F75" s="519"/>
      <c r="G75" s="520"/>
      <c r="H75" s="518"/>
      <c r="I75" s="519"/>
      <c r="J75" s="519"/>
      <c r="K75" s="519"/>
      <c r="L75" s="519"/>
      <c r="M75" s="519"/>
      <c r="N75" s="519"/>
      <c r="O75" s="519"/>
      <c r="P75" s="519"/>
      <c r="Q75" s="520"/>
      <c r="R75" s="27"/>
      <c r="S75" s="27"/>
    </row>
    <row r="76" spans="1:19">
      <c r="A76" s="429" t="s">
        <v>735</v>
      </c>
      <c r="B76" s="440"/>
      <c r="C76" s="441"/>
      <c r="D76" s="441"/>
      <c r="E76" s="524"/>
      <c r="F76" s="524"/>
      <c r="G76" s="525"/>
      <c r="H76" s="523"/>
      <c r="I76" s="524"/>
      <c r="J76" s="524"/>
      <c r="K76" s="524"/>
      <c r="L76" s="524"/>
      <c r="M76" s="524"/>
      <c r="N76" s="524"/>
      <c r="O76" s="524"/>
      <c r="P76" s="524"/>
      <c r="Q76" s="525"/>
      <c r="R76" s="13"/>
      <c r="S76" s="13"/>
    </row>
    <row r="77" spans="1:19" ht="9.9499999999999993" customHeight="1">
      <c r="A77" s="432"/>
      <c r="B77" s="924"/>
      <c r="C77" s="170"/>
      <c r="D77" s="170"/>
      <c r="E77" s="519"/>
      <c r="F77" s="519"/>
      <c r="G77" s="520"/>
      <c r="H77" s="518"/>
      <c r="I77" s="519"/>
      <c r="J77" s="519"/>
      <c r="K77" s="519"/>
      <c r="L77" s="519"/>
      <c r="M77" s="519"/>
      <c r="N77" s="519"/>
      <c r="O77" s="519"/>
      <c r="P77" s="519"/>
      <c r="Q77" s="520"/>
      <c r="R77" s="143"/>
      <c r="S77" s="144"/>
    </row>
    <row r="78" spans="1:19">
      <c r="A78" s="445" t="s">
        <v>737</v>
      </c>
      <c r="B78" s="1108">
        <f>'IMF Data'!C12</f>
        <v>8.3944751235788964</v>
      </c>
      <c r="C78" s="1108">
        <f>'IMF Data'!D12</f>
        <v>7.5028969346508729</v>
      </c>
      <c r="D78" s="1108">
        <f>'IMF Data'!E12</f>
        <v>8.3488642397705739</v>
      </c>
      <c r="E78" s="1108">
        <f>'IMF Data'!F12</f>
        <v>23.115448347447366</v>
      </c>
      <c r="F78" s="1108">
        <f>'IMF Data'!G12</f>
        <v>6.7169826998865538</v>
      </c>
      <c r="G78" s="1391">
        <f>'IMF Data'!H12</f>
        <v>9.207466487783817</v>
      </c>
      <c r="H78" s="1391">
        <f>'IMF Data'!I12</f>
        <v>13.463928114239899</v>
      </c>
      <c r="I78" s="1391">
        <f>'IMF Data'!J12</f>
        <v>6.6910495877470515</v>
      </c>
      <c r="J78" s="1391">
        <f>'IMF Data'!K12</f>
        <v>5.9999999999998481</v>
      </c>
      <c r="K78" s="1391">
        <f>'IMF Data'!L12</f>
        <v>5.4999999999999929</v>
      </c>
      <c r="L78" s="1391">
        <f>'IMF Data'!M12</f>
        <v>5.2500000000002327</v>
      </c>
      <c r="M78" s="1391">
        <f>'IMF Data'!N12</f>
        <v>4.999999999999968</v>
      </c>
      <c r="N78" s="1391">
        <f>'IMF Data'!O12</f>
        <v>4.9999999999999156</v>
      </c>
      <c r="O78" s="1391">
        <f>'IMF Data'!P12</f>
        <v>4.9999999999999947</v>
      </c>
      <c r="P78" s="1391">
        <f>'IMF Data'!Q12</f>
        <v>5.0000000000002194</v>
      </c>
      <c r="Q78" s="1391">
        <f>'IMF Data'!R12</f>
        <v>4.9999999999999174</v>
      </c>
      <c r="R78" s="1107"/>
      <c r="S78" s="75" t="s">
        <v>531</v>
      </c>
    </row>
    <row r="79" spans="1:19" ht="9.9499999999999993" customHeight="1">
      <c r="A79" s="514"/>
      <c r="B79" s="518"/>
      <c r="C79" s="519"/>
      <c r="D79" s="519"/>
      <c r="E79" s="519"/>
      <c r="F79" s="519"/>
      <c r="G79" s="520"/>
      <c r="H79" s="518"/>
      <c r="I79" s="519"/>
      <c r="J79" s="519"/>
      <c r="K79" s="519"/>
      <c r="L79" s="519"/>
      <c r="M79" s="519"/>
      <c r="N79" s="519"/>
      <c r="O79" s="519"/>
      <c r="P79" s="519"/>
      <c r="Q79" s="520"/>
      <c r="R79" s="143"/>
      <c r="S79" s="144"/>
    </row>
    <row r="80" spans="1:19" ht="36.75" customHeight="1">
      <c r="A80" s="33" t="s">
        <v>778</v>
      </c>
      <c r="B80" s="438"/>
      <c r="C80" s="40"/>
      <c r="D80" s="40"/>
      <c r="E80" s="519"/>
      <c r="F80" s="519"/>
      <c r="G80" s="520"/>
      <c r="H80" s="518"/>
      <c r="I80" s="519"/>
      <c r="J80" s="519"/>
      <c r="K80" s="519"/>
      <c r="L80" s="519"/>
      <c r="M80" s="519"/>
      <c r="N80" s="519"/>
      <c r="O80" s="519"/>
      <c r="P80" s="519"/>
      <c r="Q80" s="520"/>
      <c r="R80" s="143"/>
      <c r="S80" s="144"/>
    </row>
    <row r="81" spans="1:19" ht="9.9499999999999993" customHeight="1">
      <c r="A81" s="514"/>
      <c r="B81" s="518"/>
      <c r="C81" s="519"/>
      <c r="D81" s="519"/>
      <c r="E81" s="519"/>
      <c r="F81" s="519"/>
      <c r="G81" s="520"/>
      <c r="H81" s="518"/>
      <c r="I81" s="519"/>
      <c r="J81" s="519"/>
      <c r="K81" s="519"/>
      <c r="L81" s="519"/>
      <c r="M81" s="519"/>
      <c r="N81" s="519"/>
      <c r="O81" s="519"/>
      <c r="P81" s="519"/>
      <c r="Q81" s="520"/>
      <c r="R81" s="143"/>
      <c r="S81" s="144"/>
    </row>
    <row r="82" spans="1:19">
      <c r="A82" s="427" t="s">
        <v>787</v>
      </c>
      <c r="B82" s="904">
        <f>POP!B61</f>
        <v>81932.037994256287</v>
      </c>
      <c r="C82" s="906">
        <f>POP!C61</f>
        <v>83014.366717032593</v>
      </c>
      <c r="D82" s="906">
        <f>POP!D61</f>
        <v>84072.424624483901</v>
      </c>
      <c r="E82" s="906">
        <f>POP!E61</f>
        <v>85116.94299782798</v>
      </c>
      <c r="F82" s="906">
        <f>POP!F61</f>
        <v>86164.532999999996</v>
      </c>
      <c r="G82" s="905">
        <f>POP!G61</f>
        <v>87230.198881363089</v>
      </c>
      <c r="H82" s="904">
        <f>POP!H61</f>
        <v>88309.938053131278</v>
      </c>
      <c r="I82" s="906">
        <f>POP!I61</f>
        <v>89401.076041550579</v>
      </c>
      <c r="J82" s="906">
        <f>POP!J61</f>
        <v>90496.724979761537</v>
      </c>
      <c r="K82" s="906">
        <f>POP!K61</f>
        <v>91586.540135270538</v>
      </c>
      <c r="L82" s="906">
        <f>POP!L61</f>
        <v>92662.052200169128</v>
      </c>
      <c r="M82" s="906">
        <f>POP!M61</f>
        <v>93721.152924258698</v>
      </c>
      <c r="N82" s="906">
        <f>POP!N61</f>
        <v>94763.377533003862</v>
      </c>
      <c r="O82" s="906">
        <f>POP!O61</f>
        <v>95783.769336849713</v>
      </c>
      <c r="P82" s="906">
        <f>POP!P61</f>
        <v>96776.947721569653</v>
      </c>
      <c r="Q82" s="905">
        <f>POP!Q61</f>
        <v>97738.748317780075</v>
      </c>
      <c r="R82" s="143"/>
      <c r="S82" s="144" t="s">
        <v>537</v>
      </c>
    </row>
    <row r="83" spans="1:19" ht="9.9499999999999993" customHeight="1">
      <c r="A83" s="541"/>
      <c r="B83" s="550"/>
      <c r="C83" s="548"/>
      <c r="D83" s="548"/>
      <c r="E83" s="548"/>
      <c r="F83" s="548"/>
      <c r="G83" s="549"/>
      <c r="H83" s="550"/>
      <c r="I83" s="548"/>
      <c r="J83" s="548"/>
      <c r="K83" s="548"/>
      <c r="L83" s="548"/>
      <c r="M83" s="548"/>
      <c r="N83" s="548"/>
      <c r="O83" s="548"/>
      <c r="P83" s="548"/>
      <c r="Q83" s="549"/>
      <c r="R83" s="143"/>
      <c r="S83" s="144"/>
    </row>
    <row r="84" spans="1:19" ht="15" customHeight="1">
      <c r="A84" s="427" t="s">
        <v>788</v>
      </c>
      <c r="B84" s="904">
        <v>45115.480800936843</v>
      </c>
      <c r="C84" s="906">
        <v>46160.425270309919</v>
      </c>
      <c r="D84" s="906">
        <v>47218.063945944523</v>
      </c>
      <c r="E84" s="906">
        <v>48330.886732397601</v>
      </c>
      <c r="F84" s="906">
        <v>49301.911</v>
      </c>
      <c r="G84" s="905">
        <v>50312.909549345088</v>
      </c>
      <c r="H84" s="904">
        <v>51273.895140009081</v>
      </c>
      <c r="I84" s="906">
        <v>52185.969190672673</v>
      </c>
      <c r="J84" s="906">
        <v>53052.711020453389</v>
      </c>
      <c r="K84" s="906">
        <v>53882.864448361746</v>
      </c>
      <c r="L84" s="906">
        <v>54681.869555327983</v>
      </c>
      <c r="M84" s="906">
        <v>55449.124162000393</v>
      </c>
      <c r="N84" s="906">
        <v>56178.020227074237</v>
      </c>
      <c r="O84" s="906">
        <v>56861.419694682249</v>
      </c>
      <c r="P84" s="906">
        <v>57490.401829295261</v>
      </c>
      <c r="Q84" s="905">
        <v>58059.291941771648</v>
      </c>
      <c r="R84" s="143"/>
      <c r="S84" s="144" t="s">
        <v>538</v>
      </c>
    </row>
    <row r="85" spans="1:19" ht="9.9499999999999993" customHeight="1">
      <c r="A85" s="541"/>
      <c r="B85" s="550"/>
      <c r="C85" s="548"/>
      <c r="D85" s="548"/>
      <c r="E85" s="548"/>
      <c r="F85" s="548"/>
      <c r="G85" s="549"/>
      <c r="H85" s="550"/>
      <c r="I85" s="548"/>
      <c r="J85" s="548"/>
      <c r="K85" s="548"/>
      <c r="L85" s="548"/>
      <c r="M85" s="548"/>
      <c r="N85" s="548"/>
      <c r="O85" s="548"/>
      <c r="P85" s="548"/>
      <c r="Q85" s="549"/>
      <c r="R85" s="143"/>
      <c r="S85" s="144"/>
    </row>
    <row r="86" spans="1:19" s="142" customFormat="1" ht="15" customHeight="1">
      <c r="A86" s="427" t="s">
        <v>733</v>
      </c>
      <c r="B86" s="904">
        <f t="shared" ref="B86:G87" si="20">B58/B91</f>
        <v>9045.1709472068942</v>
      </c>
      <c r="C86" s="906">
        <f t="shared" si="20"/>
        <v>9548.435863105502</v>
      </c>
      <c r="D86" s="906">
        <f t="shared" si="20"/>
        <v>10121.829357074464</v>
      </c>
      <c r="E86" s="906">
        <f t="shared" si="20"/>
        <v>10556.40453888009</v>
      </c>
      <c r="F86" s="906">
        <f t="shared" si="20"/>
        <v>10758.447509861264</v>
      </c>
      <c r="G86" s="905">
        <f t="shared" si="20"/>
        <v>11288.681938009913</v>
      </c>
      <c r="H86" s="904">
        <f>G86*(1+H46/100)</f>
        <v>11909.467307943894</v>
      </c>
      <c r="I86" s="906">
        <f t="shared" ref="I86:Q86" si="21">H86*(1+I46/100)</f>
        <v>12564.39080646014</v>
      </c>
      <c r="J86" s="906">
        <f t="shared" si="21"/>
        <v>13255.329752000003</v>
      </c>
      <c r="K86" s="906">
        <f t="shared" si="21"/>
        <v>13984.2647001967</v>
      </c>
      <c r="L86" s="906">
        <f t="shared" si="21"/>
        <v>14753.28512107825</v>
      </c>
      <c r="M86" s="906">
        <f t="shared" si="21"/>
        <v>15579.469087858633</v>
      </c>
      <c r="N86" s="906">
        <f t="shared" si="21"/>
        <v>16467.498825866576</v>
      </c>
      <c r="O86" s="906">
        <f t="shared" si="21"/>
        <v>17422.613757766838</v>
      </c>
      <c r="P86" s="906">
        <f t="shared" si="21"/>
        <v>18450.547969475079</v>
      </c>
      <c r="Q86" s="905">
        <f t="shared" si="21"/>
        <v>19557.580847643585</v>
      </c>
      <c r="R86" s="797"/>
      <c r="S86" s="278" t="s">
        <v>539</v>
      </c>
    </row>
    <row r="87" spans="1:19">
      <c r="A87" s="541" t="s">
        <v>727</v>
      </c>
      <c r="B87" s="904">
        <f t="shared" si="20"/>
        <v>0</v>
      </c>
      <c r="C87" s="906">
        <f t="shared" si="20"/>
        <v>0</v>
      </c>
      <c r="D87" s="906">
        <f t="shared" si="20"/>
        <v>0</v>
      </c>
      <c r="E87" s="906">
        <f t="shared" si="20"/>
        <v>0</v>
      </c>
      <c r="F87" s="906">
        <f t="shared" ref="F87:G89" si="22">F59/F92</f>
        <v>0</v>
      </c>
      <c r="G87" s="905">
        <f t="shared" si="22"/>
        <v>0</v>
      </c>
      <c r="H87" s="904"/>
      <c r="I87" s="906"/>
      <c r="J87" s="906"/>
      <c r="K87" s="906"/>
      <c r="L87" s="906"/>
      <c r="M87" s="906"/>
      <c r="N87" s="906"/>
      <c r="O87" s="906"/>
      <c r="P87" s="906"/>
      <c r="Q87" s="905"/>
      <c r="R87" s="143"/>
      <c r="S87" s="144"/>
    </row>
    <row r="88" spans="1:19">
      <c r="A88" s="541" t="s">
        <v>728</v>
      </c>
      <c r="B88" s="904">
        <f t="shared" ref="B88:E89" si="23">B60/B93</f>
        <v>0</v>
      </c>
      <c r="C88" s="906">
        <f t="shared" si="23"/>
        <v>0</v>
      </c>
      <c r="D88" s="906">
        <f t="shared" si="23"/>
        <v>0</v>
      </c>
      <c r="E88" s="906">
        <f t="shared" si="23"/>
        <v>0</v>
      </c>
      <c r="F88" s="906">
        <f t="shared" si="22"/>
        <v>0</v>
      </c>
      <c r="G88" s="905">
        <f t="shared" si="22"/>
        <v>0</v>
      </c>
      <c r="H88" s="904"/>
      <c r="I88" s="906"/>
      <c r="J88" s="906"/>
      <c r="K88" s="906"/>
      <c r="L88" s="906"/>
      <c r="M88" s="906"/>
      <c r="N88" s="906"/>
      <c r="O88" s="906"/>
      <c r="P88" s="906"/>
      <c r="Q88" s="905"/>
      <c r="R88" s="143"/>
      <c r="S88" s="144"/>
    </row>
    <row r="89" spans="1:19">
      <c r="A89" s="541" t="s">
        <v>729</v>
      </c>
      <c r="B89" s="904">
        <f t="shared" si="23"/>
        <v>0</v>
      </c>
      <c r="C89" s="906">
        <f t="shared" si="23"/>
        <v>0</v>
      </c>
      <c r="D89" s="906">
        <f t="shared" si="23"/>
        <v>0</v>
      </c>
      <c r="E89" s="906">
        <f t="shared" si="23"/>
        <v>0</v>
      </c>
      <c r="F89" s="906">
        <f t="shared" si="22"/>
        <v>0</v>
      </c>
      <c r="G89" s="905">
        <f t="shared" si="22"/>
        <v>0</v>
      </c>
      <c r="H89" s="904"/>
      <c r="I89" s="906"/>
      <c r="J89" s="906"/>
      <c r="K89" s="906"/>
      <c r="L89" s="906"/>
      <c r="M89" s="906"/>
      <c r="N89" s="906"/>
      <c r="O89" s="906"/>
      <c r="P89" s="906"/>
      <c r="Q89" s="905"/>
      <c r="R89" s="143"/>
      <c r="S89" s="144"/>
    </row>
    <row r="90" spans="1:19" ht="9.9499999999999993" customHeight="1">
      <c r="A90" s="541"/>
      <c r="B90" s="550"/>
      <c r="C90" s="548"/>
      <c r="D90" s="548"/>
      <c r="E90" s="548"/>
      <c r="F90" s="548"/>
      <c r="G90" s="549"/>
      <c r="H90" s="550"/>
      <c r="I90" s="548"/>
      <c r="J90" s="548"/>
      <c r="K90" s="548"/>
      <c r="L90" s="548"/>
      <c r="M90" s="548"/>
      <c r="N90" s="548"/>
      <c r="O90" s="548"/>
      <c r="P90" s="548"/>
      <c r="Q90" s="549"/>
      <c r="R90" s="143"/>
      <c r="S90" s="144"/>
    </row>
    <row r="91" spans="1:19">
      <c r="A91" s="427" t="s">
        <v>789</v>
      </c>
      <c r="B91" s="907">
        <v>43452</v>
      </c>
      <c r="C91" s="908">
        <v>44549</v>
      </c>
      <c r="D91" s="908">
        <v>45579</v>
      </c>
      <c r="E91" s="908">
        <v>46460.800000000003</v>
      </c>
      <c r="F91" s="908">
        <v>48014.896999999997</v>
      </c>
      <c r="G91" s="905">
        <f>G84-G96</f>
        <v>48863.897754323953</v>
      </c>
      <c r="H91" s="904">
        <f>H58/H86</f>
        <v>49215.687746472911</v>
      </c>
      <c r="I91" s="906">
        <f t="shared" ref="I91:Q91" si="24">I58/I86</f>
        <v>49799.913883559457</v>
      </c>
      <c r="J91" s="906">
        <f t="shared" si="24"/>
        <v>50614.613381457792</v>
      </c>
      <c r="K91" s="906">
        <f t="shared" si="24"/>
        <v>51543.115506065726</v>
      </c>
      <c r="L91" s="906">
        <f t="shared" si="24"/>
        <v>52518.159801712041</v>
      </c>
      <c r="M91" s="906">
        <f t="shared" si="24"/>
        <v>53460.561566916251</v>
      </c>
      <c r="N91" s="906">
        <f t="shared" si="24"/>
        <v>54368.388858090701</v>
      </c>
      <c r="O91" s="906">
        <f t="shared" si="24"/>
        <v>55239.371671739886</v>
      </c>
      <c r="P91" s="906">
        <f t="shared" si="24"/>
        <v>56071.310192026394</v>
      </c>
      <c r="Q91" s="905">
        <f t="shared" si="24"/>
        <v>56862.084081817848</v>
      </c>
      <c r="R91" s="143"/>
      <c r="S91" s="144" t="s">
        <v>544</v>
      </c>
    </row>
    <row r="92" spans="1:19">
      <c r="A92" s="541" t="s">
        <v>727</v>
      </c>
      <c r="B92" s="909">
        <v>24637.283999999996</v>
      </c>
      <c r="C92" s="796">
        <v>24368.303000000004</v>
      </c>
      <c r="D92" s="796">
        <v>23792.238000000001</v>
      </c>
      <c r="E92" s="796">
        <v>23230.400000000001</v>
      </c>
      <c r="F92" s="796">
        <f>F109*F91/100</f>
        <v>24919.731542999994</v>
      </c>
      <c r="G92" s="905">
        <f>$G$91*G109/100</f>
        <v>23552.398717584143</v>
      </c>
      <c r="H92" s="904"/>
      <c r="I92" s="906"/>
      <c r="J92" s="906"/>
      <c r="K92" s="906"/>
      <c r="L92" s="906"/>
      <c r="M92" s="906"/>
      <c r="N92" s="906"/>
      <c r="O92" s="906"/>
      <c r="P92" s="906"/>
      <c r="Q92" s="905"/>
      <c r="R92" s="143"/>
      <c r="S92" s="144"/>
    </row>
    <row r="93" spans="1:19">
      <c r="A93" s="541" t="s">
        <v>728</v>
      </c>
      <c r="B93" s="909">
        <v>7777.9079999999994</v>
      </c>
      <c r="C93" s="796">
        <v>8152.4669999999996</v>
      </c>
      <c r="D93" s="796">
        <v>8751.1679999999997</v>
      </c>
      <c r="E93" s="796">
        <v>9408.3120000000017</v>
      </c>
      <c r="F93" s="796">
        <f>F110*F91/100</f>
        <v>10371.217752</v>
      </c>
      <c r="G93" s="905">
        <f>$G$91*G110/100</f>
        <v>10945.513096968563</v>
      </c>
      <c r="H93" s="904"/>
      <c r="I93" s="906"/>
      <c r="J93" s="906"/>
      <c r="K93" s="906"/>
      <c r="L93" s="906"/>
      <c r="M93" s="906"/>
      <c r="N93" s="906"/>
      <c r="O93" s="906"/>
      <c r="P93" s="906"/>
      <c r="Q93" s="905"/>
      <c r="R93" s="143"/>
      <c r="S93" s="144"/>
    </row>
    <row r="94" spans="1:19">
      <c r="A94" s="541" t="s">
        <v>729</v>
      </c>
      <c r="B94" s="909">
        <v>11036.808000000001</v>
      </c>
      <c r="C94" s="796">
        <v>12028.230000000001</v>
      </c>
      <c r="D94" s="796">
        <v>13035.593999999999</v>
      </c>
      <c r="E94" s="796">
        <v>13822.088</v>
      </c>
      <c r="F94" s="796">
        <f>F111*F91/100</f>
        <v>12723.947704999999</v>
      </c>
      <c r="G94" s="905">
        <f>$G$91*G111/100</f>
        <v>14365.985939771243</v>
      </c>
      <c r="H94" s="904"/>
      <c r="I94" s="906"/>
      <c r="J94" s="906"/>
      <c r="K94" s="906"/>
      <c r="L94" s="906"/>
      <c r="M94" s="906"/>
      <c r="N94" s="906"/>
      <c r="O94" s="906"/>
      <c r="P94" s="906"/>
      <c r="Q94" s="905"/>
      <c r="R94" s="27"/>
      <c r="S94" s="27"/>
    </row>
    <row r="95" spans="1:19" ht="9.9499999999999993" customHeight="1">
      <c r="A95" s="541"/>
      <c r="B95" s="518"/>
      <c r="C95" s="519"/>
      <c r="D95" s="519"/>
      <c r="E95" s="519"/>
      <c r="F95" s="519"/>
      <c r="G95" s="520"/>
      <c r="H95" s="518"/>
      <c r="I95" s="519"/>
      <c r="J95" s="519"/>
      <c r="K95" s="519"/>
      <c r="L95" s="519"/>
      <c r="M95" s="519"/>
      <c r="N95" s="519"/>
      <c r="O95" s="519"/>
      <c r="P95" s="519"/>
      <c r="Q95" s="520"/>
      <c r="R95" s="27"/>
      <c r="S95" s="27"/>
    </row>
    <row r="96" spans="1:19">
      <c r="A96" s="427" t="s">
        <v>790</v>
      </c>
      <c r="B96" s="902">
        <f>B84-B91</f>
        <v>1663.4808009368426</v>
      </c>
      <c r="C96" s="903">
        <f>C84-C91</f>
        <v>1611.4252703099191</v>
      </c>
      <c r="D96" s="903">
        <f>D84-D91</f>
        <v>1639.0639459445229</v>
      </c>
      <c r="E96" s="903">
        <f>E84-E91</f>
        <v>1870.0867323975981</v>
      </c>
      <c r="F96" s="903">
        <f>F84-F91</f>
        <v>1287.0140000000029</v>
      </c>
      <c r="G96" s="905">
        <f>G97*G84/100</f>
        <v>1449.0117950211384</v>
      </c>
      <c r="H96" s="905">
        <f>H84-H91</f>
        <v>2058.2073935361695</v>
      </c>
      <c r="I96" s="905">
        <f t="shared" ref="I96:Q96" si="25">I84-I91</f>
        <v>2386.0553071132163</v>
      </c>
      <c r="J96" s="905">
        <f t="shared" si="25"/>
        <v>2438.0976389955977</v>
      </c>
      <c r="K96" s="905">
        <f t="shared" si="25"/>
        <v>2339.7489422960207</v>
      </c>
      <c r="L96" s="905">
        <f t="shared" si="25"/>
        <v>2163.7097536159417</v>
      </c>
      <c r="M96" s="905">
        <f t="shared" si="25"/>
        <v>1988.5625950841422</v>
      </c>
      <c r="N96" s="905">
        <f t="shared" si="25"/>
        <v>1809.631368983537</v>
      </c>
      <c r="O96" s="905">
        <f t="shared" si="25"/>
        <v>1622.0480229423629</v>
      </c>
      <c r="P96" s="905">
        <f t="shared" si="25"/>
        <v>1419.0916372688662</v>
      </c>
      <c r="Q96" s="905">
        <f t="shared" si="25"/>
        <v>1197.2078599537999</v>
      </c>
      <c r="R96" s="27"/>
      <c r="S96" s="27"/>
    </row>
    <row r="97" spans="1:19" s="153" customFormat="1">
      <c r="A97" s="446" t="s">
        <v>742</v>
      </c>
      <c r="B97" s="896">
        <f>B96/B84*100</f>
        <v>3.6871618597541351</v>
      </c>
      <c r="C97" s="897">
        <f>C96/C84*100</f>
        <v>3.4909237964633251</v>
      </c>
      <c r="D97" s="897">
        <f>D96/D84*100</f>
        <v>3.4712646156372093</v>
      </c>
      <c r="E97" s="897">
        <f>E96/E84*100</f>
        <v>3.8693408270203005</v>
      </c>
      <c r="F97" s="897">
        <f>F96/F84*100</f>
        <v>2.610474875913031</v>
      </c>
      <c r="G97" s="784">
        <v>2.88</v>
      </c>
      <c r="H97" s="782">
        <f>(H96/H84)*100</f>
        <v>4.0141428458204809</v>
      </c>
      <c r="I97" s="783">
        <f t="shared" ref="I97:Q97" si="26">(I96/I84)*100</f>
        <v>4.5722161418431249</v>
      </c>
      <c r="J97" s="783">
        <f t="shared" si="26"/>
        <v>4.5956136681792543</v>
      </c>
      <c r="K97" s="783">
        <f t="shared" si="26"/>
        <v>4.3422876015403791</v>
      </c>
      <c r="L97" s="783">
        <f t="shared" si="26"/>
        <v>3.9569052250978101</v>
      </c>
      <c r="M97" s="783">
        <f t="shared" si="26"/>
        <v>3.5862831471861476</v>
      </c>
      <c r="N97" s="783">
        <f t="shared" si="26"/>
        <v>3.2212444683328472</v>
      </c>
      <c r="O97" s="783">
        <f t="shared" si="26"/>
        <v>2.8526337042795622</v>
      </c>
      <c r="P97" s="783">
        <f t="shared" si="26"/>
        <v>2.4683974926502299</v>
      </c>
      <c r="Q97" s="784">
        <f t="shared" si="26"/>
        <v>2.0620435074449306</v>
      </c>
      <c r="R97" s="151"/>
      <c r="S97" s="151"/>
    </row>
    <row r="98" spans="1:19">
      <c r="A98" s="541"/>
      <c r="B98" s="518"/>
      <c r="C98" s="519"/>
      <c r="D98" s="519"/>
      <c r="E98" s="519"/>
      <c r="F98" s="519"/>
      <c r="G98" s="520"/>
      <c r="H98" s="518"/>
      <c r="I98" s="519"/>
      <c r="J98" s="519"/>
      <c r="K98" s="519"/>
      <c r="L98" s="519"/>
      <c r="M98" s="519"/>
      <c r="N98" s="519"/>
      <c r="O98" s="519"/>
      <c r="P98" s="519"/>
      <c r="Q98" s="520"/>
      <c r="R98" s="27"/>
      <c r="S98" s="27"/>
    </row>
    <row r="99" spans="1:19" ht="30">
      <c r="A99" s="541" t="s">
        <v>457</v>
      </c>
      <c r="B99" s="789"/>
      <c r="C99" s="790"/>
      <c r="D99" s="790"/>
      <c r="E99" s="790"/>
      <c r="F99" s="790">
        <v>0.67400000000000004</v>
      </c>
      <c r="G99" s="887">
        <v>0.68</v>
      </c>
      <c r="H99" s="789">
        <v>0.68</v>
      </c>
      <c r="I99" s="790">
        <v>0.68</v>
      </c>
      <c r="J99" s="790">
        <v>0.68</v>
      </c>
      <c r="K99" s="790">
        <v>0.68</v>
      </c>
      <c r="L99" s="790">
        <v>0.68</v>
      </c>
      <c r="M99" s="790">
        <v>0.68</v>
      </c>
      <c r="N99" s="790">
        <v>0.68</v>
      </c>
      <c r="O99" s="790">
        <v>0.68</v>
      </c>
      <c r="P99" s="790">
        <v>0.68</v>
      </c>
      <c r="Q99" s="887">
        <v>0.68</v>
      </c>
      <c r="R99" s="27"/>
      <c r="S99" s="27"/>
    </row>
    <row r="100" spans="1:19" ht="30">
      <c r="A100" s="447" t="s">
        <v>590</v>
      </c>
      <c r="B100" s="910"/>
      <c r="C100" s="911"/>
      <c r="D100" s="911"/>
      <c r="E100" s="912"/>
      <c r="F100" s="912"/>
      <c r="G100" s="913"/>
      <c r="H100" s="914"/>
      <c r="I100" s="912"/>
      <c r="J100" s="912"/>
      <c r="K100" s="912"/>
      <c r="L100" s="912"/>
      <c r="M100" s="912"/>
      <c r="N100" s="912"/>
      <c r="O100" s="912"/>
      <c r="P100" s="912"/>
      <c r="Q100" s="913"/>
      <c r="R100" s="152"/>
      <c r="S100" s="152" t="s">
        <v>545</v>
      </c>
    </row>
    <row r="101" spans="1:19" ht="30">
      <c r="A101" s="193" t="s">
        <v>588</v>
      </c>
      <c r="B101" s="789">
        <v>6189</v>
      </c>
      <c r="C101" s="790">
        <v>6746</v>
      </c>
      <c r="D101" s="790">
        <v>8172</v>
      </c>
      <c r="E101" s="790">
        <v>8527</v>
      </c>
      <c r="F101" s="790">
        <v>8718.5</v>
      </c>
      <c r="G101" s="887">
        <v>8910</v>
      </c>
      <c r="H101" s="789">
        <v>9695.625</v>
      </c>
      <c r="I101" s="790">
        <v>10481.25</v>
      </c>
      <c r="J101" s="790">
        <v>11005</v>
      </c>
      <c r="K101" s="790">
        <v>12052.5</v>
      </c>
      <c r="L101" s="790">
        <v>13100</v>
      </c>
      <c r="M101" s="790">
        <v>14037.5</v>
      </c>
      <c r="N101" s="790">
        <v>14975</v>
      </c>
      <c r="O101" s="790">
        <v>15600</v>
      </c>
      <c r="P101" s="790">
        <v>16850</v>
      </c>
      <c r="Q101" s="887">
        <v>18100</v>
      </c>
      <c r="S101" s="144" t="s">
        <v>592</v>
      </c>
    </row>
    <row r="102" spans="1:19" ht="45">
      <c r="A102" s="193" t="s">
        <v>589</v>
      </c>
      <c r="B102" s="789">
        <v>6220</v>
      </c>
      <c r="C102" s="790">
        <v>6807</v>
      </c>
      <c r="D102" s="790">
        <v>8263</v>
      </c>
      <c r="E102" s="790">
        <v>8577</v>
      </c>
      <c r="F102" s="790">
        <v>9634</v>
      </c>
      <c r="G102" s="887">
        <v>10691</v>
      </c>
      <c r="H102" s="789">
        <v>12061.4375</v>
      </c>
      <c r="I102" s="790">
        <v>13431.875</v>
      </c>
      <c r="J102" s="790">
        <v>15435.5</v>
      </c>
      <c r="K102" s="790">
        <v>16172.75</v>
      </c>
      <c r="L102" s="790">
        <v>20180</v>
      </c>
      <c r="M102" s="790">
        <v>21725.75</v>
      </c>
      <c r="N102" s="790">
        <v>23271.5</v>
      </c>
      <c r="O102" s="790">
        <v>24302</v>
      </c>
      <c r="P102" s="790">
        <v>26363</v>
      </c>
      <c r="Q102" s="887">
        <v>28424</v>
      </c>
      <c r="S102" s="144" t="s">
        <v>592</v>
      </c>
    </row>
    <row r="103" spans="1:19" ht="30">
      <c r="A103" s="193" t="s">
        <v>591</v>
      </c>
      <c r="B103" s="893"/>
      <c r="C103" s="894">
        <f t="shared" ref="C103:Q103" si="27">(C102-C101)/C102*100</f>
        <v>0.89613633024827388</v>
      </c>
      <c r="D103" s="894">
        <f t="shared" si="27"/>
        <v>1.1012949292024687</v>
      </c>
      <c r="E103" s="894">
        <f t="shared" si="27"/>
        <v>0.58295441296490613</v>
      </c>
      <c r="F103" s="894">
        <f t="shared" si="27"/>
        <v>9.5028025742163162</v>
      </c>
      <c r="G103" s="895">
        <f t="shared" si="27"/>
        <v>16.658871948367786</v>
      </c>
      <c r="H103" s="893">
        <f t="shared" si="27"/>
        <v>19.614681085898759</v>
      </c>
      <c r="I103" s="894">
        <f t="shared" si="27"/>
        <v>21.967335163556836</v>
      </c>
      <c r="J103" s="894">
        <f t="shared" si="27"/>
        <v>28.70331378964076</v>
      </c>
      <c r="K103" s="894">
        <f t="shared" si="27"/>
        <v>25.476495957706636</v>
      </c>
      <c r="L103" s="894">
        <f t="shared" si="27"/>
        <v>35.08424182358771</v>
      </c>
      <c r="M103" s="894">
        <f t="shared" si="27"/>
        <v>35.387731148521915</v>
      </c>
      <c r="N103" s="894">
        <f t="shared" si="27"/>
        <v>35.650903465612444</v>
      </c>
      <c r="O103" s="894">
        <f t="shared" si="27"/>
        <v>35.807752448358158</v>
      </c>
      <c r="P103" s="894">
        <f t="shared" si="27"/>
        <v>36.084664112582026</v>
      </c>
      <c r="Q103" s="895">
        <f t="shared" si="27"/>
        <v>36.321418519560936</v>
      </c>
      <c r="R103" s="144"/>
      <c r="S103" s="144"/>
    </row>
    <row r="104" spans="1:19" s="277" customFormat="1" ht="30">
      <c r="A104" s="554" t="s">
        <v>593</v>
      </c>
      <c r="B104" s="896"/>
      <c r="C104" s="897">
        <f>C102/B102</f>
        <v>1.0943729903536978</v>
      </c>
      <c r="D104" s="897">
        <f t="shared" ref="D104:Q104" si="28">D102/C102</f>
        <v>1.2138974584986044</v>
      </c>
      <c r="E104" s="897">
        <f t="shared" si="28"/>
        <v>1.0380007261285247</v>
      </c>
      <c r="F104" s="897">
        <f t="shared" si="28"/>
        <v>1.1232365629007812</v>
      </c>
      <c r="G104" s="898">
        <f t="shared" si="28"/>
        <v>1.1097155906165663</v>
      </c>
      <c r="H104" s="896">
        <f t="shared" si="28"/>
        <v>1.1281860911046675</v>
      </c>
      <c r="I104" s="897">
        <f t="shared" si="28"/>
        <v>1.1136214070669437</v>
      </c>
      <c r="J104" s="897">
        <f t="shared" si="28"/>
        <v>1.1491694197571076</v>
      </c>
      <c r="K104" s="897">
        <f t="shared" si="28"/>
        <v>1.0477632729746365</v>
      </c>
      <c r="L104" s="897">
        <f t="shared" si="28"/>
        <v>1.2477778980074508</v>
      </c>
      <c r="M104" s="897">
        <f t="shared" si="28"/>
        <v>1.0765981169474728</v>
      </c>
      <c r="N104" s="897">
        <f t="shared" si="28"/>
        <v>1.0711482917735866</v>
      </c>
      <c r="O104" s="897">
        <f t="shared" si="28"/>
        <v>1.0442816320391897</v>
      </c>
      <c r="P104" s="897">
        <f t="shared" si="28"/>
        <v>1.0848078347461114</v>
      </c>
      <c r="Q104" s="898">
        <f t="shared" si="28"/>
        <v>1.0781777491180822</v>
      </c>
      <c r="R104" s="131"/>
      <c r="S104" s="131"/>
    </row>
    <row r="105" spans="1:19" s="277" customFormat="1" ht="30">
      <c r="A105" s="780" t="s">
        <v>594</v>
      </c>
      <c r="B105" s="899"/>
      <c r="C105" s="900">
        <f>C101/B101</f>
        <v>1.0899983842300855</v>
      </c>
      <c r="D105" s="900">
        <f t="shared" ref="D105:Q105" si="29">D101/C101</f>
        <v>1.2113845241624666</v>
      </c>
      <c r="E105" s="900">
        <f t="shared" si="29"/>
        <v>1.0434410181106217</v>
      </c>
      <c r="F105" s="900">
        <f t="shared" si="29"/>
        <v>1.0224580743520582</v>
      </c>
      <c r="G105" s="901">
        <f t="shared" si="29"/>
        <v>1.0219647875207891</v>
      </c>
      <c r="H105" s="899">
        <f t="shared" si="29"/>
        <v>1.0881734006734007</v>
      </c>
      <c r="I105" s="900">
        <f t="shared" si="29"/>
        <v>1.0810288145426417</v>
      </c>
      <c r="J105" s="900">
        <f t="shared" si="29"/>
        <v>1.0499701848539058</v>
      </c>
      <c r="K105" s="900">
        <f t="shared" si="29"/>
        <v>1.095184007269423</v>
      </c>
      <c r="L105" s="900">
        <f t="shared" si="29"/>
        <v>1.0869114291640738</v>
      </c>
      <c r="M105" s="900">
        <f t="shared" si="29"/>
        <v>1.0715648854961832</v>
      </c>
      <c r="N105" s="900">
        <f t="shared" si="29"/>
        <v>1.0667853962600178</v>
      </c>
      <c r="O105" s="900">
        <f t="shared" si="29"/>
        <v>1.0417362270450752</v>
      </c>
      <c r="P105" s="900">
        <f t="shared" si="29"/>
        <v>1.0801282051282051</v>
      </c>
      <c r="Q105" s="901">
        <f t="shared" si="29"/>
        <v>1.0741839762611276</v>
      </c>
      <c r="R105" s="781"/>
      <c r="S105" s="781"/>
    </row>
    <row r="106" spans="1:19">
      <c r="A106" s="278"/>
      <c r="B106" s="91"/>
      <c r="C106" s="91"/>
      <c r="D106" s="91"/>
      <c r="E106" s="75"/>
      <c r="F106" s="75"/>
      <c r="G106" s="75"/>
      <c r="H106" s="75"/>
      <c r="I106" s="75"/>
      <c r="J106" s="75"/>
      <c r="K106" s="75"/>
      <c r="L106" s="75"/>
      <c r="M106" s="75"/>
      <c r="N106" s="75"/>
      <c r="O106" s="75"/>
      <c r="P106" s="75"/>
      <c r="Q106" s="75"/>
      <c r="R106" s="144"/>
      <c r="S106" s="144"/>
    </row>
    <row r="108" spans="1:19">
      <c r="A108" s="134" t="s">
        <v>206</v>
      </c>
      <c r="B108" s="19"/>
      <c r="C108" s="19"/>
      <c r="D108" s="135"/>
      <c r="E108" s="135"/>
      <c r="F108" s="135">
        <f>F91/F$86*100</f>
        <v>446.29949587047042</v>
      </c>
      <c r="G108" s="135">
        <f>G91/G$86*100</f>
        <v>432.85742323729772</v>
      </c>
    </row>
    <row r="109" spans="1:19">
      <c r="A109" s="136" t="s">
        <v>727</v>
      </c>
      <c r="B109" s="75"/>
      <c r="C109" s="75"/>
      <c r="D109" s="137"/>
      <c r="E109" s="137"/>
      <c r="F109" s="137">
        <v>51.9</v>
      </c>
      <c r="G109" s="137">
        <v>48.2</v>
      </c>
    </row>
    <row r="110" spans="1:19">
      <c r="A110" s="136" t="s">
        <v>728</v>
      </c>
      <c r="B110" s="75"/>
      <c r="C110" s="75"/>
      <c r="D110" s="137"/>
      <c r="E110" s="137"/>
      <c r="F110" s="137">
        <v>21.6</v>
      </c>
      <c r="G110" s="137">
        <v>22.4</v>
      </c>
    </row>
    <row r="111" spans="1:19">
      <c r="A111" s="138" t="s">
        <v>729</v>
      </c>
      <c r="B111" s="139"/>
      <c r="C111" s="139"/>
      <c r="D111" s="140"/>
      <c r="E111" s="140"/>
      <c r="F111" s="140">
        <v>26.5</v>
      </c>
      <c r="G111" s="140">
        <v>29.4</v>
      </c>
    </row>
    <row r="113" spans="1:19" ht="15.75">
      <c r="A113" s="80" t="s">
        <v>202</v>
      </c>
    </row>
    <row r="116" spans="1:19">
      <c r="R116" s="149">
        <v>16850</v>
      </c>
      <c r="S116" s="17">
        <v>18100</v>
      </c>
    </row>
    <row r="117" spans="1:19">
      <c r="R117" s="149">
        <v>26363</v>
      </c>
      <c r="S117" s="17">
        <v>28424</v>
      </c>
    </row>
  </sheetData>
  <mergeCells count="10">
    <mergeCell ref="P4:Q4"/>
    <mergeCell ref="P5:Q5"/>
    <mergeCell ref="H8:Q8"/>
    <mergeCell ref="H51:Q51"/>
    <mergeCell ref="B8:G8"/>
    <mergeCell ref="B51:G51"/>
    <mergeCell ref="S8:S9"/>
    <mergeCell ref="S51:S52"/>
    <mergeCell ref="R8:R9"/>
    <mergeCell ref="R51:R52"/>
  </mergeCells>
  <phoneticPr fontId="24" type="noConversion"/>
  <pageMargins left="0.35433070866141736" right="0.43307086614173229" top="0.47244094488188981" bottom="0.43307086614173229" header="0.31496062992125984" footer="0.31496062992125984"/>
  <pageSetup paperSize="9" scale="50" orientation="landscape" horizontalDpi="1200" verticalDpi="1200" r:id="rId1"/>
  <ignoredErrors>
    <ignoredError sqref="K96:Q98 F87:G89 J98 H96:J97" evalError="1"/>
  </ignoredErrors>
  <legacyDrawing r:id="rId2"/>
</worksheet>
</file>

<file path=xl/worksheets/sheet6.xml><?xml version="1.0" encoding="utf-8"?>
<worksheet xmlns="http://schemas.openxmlformats.org/spreadsheetml/2006/main" xmlns:r="http://schemas.openxmlformats.org/officeDocument/2006/relationships">
  <sheetPr codeName="Sheet16">
    <tabColor theme="3" tint="-0.249977111117893"/>
  </sheetPr>
  <dimension ref="A1:AV446"/>
  <sheetViews>
    <sheetView topLeftCell="A10" zoomScaleNormal="75" workbookViewId="0">
      <selection activeCell="G57" sqref="G57"/>
    </sheetView>
  </sheetViews>
  <sheetFormatPr defaultColWidth="9.140625" defaultRowHeight="15"/>
  <cols>
    <col min="1" max="1" width="6.7109375" style="52" customWidth="1"/>
    <col min="2" max="2" width="38" style="52" customWidth="1"/>
    <col min="3" max="3" width="21.42578125" style="52" bestFit="1" customWidth="1"/>
    <col min="4" max="6" width="10.5703125" style="52" customWidth="1"/>
    <col min="7" max="7" width="11.140625" style="52" customWidth="1"/>
    <col min="8" max="12" width="11.85546875" style="52" customWidth="1"/>
    <col min="13" max="14" width="11.85546875" style="54" customWidth="1"/>
    <col min="15" max="15" width="21.140625" style="54" customWidth="1"/>
    <col min="16" max="17" width="11.85546875" style="54" customWidth="1"/>
    <col min="18" max="18" width="1.5703125" style="54" customWidth="1"/>
    <col min="19" max="19" width="11.85546875" style="54" customWidth="1"/>
    <col min="20" max="20" width="13.140625" style="54" customWidth="1"/>
    <col min="21" max="25" width="9.140625" style="54"/>
    <col min="26" max="26" width="64.140625" style="54" customWidth="1"/>
    <col min="27" max="48" width="9.140625" style="54"/>
    <col min="49" max="16384" width="9.140625" style="52"/>
  </cols>
  <sheetData>
    <row r="1" spans="1:48" ht="18.75">
      <c r="B1" s="390" t="s">
        <v>662</v>
      </c>
    </row>
    <row r="2" spans="1:48" ht="44.25" customHeight="1">
      <c r="A2" s="563"/>
      <c r="B2" s="1512" t="s">
        <v>460</v>
      </c>
      <c r="C2" s="1512"/>
      <c r="D2" s="1512"/>
      <c r="E2" s="1512"/>
      <c r="F2" s="1512"/>
      <c r="G2" s="1512"/>
      <c r="H2" s="1512"/>
      <c r="I2" s="563"/>
      <c r="J2" s="563"/>
      <c r="K2" s="563"/>
      <c r="L2" s="563"/>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row>
    <row r="3" spans="1:48">
      <c r="A3" s="563"/>
      <c r="B3" s="563"/>
      <c r="C3" s="563"/>
      <c r="D3" s="563"/>
      <c r="E3" s="563"/>
      <c r="F3" s="563"/>
      <c r="G3" s="563"/>
      <c r="H3" s="563"/>
      <c r="I3" s="563"/>
      <c r="J3" s="563"/>
      <c r="K3" s="563"/>
      <c r="L3" s="563"/>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row>
    <row r="4" spans="1:48">
      <c r="A4" s="563"/>
      <c r="B4" s="565" t="s">
        <v>431</v>
      </c>
      <c r="C4" s="563"/>
      <c r="D4" s="563"/>
      <c r="E4" s="563"/>
      <c r="F4" s="563"/>
      <c r="G4" s="563"/>
      <c r="H4" s="563"/>
      <c r="I4" s="563"/>
      <c r="J4" s="563"/>
      <c r="K4" s="563"/>
      <c r="L4" s="563"/>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4"/>
      <c r="AS4" s="564"/>
      <c r="AT4" s="564"/>
      <c r="AU4" s="564"/>
    </row>
    <row r="5" spans="1:48">
      <c r="A5" s="566"/>
      <c r="B5" s="564"/>
      <c r="C5" s="564"/>
      <c r="D5" s="564"/>
      <c r="E5" s="564"/>
      <c r="F5" s="564"/>
      <c r="G5" s="564"/>
      <c r="H5" s="564"/>
      <c r="I5" s="563"/>
      <c r="J5" s="563"/>
      <c r="K5" s="563"/>
      <c r="L5" s="563"/>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row>
    <row r="6" spans="1:48">
      <c r="A6" s="567"/>
      <c r="B6" s="568" t="s">
        <v>429</v>
      </c>
      <c r="C6" s="1513" t="s">
        <v>353</v>
      </c>
      <c r="D6" s="1513"/>
      <c r="E6" s="1514" t="s">
        <v>354</v>
      </c>
      <c r="F6" s="1513"/>
      <c r="G6" s="1513"/>
      <c r="H6" s="1513"/>
      <c r="I6" s="569"/>
      <c r="J6" s="569"/>
      <c r="K6" s="569"/>
      <c r="L6" s="569"/>
      <c r="M6" s="570"/>
      <c r="N6" s="570"/>
      <c r="O6" s="570"/>
      <c r="P6" s="570"/>
      <c r="Q6" s="570"/>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row>
    <row r="7" spans="1:48" s="53" customFormat="1">
      <c r="A7" s="571"/>
      <c r="B7" s="572"/>
      <c r="C7" s="1515" t="s">
        <v>355</v>
      </c>
      <c r="D7" s="1515"/>
      <c r="E7" s="1516" t="s">
        <v>356</v>
      </c>
      <c r="F7" s="1515"/>
      <c r="G7" s="1515" t="s">
        <v>357</v>
      </c>
      <c r="H7" s="1515"/>
      <c r="I7" s="573"/>
      <c r="J7" s="573"/>
      <c r="K7" s="573"/>
      <c r="L7" s="573"/>
      <c r="M7" s="574"/>
      <c r="N7" s="574"/>
      <c r="O7" s="574"/>
      <c r="P7" s="574"/>
      <c r="Q7" s="574"/>
      <c r="R7" s="574"/>
      <c r="S7" s="574"/>
      <c r="T7" s="574"/>
      <c r="U7" s="574"/>
      <c r="V7" s="574"/>
      <c r="W7" s="575"/>
      <c r="X7" s="576"/>
      <c r="Y7" s="577"/>
      <c r="Z7" s="574"/>
      <c r="AA7" s="574"/>
      <c r="AB7" s="574"/>
      <c r="AC7" s="574"/>
      <c r="AD7" s="574"/>
      <c r="AE7" s="574"/>
      <c r="AF7" s="574"/>
      <c r="AG7" s="574"/>
      <c r="AH7" s="574"/>
      <c r="AI7" s="574"/>
      <c r="AJ7" s="574"/>
      <c r="AK7" s="574"/>
      <c r="AL7" s="574"/>
      <c r="AM7" s="574"/>
      <c r="AN7" s="574"/>
      <c r="AO7" s="574"/>
      <c r="AP7" s="574"/>
      <c r="AQ7" s="574"/>
      <c r="AR7" s="574"/>
      <c r="AS7" s="574"/>
      <c r="AT7" s="574"/>
      <c r="AU7" s="574"/>
      <c r="AV7" s="122"/>
    </row>
    <row r="8" spans="1:48" s="53" customFormat="1">
      <c r="A8" s="578"/>
      <c r="B8" s="579"/>
      <c r="C8" s="580" t="s">
        <v>760</v>
      </c>
      <c r="D8" s="580" t="s">
        <v>358</v>
      </c>
      <c r="E8" s="581" t="s">
        <v>760</v>
      </c>
      <c r="F8" s="580" t="s">
        <v>358</v>
      </c>
      <c r="G8" s="580" t="s">
        <v>760</v>
      </c>
      <c r="H8" s="580" t="s">
        <v>358</v>
      </c>
      <c r="I8" s="582"/>
      <c r="J8" s="582"/>
      <c r="K8" s="582"/>
      <c r="L8" s="582"/>
      <c r="M8" s="574"/>
      <c r="N8" s="574"/>
      <c r="O8" s="574"/>
      <c r="P8" s="574"/>
      <c r="Q8" s="574"/>
      <c r="R8" s="574"/>
      <c r="S8" s="574"/>
      <c r="T8" s="574"/>
      <c r="U8" s="574"/>
      <c r="V8" s="574"/>
      <c r="W8" s="575"/>
      <c r="X8" s="576"/>
      <c r="Y8" s="577"/>
      <c r="Z8" s="574"/>
      <c r="AA8" s="574"/>
      <c r="AB8" s="574"/>
      <c r="AC8" s="574"/>
      <c r="AD8" s="574"/>
      <c r="AE8" s="574"/>
      <c r="AF8" s="574"/>
      <c r="AG8" s="574"/>
      <c r="AH8" s="574"/>
      <c r="AI8" s="574"/>
      <c r="AJ8" s="574"/>
      <c r="AK8" s="574"/>
      <c r="AL8" s="574"/>
      <c r="AM8" s="574"/>
      <c r="AN8" s="574"/>
      <c r="AO8" s="574"/>
      <c r="AP8" s="574"/>
      <c r="AQ8" s="574"/>
      <c r="AR8" s="574"/>
      <c r="AS8" s="574"/>
      <c r="AT8" s="574"/>
      <c r="AU8" s="574"/>
      <c r="AV8" s="122"/>
    </row>
    <row r="9" spans="1:48" s="53" customFormat="1">
      <c r="A9" s="583" t="s">
        <v>359</v>
      </c>
      <c r="B9" s="584" t="s">
        <v>430</v>
      </c>
      <c r="C9" s="585">
        <v>302925192.35603464</v>
      </c>
      <c r="D9" s="585">
        <v>37865649.04450433</v>
      </c>
      <c r="E9" s="586">
        <v>846620683.44435656</v>
      </c>
      <c r="F9" s="585">
        <v>169324136.68887132</v>
      </c>
      <c r="G9" s="585">
        <v>1969435830.6321933</v>
      </c>
      <c r="H9" s="585">
        <v>393887166.12643868</v>
      </c>
      <c r="I9" s="587"/>
      <c r="J9" s="587"/>
      <c r="K9" s="587"/>
      <c r="L9" s="587"/>
      <c r="M9" s="574"/>
      <c r="N9" s="574"/>
      <c r="O9" s="574"/>
      <c r="P9" s="574"/>
      <c r="Q9" s="574"/>
      <c r="R9" s="574"/>
      <c r="S9" s="574"/>
      <c r="T9" s="574"/>
      <c r="U9" s="574"/>
      <c r="V9" s="574"/>
      <c r="W9" s="575"/>
      <c r="X9" s="588"/>
      <c r="Y9" s="588"/>
      <c r="Z9" s="574"/>
      <c r="AA9" s="574"/>
      <c r="AB9" s="574"/>
      <c r="AC9" s="574"/>
      <c r="AD9" s="574"/>
      <c r="AE9" s="574"/>
      <c r="AF9" s="574"/>
      <c r="AG9" s="574"/>
      <c r="AH9" s="574"/>
      <c r="AI9" s="574"/>
      <c r="AJ9" s="574"/>
      <c r="AK9" s="574"/>
      <c r="AL9" s="574"/>
      <c r="AM9" s="574"/>
      <c r="AN9" s="574"/>
      <c r="AO9" s="574"/>
      <c r="AP9" s="574"/>
      <c r="AQ9" s="574"/>
      <c r="AR9" s="574"/>
      <c r="AS9" s="574"/>
      <c r="AT9" s="574"/>
      <c r="AU9" s="574"/>
      <c r="AV9" s="122"/>
    </row>
    <row r="10" spans="1:48" s="53" customFormat="1">
      <c r="A10" s="589">
        <v>1</v>
      </c>
      <c r="B10" s="590" t="s">
        <v>360</v>
      </c>
      <c r="C10" s="591">
        <v>159459831.32491595</v>
      </c>
      <c r="D10" s="591">
        <v>19932478.915614493</v>
      </c>
      <c r="E10" s="592">
        <v>367582249.89255893</v>
      </c>
      <c r="F10" s="591">
        <v>73516449.978511795</v>
      </c>
      <c r="G10" s="591">
        <v>689401176.98968756</v>
      </c>
      <c r="H10" s="591">
        <v>137880235.39793754</v>
      </c>
      <c r="I10" s="570"/>
      <c r="J10" s="570"/>
      <c r="K10" s="570"/>
      <c r="L10" s="570"/>
      <c r="M10" s="574"/>
      <c r="N10" s="574"/>
      <c r="O10" s="574"/>
      <c r="P10" s="574"/>
      <c r="Q10" s="574"/>
      <c r="R10" s="574"/>
      <c r="S10" s="574"/>
      <c r="T10" s="574"/>
      <c r="U10" s="574"/>
      <c r="V10" s="574"/>
      <c r="W10" s="575"/>
      <c r="X10" s="588"/>
      <c r="Y10" s="588"/>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122"/>
    </row>
    <row r="11" spans="1:48" s="53" customFormat="1">
      <c r="A11" s="589">
        <v>2</v>
      </c>
      <c r="B11" s="590" t="s">
        <v>361</v>
      </c>
      <c r="C11" s="591">
        <v>143465361.03111872</v>
      </c>
      <c r="D11" s="591">
        <v>17933170.12888984</v>
      </c>
      <c r="E11" s="592">
        <v>479038433.55179763</v>
      </c>
      <c r="F11" s="591">
        <v>95807686.710359544</v>
      </c>
      <c r="G11" s="591">
        <v>1280034653.6425056</v>
      </c>
      <c r="H11" s="591">
        <v>256006930.72850108</v>
      </c>
      <c r="I11" s="570"/>
      <c r="J11" s="570"/>
      <c r="K11" s="570"/>
      <c r="L11" s="570"/>
      <c r="M11" s="574"/>
      <c r="N11" s="574"/>
      <c r="O11" s="574"/>
      <c r="P11" s="574"/>
      <c r="Q11" s="574"/>
      <c r="R11" s="574"/>
      <c r="S11" s="574"/>
      <c r="T11" s="574"/>
      <c r="U11" s="574"/>
      <c r="V11" s="574"/>
      <c r="W11" s="575"/>
      <c r="X11" s="576"/>
      <c r="Y11" s="577"/>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122"/>
    </row>
    <row r="12" spans="1:48" ht="26.25">
      <c r="A12" s="593" t="s">
        <v>362</v>
      </c>
      <c r="B12" s="594" t="s">
        <v>363</v>
      </c>
      <c r="C12" s="595">
        <v>0</v>
      </c>
      <c r="D12" s="596">
        <v>0</v>
      </c>
      <c r="E12" s="597">
        <v>0</v>
      </c>
      <c r="F12" s="596">
        <v>0</v>
      </c>
      <c r="G12" s="595">
        <v>0</v>
      </c>
      <c r="H12" s="596">
        <v>0</v>
      </c>
      <c r="I12" s="598"/>
      <c r="J12" s="598"/>
      <c r="K12" s="598"/>
      <c r="L12" s="598"/>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row>
    <row r="13" spans="1:48">
      <c r="A13" s="593">
        <v>1</v>
      </c>
      <c r="B13" s="599" t="s">
        <v>364</v>
      </c>
      <c r="C13" s="595">
        <v>9470320</v>
      </c>
      <c r="D13" s="595">
        <v>1183790</v>
      </c>
      <c r="E13" s="597">
        <v>18706455.08718238</v>
      </c>
      <c r="F13" s="595">
        <v>3741291.0174364769</v>
      </c>
      <c r="G13" s="595">
        <v>31021523.441402126</v>
      </c>
      <c r="H13" s="595">
        <v>6204304.688280426</v>
      </c>
      <c r="I13" s="587"/>
      <c r="J13" s="587"/>
      <c r="K13" s="587"/>
      <c r="L13" s="587"/>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564"/>
    </row>
    <row r="14" spans="1:48">
      <c r="A14" s="600">
        <v>1.1000000000000001</v>
      </c>
      <c r="B14" s="601" t="s">
        <v>365</v>
      </c>
      <c r="C14" s="602">
        <v>3108000</v>
      </c>
      <c r="D14" s="596">
        <v>388500</v>
      </c>
      <c r="E14" s="603">
        <v>9738823.5294117667</v>
      </c>
      <c r="F14" s="602">
        <v>1947764.7058823532</v>
      </c>
      <c r="G14" s="602">
        <v>14607764.705882354</v>
      </c>
      <c r="H14" s="602">
        <v>2921552.9411764704</v>
      </c>
      <c r="I14" s="604"/>
      <c r="J14" s="604"/>
      <c r="K14" s="604"/>
      <c r="L14" s="60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row>
    <row r="15" spans="1:48" ht="39">
      <c r="A15" s="589" t="s">
        <v>366</v>
      </c>
      <c r="B15" s="605" t="s">
        <v>367</v>
      </c>
      <c r="C15" s="591">
        <v>2245600</v>
      </c>
      <c r="D15" s="606">
        <v>280700</v>
      </c>
      <c r="E15" s="592">
        <v>7428000</v>
      </c>
      <c r="F15" s="591">
        <v>1485600</v>
      </c>
      <c r="G15" s="591">
        <v>12416600</v>
      </c>
      <c r="H15" s="591">
        <v>2483320</v>
      </c>
      <c r="I15" s="570"/>
      <c r="J15" s="570"/>
      <c r="K15" s="570"/>
      <c r="L15" s="570"/>
      <c r="M15" s="607"/>
      <c r="N15" s="607"/>
      <c r="O15" s="607"/>
      <c r="P15" s="607"/>
      <c r="Q15" s="607"/>
      <c r="R15" s="607"/>
      <c r="S15" s="607"/>
      <c r="T15" s="607"/>
      <c r="U15" s="607"/>
      <c r="V15" s="607"/>
      <c r="W15" s="607"/>
      <c r="X15" s="607"/>
      <c r="Y15" s="607"/>
      <c r="Z15" s="608"/>
      <c r="AA15" s="564"/>
      <c r="AB15" s="564"/>
      <c r="AC15" s="564"/>
      <c r="AD15" s="564"/>
      <c r="AE15" s="564"/>
      <c r="AF15" s="564"/>
      <c r="AG15" s="564"/>
      <c r="AH15" s="564"/>
      <c r="AI15" s="564"/>
      <c r="AJ15" s="564"/>
      <c r="AK15" s="564"/>
      <c r="AL15" s="564"/>
      <c r="AM15" s="564"/>
      <c r="AN15" s="564"/>
      <c r="AO15" s="564"/>
      <c r="AP15" s="564"/>
      <c r="AQ15" s="564"/>
      <c r="AR15" s="564"/>
      <c r="AS15" s="564"/>
      <c r="AT15" s="564"/>
      <c r="AU15" s="564"/>
    </row>
    <row r="16" spans="1:48">
      <c r="A16" s="589"/>
      <c r="B16" s="605" t="s">
        <v>368</v>
      </c>
      <c r="C16" s="591">
        <v>0</v>
      </c>
      <c r="D16" s="591">
        <v>0</v>
      </c>
      <c r="E16" s="592">
        <v>0</v>
      </c>
      <c r="F16" s="591">
        <v>0</v>
      </c>
      <c r="G16" s="591">
        <v>0</v>
      </c>
      <c r="H16" s="591">
        <v>0</v>
      </c>
      <c r="I16" s="570"/>
      <c r="J16" s="570"/>
      <c r="K16" s="570"/>
      <c r="L16" s="570"/>
      <c r="M16" s="609"/>
      <c r="N16" s="609"/>
      <c r="O16" s="609"/>
      <c r="P16" s="609"/>
      <c r="Q16" s="609"/>
      <c r="R16" s="609"/>
      <c r="S16" s="609"/>
      <c r="T16" s="609"/>
      <c r="U16" s="609"/>
      <c r="V16" s="609"/>
      <c r="W16" s="609"/>
      <c r="X16" s="609"/>
      <c r="Y16" s="609"/>
      <c r="Z16" s="608"/>
      <c r="AA16" s="564"/>
      <c r="AB16" s="564"/>
      <c r="AC16" s="564"/>
      <c r="AD16" s="564"/>
      <c r="AE16" s="564"/>
      <c r="AF16" s="564"/>
      <c r="AG16" s="564"/>
      <c r="AH16" s="564"/>
      <c r="AI16" s="564"/>
      <c r="AJ16" s="564"/>
      <c r="AK16" s="564"/>
      <c r="AL16" s="564"/>
      <c r="AM16" s="564"/>
      <c r="AN16" s="564"/>
      <c r="AO16" s="564"/>
      <c r="AP16" s="564"/>
      <c r="AQ16" s="564"/>
      <c r="AR16" s="564"/>
      <c r="AS16" s="564"/>
      <c r="AT16" s="564"/>
      <c r="AU16" s="564"/>
    </row>
    <row r="17" spans="1:47" ht="39">
      <c r="A17" s="589" t="s">
        <v>369</v>
      </c>
      <c r="B17" s="590" t="s">
        <v>370</v>
      </c>
      <c r="C17" s="591">
        <v>0</v>
      </c>
      <c r="D17" s="591">
        <v>0</v>
      </c>
      <c r="E17" s="592">
        <v>3668800</v>
      </c>
      <c r="F17" s="591">
        <v>733760</v>
      </c>
      <c r="G17" s="591">
        <v>6222300</v>
      </c>
      <c r="H17" s="591">
        <v>1244460</v>
      </c>
      <c r="I17" s="570"/>
      <c r="J17" s="570"/>
      <c r="K17" s="570"/>
      <c r="L17" s="570"/>
      <c r="M17" s="564"/>
      <c r="N17" s="564"/>
      <c r="O17" s="564"/>
      <c r="P17" s="564"/>
      <c r="Q17" s="564"/>
      <c r="R17" s="564"/>
      <c r="S17" s="564"/>
      <c r="T17" s="564"/>
      <c r="U17" s="564"/>
      <c r="V17" s="564"/>
      <c r="W17" s="564"/>
      <c r="X17" s="564"/>
      <c r="Y17" s="564"/>
      <c r="Z17" s="566"/>
      <c r="AA17" s="564"/>
      <c r="AB17" s="564"/>
      <c r="AC17" s="564"/>
      <c r="AD17" s="564"/>
      <c r="AE17" s="564"/>
      <c r="AF17" s="564"/>
      <c r="AG17" s="564"/>
      <c r="AH17" s="564"/>
      <c r="AI17" s="564"/>
      <c r="AJ17" s="564"/>
      <c r="AK17" s="564"/>
      <c r="AL17" s="564"/>
      <c r="AM17" s="564"/>
      <c r="AN17" s="564"/>
      <c r="AO17" s="564"/>
      <c r="AP17" s="564"/>
      <c r="AQ17" s="564"/>
      <c r="AR17" s="564"/>
      <c r="AS17" s="564"/>
      <c r="AT17" s="564"/>
      <c r="AU17" s="564"/>
    </row>
    <row r="18" spans="1:47">
      <c r="A18" s="589" t="s">
        <v>371</v>
      </c>
      <c r="B18" s="590" t="s">
        <v>372</v>
      </c>
      <c r="C18" s="591">
        <v>0</v>
      </c>
      <c r="D18" s="591">
        <v>0</v>
      </c>
      <c r="E18" s="592">
        <v>1155000</v>
      </c>
      <c r="F18" s="591">
        <v>231000</v>
      </c>
      <c r="G18" s="591">
        <v>2070000</v>
      </c>
      <c r="H18" s="591">
        <v>414000</v>
      </c>
      <c r="I18" s="570"/>
      <c r="J18" s="570"/>
      <c r="K18" s="570"/>
      <c r="L18" s="570"/>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4"/>
      <c r="AM18" s="564"/>
      <c r="AN18" s="564"/>
      <c r="AO18" s="564"/>
      <c r="AP18" s="564"/>
      <c r="AQ18" s="564"/>
      <c r="AR18" s="564"/>
      <c r="AS18" s="564"/>
      <c r="AT18" s="564"/>
      <c r="AU18" s="564"/>
    </row>
    <row r="19" spans="1:47">
      <c r="A19" s="589" t="s">
        <v>373</v>
      </c>
      <c r="B19" s="590" t="s">
        <v>374</v>
      </c>
      <c r="C19" s="591">
        <v>0</v>
      </c>
      <c r="D19" s="591">
        <v>0</v>
      </c>
      <c r="E19" s="592">
        <v>1005177.2727272825</v>
      </c>
      <c r="F19" s="591">
        <v>201035.45454545651</v>
      </c>
      <c r="G19" s="591">
        <v>2233784.0909090037</v>
      </c>
      <c r="H19" s="591">
        <v>446756.81818180071</v>
      </c>
      <c r="I19" s="570"/>
      <c r="J19" s="570"/>
      <c r="K19" s="570"/>
      <c r="L19" s="570"/>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row>
    <row r="20" spans="1:47">
      <c r="A20" s="600">
        <v>1.2</v>
      </c>
      <c r="B20" s="601" t="s">
        <v>375</v>
      </c>
      <c r="C20" s="610">
        <v>1441320.0000000002</v>
      </c>
      <c r="D20" s="610">
        <v>180165.00000000003</v>
      </c>
      <c r="E20" s="611">
        <v>1984000.3694700003</v>
      </c>
      <c r="F20" s="610">
        <v>396800.07389400009</v>
      </c>
      <c r="G20" s="610">
        <v>3011087.6482146941</v>
      </c>
      <c r="H20" s="610">
        <v>602217.52964293887</v>
      </c>
      <c r="I20" s="612"/>
      <c r="J20" s="612"/>
      <c r="K20" s="612"/>
      <c r="L20" s="612"/>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R20" s="564"/>
      <c r="AS20" s="564"/>
      <c r="AT20" s="564"/>
      <c r="AU20" s="564"/>
    </row>
    <row r="21" spans="1:47" ht="26.25">
      <c r="A21" s="589" t="s">
        <v>376</v>
      </c>
      <c r="B21" s="605" t="s">
        <v>377</v>
      </c>
      <c r="C21" s="610">
        <v>0</v>
      </c>
      <c r="D21" s="606">
        <v>0</v>
      </c>
      <c r="E21" s="611">
        <v>7428000</v>
      </c>
      <c r="F21" s="606">
        <v>1485600</v>
      </c>
      <c r="G21" s="610">
        <v>12416600</v>
      </c>
      <c r="H21" s="606">
        <v>2483320</v>
      </c>
      <c r="I21" s="613"/>
      <c r="J21" s="613"/>
      <c r="K21" s="613"/>
      <c r="L21" s="613"/>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row>
    <row r="22" spans="1:47" ht="26.25">
      <c r="A22" s="600">
        <v>1.3</v>
      </c>
      <c r="B22" s="601" t="s">
        <v>378</v>
      </c>
      <c r="C22" s="602">
        <v>820000</v>
      </c>
      <c r="D22" s="610">
        <v>102500</v>
      </c>
      <c r="E22" s="603">
        <v>743417.5</v>
      </c>
      <c r="F22" s="602">
        <v>148683.5</v>
      </c>
      <c r="G22" s="602">
        <v>940301.50473984377</v>
      </c>
      <c r="H22" s="602">
        <v>188060.30094796876</v>
      </c>
      <c r="I22" s="604"/>
      <c r="J22" s="604"/>
      <c r="K22" s="604"/>
      <c r="L22" s="60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row>
    <row r="23" spans="1:47" ht="26.25">
      <c r="A23" s="600">
        <v>1.4</v>
      </c>
      <c r="B23" s="601" t="s">
        <v>379</v>
      </c>
      <c r="C23" s="602">
        <v>4101000</v>
      </c>
      <c r="D23" s="610">
        <v>512625</v>
      </c>
      <c r="E23" s="603">
        <v>6240213.6883006189</v>
      </c>
      <c r="F23" s="602">
        <v>1248042.7376601237</v>
      </c>
      <c r="G23" s="602">
        <v>12462369.582565237</v>
      </c>
      <c r="H23" s="602">
        <v>2492473.9165130476</v>
      </c>
      <c r="I23" s="604"/>
      <c r="J23" s="604"/>
      <c r="K23" s="604"/>
      <c r="L23" s="60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row>
    <row r="24" spans="1:47">
      <c r="A24" s="600"/>
      <c r="B24" s="601" t="s">
        <v>380</v>
      </c>
      <c r="C24" s="602">
        <v>0</v>
      </c>
      <c r="D24" s="602">
        <v>0</v>
      </c>
      <c r="E24" s="603">
        <v>0</v>
      </c>
      <c r="F24" s="602">
        <v>0</v>
      </c>
      <c r="G24" s="602">
        <v>0</v>
      </c>
      <c r="H24" s="602">
        <v>0</v>
      </c>
      <c r="I24" s="604"/>
      <c r="J24" s="604"/>
      <c r="K24" s="604"/>
      <c r="L24" s="60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row>
    <row r="25" spans="1:47" ht="39">
      <c r="A25" s="589" t="s">
        <v>381</v>
      </c>
      <c r="B25" s="590" t="s">
        <v>382</v>
      </c>
      <c r="C25" s="591">
        <v>0</v>
      </c>
      <c r="D25" s="606">
        <v>0</v>
      </c>
      <c r="E25" s="592">
        <v>1614646.1287037702</v>
      </c>
      <c r="F25" s="602">
        <v>322929.2257407541</v>
      </c>
      <c r="G25" s="591">
        <v>3863334.5705952235</v>
      </c>
      <c r="H25" s="591">
        <v>772666.91411904467</v>
      </c>
      <c r="I25" s="570"/>
      <c r="J25" s="570"/>
      <c r="K25" s="570"/>
      <c r="L25" s="570"/>
      <c r="M25" s="614"/>
      <c r="N25" s="614"/>
      <c r="O25" s="614"/>
      <c r="P25" s="614"/>
      <c r="Q25" s="614"/>
      <c r="R25" s="614"/>
      <c r="S25" s="614"/>
      <c r="T25" s="61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row>
    <row r="26" spans="1:47" ht="26.25">
      <c r="A26" s="589" t="s">
        <v>383</v>
      </c>
      <c r="B26" s="590" t="s">
        <v>384</v>
      </c>
      <c r="C26" s="591">
        <v>0</v>
      </c>
      <c r="D26" s="606">
        <v>0</v>
      </c>
      <c r="E26" s="592">
        <v>520853.58990444208</v>
      </c>
      <c r="F26" s="602">
        <v>104170.71798088841</v>
      </c>
      <c r="G26" s="591">
        <v>1246236.9582565236</v>
      </c>
      <c r="H26" s="591">
        <v>249247.39165130473</v>
      </c>
      <c r="I26" s="570"/>
      <c r="J26" s="570"/>
      <c r="K26" s="570"/>
      <c r="L26" s="570"/>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row>
    <row r="27" spans="1:47">
      <c r="A27" s="593">
        <v>2</v>
      </c>
      <c r="B27" s="599" t="s">
        <v>385</v>
      </c>
      <c r="C27" s="595">
        <v>60610101.651397668</v>
      </c>
      <c r="D27" s="595">
        <v>7576262.7064247085</v>
      </c>
      <c r="E27" s="597">
        <v>242585523.87376499</v>
      </c>
      <c r="F27" s="595">
        <v>48517104.774753086</v>
      </c>
      <c r="G27" s="595">
        <v>683665920.66809773</v>
      </c>
      <c r="H27" s="595">
        <v>136733184.13361955</v>
      </c>
      <c r="I27" s="587"/>
      <c r="J27" s="587"/>
      <c r="K27" s="587"/>
      <c r="L27" s="587"/>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row>
    <row r="28" spans="1:47" ht="26.25">
      <c r="A28" s="589">
        <v>2.1</v>
      </c>
      <c r="B28" s="590" t="s">
        <v>386</v>
      </c>
      <c r="C28" s="591">
        <v>25154759.046570804</v>
      </c>
      <c r="D28" s="606">
        <v>3144344.8808213505</v>
      </c>
      <c r="E28" s="592">
        <v>114860900.51380298</v>
      </c>
      <c r="F28" s="591">
        <v>22972180.102760594</v>
      </c>
      <c r="G28" s="591">
        <v>345419067.79073972</v>
      </c>
      <c r="H28" s="591">
        <v>69083813.558147937</v>
      </c>
      <c r="I28" s="570"/>
      <c r="J28" s="570"/>
      <c r="K28" s="570"/>
      <c r="L28" s="570"/>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row>
    <row r="29" spans="1:47" ht="26.25">
      <c r="A29" s="589">
        <v>2.2000000000000002</v>
      </c>
      <c r="B29" s="590" t="s">
        <v>387</v>
      </c>
      <c r="C29" s="591">
        <v>0</v>
      </c>
      <c r="D29" s="606">
        <v>0</v>
      </c>
      <c r="E29" s="592">
        <v>0</v>
      </c>
      <c r="F29" s="591">
        <v>0</v>
      </c>
      <c r="G29" s="591">
        <v>145414305.81724602</v>
      </c>
      <c r="H29" s="591">
        <v>29082861.163449205</v>
      </c>
      <c r="I29" s="570"/>
      <c r="J29" s="570"/>
      <c r="K29" s="570"/>
      <c r="L29" s="570"/>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row>
    <row r="30" spans="1:47" ht="26.25">
      <c r="A30" s="589">
        <v>2.2999999999999998</v>
      </c>
      <c r="B30" s="590" t="s">
        <v>388</v>
      </c>
      <c r="C30" s="591">
        <v>35455342.60482686</v>
      </c>
      <c r="D30" s="606">
        <v>4431917.8256033575</v>
      </c>
      <c r="E30" s="592">
        <v>127724623.35996242</v>
      </c>
      <c r="F30" s="591">
        <v>25544924.671992484</v>
      </c>
      <c r="G30" s="591">
        <v>192832547.06011194</v>
      </c>
      <c r="H30" s="591">
        <v>38566509.412022389</v>
      </c>
      <c r="I30" s="570"/>
      <c r="J30" s="570"/>
      <c r="K30" s="570"/>
      <c r="L30" s="570"/>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row>
    <row r="31" spans="1:47">
      <c r="A31" s="589">
        <v>3</v>
      </c>
      <c r="B31" s="599" t="s">
        <v>389</v>
      </c>
      <c r="C31" s="595">
        <v>146304591.088967</v>
      </c>
      <c r="D31" s="595">
        <v>18288073.886120874</v>
      </c>
      <c r="E31" s="597">
        <v>369320414.97065675</v>
      </c>
      <c r="F31" s="595">
        <v>73864082.994131342</v>
      </c>
      <c r="G31" s="595">
        <v>846730887.98576903</v>
      </c>
      <c r="H31" s="595">
        <v>169346177.59715381</v>
      </c>
      <c r="I31" s="615"/>
      <c r="J31" s="587"/>
      <c r="K31" s="587"/>
      <c r="L31" s="587"/>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row>
    <row r="32" spans="1:47">
      <c r="A32" s="589">
        <v>3.1</v>
      </c>
      <c r="B32" s="590" t="s">
        <v>390</v>
      </c>
      <c r="C32" s="591">
        <v>91286000</v>
      </c>
      <c r="D32" s="606">
        <v>11410750</v>
      </c>
      <c r="E32" s="592">
        <v>287039039.47099245</v>
      </c>
      <c r="F32" s="591">
        <v>57407807.894198492</v>
      </c>
      <c r="G32" s="591">
        <v>769775503.87954879</v>
      </c>
      <c r="H32" s="591">
        <v>153955100.77590975</v>
      </c>
      <c r="I32" s="570"/>
      <c r="J32" s="570"/>
      <c r="K32" s="570"/>
      <c r="L32" s="570"/>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row>
    <row r="33" spans="1:47">
      <c r="A33" s="589">
        <v>3.2</v>
      </c>
      <c r="B33" s="590" t="s">
        <v>391</v>
      </c>
      <c r="C33" s="591">
        <v>55018591.088967003</v>
      </c>
      <c r="D33" s="606">
        <v>6877323.8861208754</v>
      </c>
      <c r="E33" s="592">
        <v>82281375.499664277</v>
      </c>
      <c r="F33" s="591">
        <v>16456275.099932857</v>
      </c>
      <c r="G33" s="591">
        <v>76955384.106220365</v>
      </c>
      <c r="H33" s="591">
        <v>15391076.82124407</v>
      </c>
      <c r="I33" s="570"/>
      <c r="J33" s="570"/>
      <c r="K33" s="570"/>
      <c r="L33" s="570"/>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row>
    <row r="34" spans="1:47">
      <c r="A34" s="589">
        <v>4</v>
      </c>
      <c r="B34" s="599" t="s">
        <v>392</v>
      </c>
      <c r="C34" s="595">
        <v>0</v>
      </c>
      <c r="D34" s="595">
        <v>0</v>
      </c>
      <c r="E34" s="597">
        <v>29827173.331116103</v>
      </c>
      <c r="F34" s="595">
        <v>5965434.6662232205</v>
      </c>
      <c r="G34" s="595">
        <v>78451658.742476329</v>
      </c>
      <c r="H34" s="595">
        <v>15690331.748495264</v>
      </c>
      <c r="I34" s="587"/>
      <c r="J34" s="587"/>
      <c r="K34" s="587"/>
      <c r="L34" s="587"/>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row>
    <row r="35" spans="1:47">
      <c r="A35" s="589">
        <v>4.0999999999999996</v>
      </c>
      <c r="B35" s="590" t="s">
        <v>390</v>
      </c>
      <c r="C35" s="591">
        <v>0</v>
      </c>
      <c r="D35" s="606">
        <v>0</v>
      </c>
      <c r="E35" s="592">
        <v>19884782.22074407</v>
      </c>
      <c r="F35" s="591">
        <v>3976956.4441488138</v>
      </c>
      <c r="G35" s="591">
        <v>52301105.828317553</v>
      </c>
      <c r="H35" s="591">
        <v>10460221.165663511</v>
      </c>
      <c r="I35" s="570"/>
      <c r="J35" s="570"/>
      <c r="K35" s="570"/>
      <c r="L35" s="570"/>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row>
    <row r="36" spans="1:47">
      <c r="A36" s="589">
        <v>4.2</v>
      </c>
      <c r="B36" s="590" t="s">
        <v>393</v>
      </c>
      <c r="C36" s="591">
        <v>0</v>
      </c>
      <c r="D36" s="606">
        <v>0</v>
      </c>
      <c r="E36" s="592">
        <v>9942391.1103720348</v>
      </c>
      <c r="F36" s="591">
        <v>1988478.2220744069</v>
      </c>
      <c r="G36" s="591">
        <v>26150552.914158776</v>
      </c>
      <c r="H36" s="591">
        <v>5230110.5828317553</v>
      </c>
      <c r="I36" s="570"/>
      <c r="J36" s="570"/>
      <c r="K36" s="570"/>
      <c r="L36" s="570"/>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row>
    <row r="37" spans="1:47">
      <c r="A37" s="589">
        <v>5</v>
      </c>
      <c r="B37" s="599" t="s">
        <v>394</v>
      </c>
      <c r="C37" s="595">
        <v>139080</v>
      </c>
      <c r="D37" s="595">
        <v>17385</v>
      </c>
      <c r="E37" s="597">
        <v>12592920</v>
      </c>
      <c r="F37" s="595">
        <v>2518584</v>
      </c>
      <c r="G37" s="595">
        <v>94571437.5</v>
      </c>
      <c r="H37" s="595">
        <v>18914287.5</v>
      </c>
      <c r="I37" s="587"/>
      <c r="J37" s="587"/>
      <c r="K37" s="587"/>
      <c r="L37" s="587"/>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c r="AP37" s="564"/>
      <c r="AQ37" s="564"/>
      <c r="AR37" s="564"/>
      <c r="AS37" s="564"/>
      <c r="AT37" s="564"/>
      <c r="AU37" s="564"/>
    </row>
    <row r="38" spans="1:47">
      <c r="A38" s="589">
        <v>5.0999999999999996</v>
      </c>
      <c r="B38" s="590" t="s">
        <v>395</v>
      </c>
      <c r="C38" s="591">
        <v>139080</v>
      </c>
      <c r="D38" s="606">
        <v>17385</v>
      </c>
      <c r="E38" s="592">
        <v>10492320</v>
      </c>
      <c r="F38" s="591">
        <v>2098464</v>
      </c>
      <c r="G38" s="591">
        <v>75657150</v>
      </c>
      <c r="H38" s="591">
        <v>15131429.999999998</v>
      </c>
      <c r="I38" s="570"/>
      <c r="J38" s="570"/>
      <c r="K38" s="570"/>
      <c r="L38" s="570"/>
      <c r="M38" s="614"/>
      <c r="N38" s="614"/>
      <c r="O38" s="614"/>
      <c r="P38" s="614"/>
      <c r="Q38" s="614"/>
      <c r="R38" s="614"/>
      <c r="S38" s="614"/>
      <c r="T38" s="61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row>
    <row r="39" spans="1:47">
      <c r="A39" s="589">
        <v>5.2</v>
      </c>
      <c r="B39" s="590" t="s">
        <v>393</v>
      </c>
      <c r="C39" s="591">
        <v>0</v>
      </c>
      <c r="D39" s="606">
        <v>0</v>
      </c>
      <c r="E39" s="592">
        <v>2100600.0000000005</v>
      </c>
      <c r="F39" s="591">
        <v>420120.00000000006</v>
      </c>
      <c r="G39" s="591">
        <v>18914287.5</v>
      </c>
      <c r="H39" s="591">
        <v>3782857.4999999995</v>
      </c>
      <c r="I39" s="570"/>
      <c r="J39" s="570"/>
      <c r="K39" s="570"/>
      <c r="L39" s="570"/>
      <c r="M39" s="614"/>
      <c r="N39" s="614"/>
      <c r="O39" s="614"/>
      <c r="P39" s="614"/>
      <c r="Q39" s="614"/>
      <c r="R39" s="614"/>
      <c r="S39" s="614"/>
      <c r="T39" s="61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row>
    <row r="40" spans="1:47">
      <c r="A40" s="589">
        <v>6</v>
      </c>
      <c r="B40" s="599" t="s">
        <v>396</v>
      </c>
      <c r="C40" s="595">
        <v>85824630.55775106</v>
      </c>
      <c r="D40" s="595">
        <v>10728078.819718882</v>
      </c>
      <c r="E40" s="597">
        <v>172360154.0907329</v>
      </c>
      <c r="F40" s="595">
        <v>34472030.818146564</v>
      </c>
      <c r="G40" s="595">
        <v>232753982.53589758</v>
      </c>
      <c r="H40" s="595">
        <v>46550796.507179514</v>
      </c>
      <c r="I40" s="587"/>
      <c r="J40" s="587"/>
      <c r="K40" s="587"/>
      <c r="L40" s="587"/>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564"/>
    </row>
    <row r="41" spans="1:47">
      <c r="A41" s="600">
        <v>6.1</v>
      </c>
      <c r="B41" s="601" t="s">
        <v>360</v>
      </c>
      <c r="C41" s="602">
        <v>69239692.131459221</v>
      </c>
      <c r="D41" s="602">
        <v>8654961.5164324027</v>
      </c>
      <c r="E41" s="603">
        <v>138462485.59063417</v>
      </c>
      <c r="F41" s="602">
        <v>27692497.118126828</v>
      </c>
      <c r="G41" s="602">
        <v>188699941.47861627</v>
      </c>
      <c r="H41" s="602">
        <v>37739988.295723245</v>
      </c>
      <c r="I41" s="604"/>
      <c r="J41" s="604"/>
      <c r="K41" s="604"/>
      <c r="L41" s="60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4"/>
      <c r="AP41" s="564"/>
      <c r="AQ41" s="564"/>
      <c r="AR41" s="564"/>
      <c r="AS41" s="564"/>
      <c r="AT41" s="564"/>
      <c r="AU41" s="564"/>
    </row>
    <row r="42" spans="1:47" ht="26.25">
      <c r="A42" s="589" t="s">
        <v>397</v>
      </c>
      <c r="B42" s="590" t="s">
        <v>398</v>
      </c>
      <c r="C42" s="591">
        <v>3605600</v>
      </c>
      <c r="D42" s="591">
        <v>450700</v>
      </c>
      <c r="E42" s="592">
        <v>16252244.40914</v>
      </c>
      <c r="F42" s="591">
        <v>3250448.8818279998</v>
      </c>
      <c r="G42" s="591">
        <v>26911134.025942497</v>
      </c>
      <c r="H42" s="591">
        <v>5382226.8051884994</v>
      </c>
      <c r="I42" s="570"/>
      <c r="J42" s="570"/>
      <c r="K42" s="570"/>
      <c r="L42" s="570"/>
      <c r="M42" s="607"/>
      <c r="N42" s="607"/>
      <c r="O42" s="607"/>
      <c r="P42" s="607"/>
      <c r="Q42" s="607"/>
      <c r="R42" s="607"/>
      <c r="S42" s="607"/>
      <c r="T42" s="607"/>
      <c r="U42" s="607"/>
      <c r="V42" s="607"/>
      <c r="W42" s="607"/>
      <c r="X42" s="607"/>
      <c r="Y42" s="607"/>
      <c r="Z42" s="608"/>
      <c r="AA42" s="564"/>
      <c r="AB42" s="564"/>
      <c r="AC42" s="564"/>
      <c r="AD42" s="564"/>
      <c r="AE42" s="564"/>
      <c r="AF42" s="564"/>
      <c r="AG42" s="564"/>
      <c r="AH42" s="564"/>
      <c r="AI42" s="564"/>
      <c r="AJ42" s="564"/>
      <c r="AK42" s="564"/>
      <c r="AL42" s="564"/>
      <c r="AM42" s="564"/>
      <c r="AN42" s="564"/>
      <c r="AO42" s="564"/>
      <c r="AP42" s="564"/>
      <c r="AQ42" s="564"/>
      <c r="AR42" s="564"/>
      <c r="AS42" s="564"/>
      <c r="AT42" s="564"/>
      <c r="AU42" s="564"/>
    </row>
    <row r="43" spans="1:47" ht="26.25">
      <c r="A43" s="589" t="s">
        <v>399</v>
      </c>
      <c r="B43" s="590" t="s">
        <v>400</v>
      </c>
      <c r="C43" s="591">
        <v>17935714.285714287</v>
      </c>
      <c r="D43" s="591">
        <v>2241964.2857142859</v>
      </c>
      <c r="E43" s="592">
        <v>19010357.142857146</v>
      </c>
      <c r="F43" s="591">
        <v>3802071.4285714291</v>
      </c>
      <c r="G43" s="591">
        <v>26750000</v>
      </c>
      <c r="H43" s="591">
        <v>5350000</v>
      </c>
      <c r="I43" s="570"/>
      <c r="J43" s="570"/>
      <c r="K43" s="570"/>
      <c r="L43" s="570"/>
      <c r="M43" s="609"/>
      <c r="N43" s="609"/>
      <c r="O43" s="609"/>
      <c r="P43" s="609"/>
      <c r="Q43" s="609"/>
      <c r="R43" s="609"/>
      <c r="S43" s="609"/>
      <c r="T43" s="609"/>
      <c r="U43" s="609"/>
      <c r="V43" s="609"/>
      <c r="W43" s="609"/>
      <c r="X43" s="609"/>
      <c r="Y43" s="609"/>
      <c r="Z43" s="608"/>
      <c r="AA43" s="564"/>
      <c r="AB43" s="564"/>
      <c r="AC43" s="564"/>
      <c r="AD43" s="564"/>
      <c r="AE43" s="564"/>
      <c r="AF43" s="564"/>
      <c r="AG43" s="564"/>
      <c r="AH43" s="564"/>
      <c r="AI43" s="564"/>
      <c r="AJ43" s="564"/>
      <c r="AK43" s="564"/>
      <c r="AL43" s="564"/>
      <c r="AM43" s="564"/>
      <c r="AN43" s="564"/>
      <c r="AO43" s="564"/>
      <c r="AP43" s="564"/>
      <c r="AQ43" s="564"/>
      <c r="AR43" s="564"/>
      <c r="AS43" s="564"/>
      <c r="AT43" s="564"/>
      <c r="AU43" s="564"/>
    </row>
    <row r="44" spans="1:47" ht="26.25">
      <c r="A44" s="589" t="s">
        <v>401</v>
      </c>
      <c r="B44" s="590" t="s">
        <v>402</v>
      </c>
      <c r="C44" s="591">
        <v>27856.09492965</v>
      </c>
      <c r="D44" s="591">
        <v>3482.01186620625</v>
      </c>
      <c r="E44" s="592">
        <v>29195.385447515626</v>
      </c>
      <c r="F44" s="591">
        <v>5839.0770895031255</v>
      </c>
      <c r="G44" s="591">
        <v>33077.102906249995</v>
      </c>
      <c r="H44" s="591">
        <v>6615.4205812499995</v>
      </c>
      <c r="I44" s="570"/>
      <c r="J44" s="570"/>
      <c r="K44" s="570"/>
      <c r="L44" s="570"/>
      <c r="M44" s="564"/>
      <c r="N44" s="564"/>
      <c r="O44" s="564"/>
      <c r="P44" s="564"/>
      <c r="Q44" s="564"/>
      <c r="R44" s="564"/>
      <c r="S44" s="564"/>
      <c r="T44" s="564"/>
      <c r="U44" s="564"/>
      <c r="V44" s="564"/>
      <c r="W44" s="564"/>
      <c r="X44" s="564"/>
      <c r="Y44" s="564"/>
      <c r="Z44" s="566"/>
      <c r="AA44" s="564"/>
      <c r="AB44" s="564"/>
      <c r="AC44" s="564"/>
      <c r="AD44" s="564"/>
      <c r="AE44" s="564"/>
      <c r="AF44" s="564"/>
      <c r="AG44" s="564"/>
      <c r="AH44" s="564"/>
      <c r="AI44" s="564"/>
      <c r="AJ44" s="564"/>
      <c r="AK44" s="564"/>
      <c r="AL44" s="564"/>
      <c r="AM44" s="564"/>
      <c r="AN44" s="564"/>
      <c r="AO44" s="564"/>
      <c r="AP44" s="564"/>
      <c r="AQ44" s="564"/>
      <c r="AR44" s="564"/>
      <c r="AS44" s="564"/>
      <c r="AT44" s="564"/>
      <c r="AU44" s="564"/>
    </row>
    <row r="45" spans="1:47" ht="26.25">
      <c r="A45" s="589" t="s">
        <v>403</v>
      </c>
      <c r="B45" s="590" t="s">
        <v>404</v>
      </c>
      <c r="C45" s="591">
        <v>2325500</v>
      </c>
      <c r="D45" s="591">
        <v>290687.5</v>
      </c>
      <c r="E45" s="592">
        <v>6177542.581635681</v>
      </c>
      <c r="F45" s="591">
        <v>1235508.5163271362</v>
      </c>
      <c r="G45" s="591">
        <v>18980856.623094603</v>
      </c>
      <c r="H45" s="591">
        <v>3796171.3246189202</v>
      </c>
      <c r="I45" s="570"/>
      <c r="J45" s="570"/>
      <c r="K45" s="570"/>
      <c r="L45" s="570"/>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row>
    <row r="46" spans="1:47" ht="26.25">
      <c r="A46" s="589" t="s">
        <v>405</v>
      </c>
      <c r="B46" s="590" t="s">
        <v>406</v>
      </c>
      <c r="C46" s="591">
        <v>0</v>
      </c>
      <c r="D46" s="591">
        <v>0</v>
      </c>
      <c r="E46" s="592">
        <v>13500000</v>
      </c>
      <c r="F46" s="591">
        <v>2700000</v>
      </c>
      <c r="G46" s="591">
        <v>15000000</v>
      </c>
      <c r="H46" s="591">
        <v>3000000</v>
      </c>
      <c r="I46" s="570"/>
      <c r="J46" s="570"/>
      <c r="K46" s="570"/>
      <c r="L46" s="570"/>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row>
    <row r="47" spans="1:47" ht="26.25">
      <c r="A47" s="589" t="s">
        <v>407</v>
      </c>
      <c r="B47" s="590" t="s">
        <v>408</v>
      </c>
      <c r="C47" s="591">
        <v>8177700.8689455343</v>
      </c>
      <c r="D47" s="591">
        <v>1022212.6086181918</v>
      </c>
      <c r="E47" s="592">
        <v>11049348.61039676</v>
      </c>
      <c r="F47" s="591">
        <v>2209869.722079352</v>
      </c>
      <c r="G47" s="591">
        <v>15692364.122717127</v>
      </c>
      <c r="H47" s="591">
        <v>3138472.8245434253</v>
      </c>
      <c r="I47" s="570"/>
      <c r="J47" s="570"/>
      <c r="K47" s="570"/>
      <c r="L47" s="570"/>
      <c r="M47" s="614"/>
      <c r="N47" s="614"/>
      <c r="O47" s="614"/>
      <c r="P47" s="614"/>
      <c r="Q47" s="614"/>
      <c r="R47" s="614"/>
      <c r="S47" s="614"/>
      <c r="T47" s="61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row>
    <row r="48" spans="1:47" ht="26.25">
      <c r="A48" s="589" t="s">
        <v>409</v>
      </c>
      <c r="B48" s="590" t="s">
        <v>410</v>
      </c>
      <c r="C48" s="591">
        <v>2848120.881869758</v>
      </c>
      <c r="D48" s="591">
        <v>356015.11023371975</v>
      </c>
      <c r="E48" s="592">
        <v>6201222.9248804012</v>
      </c>
      <c r="F48" s="591">
        <v>1240244.5849760801</v>
      </c>
      <c r="G48" s="591">
        <v>13458679.573134236</v>
      </c>
      <c r="H48" s="591">
        <v>2691735.9146268475</v>
      </c>
      <c r="I48" s="570"/>
      <c r="J48" s="570"/>
      <c r="K48" s="570"/>
      <c r="L48" s="570"/>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row>
    <row r="49" spans="1:47">
      <c r="A49" s="589" t="s">
        <v>411</v>
      </c>
      <c r="B49" s="590" t="s">
        <v>412</v>
      </c>
      <c r="C49" s="591">
        <v>6516500</v>
      </c>
      <c r="D49" s="591">
        <v>814562.5</v>
      </c>
      <c r="E49" s="592">
        <v>11341643.090140579</v>
      </c>
      <c r="F49" s="591">
        <v>2268328.6180281155</v>
      </c>
      <c r="G49" s="591">
        <v>13751164.763638206</v>
      </c>
      <c r="H49" s="591">
        <v>2750232.952727641</v>
      </c>
      <c r="I49" s="570"/>
      <c r="J49" s="570"/>
      <c r="K49" s="570"/>
      <c r="L49" s="570"/>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row>
    <row r="50" spans="1:47">
      <c r="A50" s="589" t="s">
        <v>413</v>
      </c>
      <c r="B50" s="590" t="s">
        <v>414</v>
      </c>
      <c r="C50" s="591">
        <v>0</v>
      </c>
      <c r="D50" s="591">
        <v>0</v>
      </c>
      <c r="E50" s="592">
        <v>11341643.090140579</v>
      </c>
      <c r="F50" s="591">
        <v>2268328.6180281155</v>
      </c>
      <c r="G50" s="591">
        <v>13751164.763638206</v>
      </c>
      <c r="H50" s="591">
        <v>2750232.952727641</v>
      </c>
      <c r="I50" s="570"/>
      <c r="J50" s="570"/>
      <c r="K50" s="570"/>
      <c r="L50" s="570"/>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row>
    <row r="51" spans="1:47">
      <c r="A51" s="589" t="s">
        <v>415</v>
      </c>
      <c r="B51" s="590" t="s">
        <v>416</v>
      </c>
      <c r="C51" s="591">
        <v>9688000</v>
      </c>
      <c r="D51" s="591">
        <v>1211000</v>
      </c>
      <c r="E51" s="592">
        <v>8169989.7791126538</v>
      </c>
      <c r="F51" s="591">
        <v>1633997.9558225309</v>
      </c>
      <c r="G51" s="591">
        <v>8840700.0585225932</v>
      </c>
      <c r="H51" s="591">
        <v>1768140.0117045185</v>
      </c>
      <c r="I51" s="570"/>
      <c r="J51" s="570"/>
      <c r="K51" s="570"/>
      <c r="L51" s="570"/>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row>
    <row r="52" spans="1:47" ht="39">
      <c r="A52" s="589" t="s">
        <v>417</v>
      </c>
      <c r="B52" s="590" t="s">
        <v>418</v>
      </c>
      <c r="C52" s="591">
        <v>3494200</v>
      </c>
      <c r="D52" s="591">
        <v>436775</v>
      </c>
      <c r="E52" s="592">
        <v>4456298.5768828383</v>
      </c>
      <c r="F52" s="591">
        <v>891259.71537656768</v>
      </c>
      <c r="G52" s="591">
        <v>4355800.4450225253</v>
      </c>
      <c r="H52" s="591">
        <v>871160.08900450508</v>
      </c>
      <c r="I52" s="570"/>
      <c r="J52" s="570"/>
      <c r="K52" s="570"/>
      <c r="L52" s="570"/>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row>
    <row r="53" spans="1:47">
      <c r="A53" s="589" t="s">
        <v>419</v>
      </c>
      <c r="B53" s="590" t="s">
        <v>420</v>
      </c>
      <c r="C53" s="591">
        <v>9220500</v>
      </c>
      <c r="D53" s="591">
        <v>1152562.5</v>
      </c>
      <c r="E53" s="592">
        <v>21483000</v>
      </c>
      <c r="F53" s="591">
        <v>4296600</v>
      </c>
      <c r="G53" s="591">
        <v>21675000</v>
      </c>
      <c r="H53" s="591">
        <v>4335000</v>
      </c>
      <c r="I53" s="570"/>
      <c r="J53" s="570"/>
      <c r="K53" s="570"/>
      <c r="L53" s="570"/>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row>
    <row r="54" spans="1:47" ht="39">
      <c r="A54" s="589" t="s">
        <v>421</v>
      </c>
      <c r="B54" s="590" t="s">
        <v>422</v>
      </c>
      <c r="C54" s="591">
        <v>5400000</v>
      </c>
      <c r="D54" s="591">
        <v>675000</v>
      </c>
      <c r="E54" s="592">
        <v>9450000</v>
      </c>
      <c r="F54" s="591">
        <v>1890000</v>
      </c>
      <c r="G54" s="591">
        <v>9500000</v>
      </c>
      <c r="H54" s="591">
        <v>1900000</v>
      </c>
      <c r="I54" s="570"/>
      <c r="J54" s="570"/>
      <c r="K54" s="570"/>
      <c r="L54" s="570"/>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row>
    <row r="55" spans="1:47" ht="26.25">
      <c r="A55" s="600">
        <v>6.2</v>
      </c>
      <c r="B55" s="601" t="s">
        <v>423</v>
      </c>
      <c r="C55" s="602">
        <v>16584938.426291846</v>
      </c>
      <c r="D55" s="602">
        <v>2073117.3032864807</v>
      </c>
      <c r="E55" s="603">
        <v>33897668.500098713</v>
      </c>
      <c r="F55" s="602">
        <v>6779533.7000197424</v>
      </c>
      <c r="G55" s="602">
        <v>44054041.057281323</v>
      </c>
      <c r="H55" s="602">
        <v>8810808.2114562634</v>
      </c>
      <c r="I55" s="604"/>
      <c r="J55" s="604"/>
      <c r="K55" s="604"/>
      <c r="L55" s="604"/>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c r="AO55" s="564"/>
      <c r="AP55" s="564"/>
      <c r="AQ55" s="564"/>
      <c r="AR55" s="564"/>
      <c r="AS55" s="564"/>
      <c r="AT55" s="564"/>
      <c r="AU55" s="564"/>
    </row>
    <row r="56" spans="1:47" ht="26.25">
      <c r="A56" s="589">
        <v>7</v>
      </c>
      <c r="B56" s="599" t="s">
        <v>424</v>
      </c>
      <c r="C56" s="595">
        <v>576469.05791893671</v>
      </c>
      <c r="D56" s="595">
        <v>72058.632239867089</v>
      </c>
      <c r="E56" s="597">
        <v>1228042.0909030733</v>
      </c>
      <c r="F56" s="595">
        <v>245608.41818061462</v>
      </c>
      <c r="G56" s="595">
        <v>2240419.7585503869</v>
      </c>
      <c r="H56" s="595">
        <v>448083.95171007741</v>
      </c>
      <c r="I56" s="587"/>
      <c r="J56" s="587"/>
      <c r="K56" s="587"/>
      <c r="L56" s="587"/>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row>
    <row r="57" spans="1:47">
      <c r="A57" s="589">
        <v>7.1</v>
      </c>
      <c r="B57" s="590" t="s">
        <v>425</v>
      </c>
      <c r="C57" s="591">
        <v>197314.91244205215</v>
      </c>
      <c r="D57" s="591">
        <v>24664.364055256519</v>
      </c>
      <c r="E57" s="592">
        <v>420336.55460440757</v>
      </c>
      <c r="F57" s="591">
        <v>84067.310920881515</v>
      </c>
      <c r="G57" s="591">
        <v>766855.08514140768</v>
      </c>
      <c r="H57" s="591">
        <v>153371.01702828152</v>
      </c>
      <c r="I57" s="570"/>
      <c r="J57" s="570"/>
      <c r="K57" s="570"/>
      <c r="L57" s="570"/>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row>
    <row r="58" spans="1:47">
      <c r="A58" s="589">
        <v>7.2</v>
      </c>
      <c r="B58" s="590" t="s">
        <v>426</v>
      </c>
      <c r="C58" s="591">
        <v>255348.71021912637</v>
      </c>
      <c r="D58" s="591">
        <v>31918.588777390796</v>
      </c>
      <c r="E58" s="592">
        <v>543964.95301746868</v>
      </c>
      <c r="F58" s="591">
        <v>108792.99060349373</v>
      </c>
      <c r="G58" s="591">
        <v>992400.69841829222</v>
      </c>
      <c r="H58" s="591">
        <v>198480.13968365846</v>
      </c>
      <c r="I58" s="570"/>
      <c r="J58" s="570"/>
      <c r="K58" s="570"/>
      <c r="L58" s="570"/>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row>
    <row r="59" spans="1:47">
      <c r="A59" s="589">
        <v>7.3</v>
      </c>
      <c r="B59" s="590" t="s">
        <v>427</v>
      </c>
      <c r="C59" s="591">
        <v>80473.532917542834</v>
      </c>
      <c r="D59" s="591">
        <v>10059.191614692854</v>
      </c>
      <c r="E59" s="592">
        <v>171431.37913277803</v>
      </c>
      <c r="F59" s="591">
        <v>34286.275826555611</v>
      </c>
      <c r="G59" s="591">
        <v>312756.58374394663</v>
      </c>
      <c r="H59" s="591">
        <v>62551.316748789322</v>
      </c>
      <c r="I59" s="570"/>
      <c r="J59" s="570"/>
      <c r="K59" s="570"/>
      <c r="L59" s="570"/>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c r="AP59" s="564"/>
      <c r="AQ59" s="564"/>
      <c r="AR59" s="564"/>
      <c r="AS59" s="564"/>
      <c r="AT59" s="564"/>
      <c r="AU59" s="564"/>
    </row>
    <row r="60" spans="1:47">
      <c r="A60" s="616">
        <v>7.4</v>
      </c>
      <c r="B60" s="617" t="s">
        <v>428</v>
      </c>
      <c r="C60" s="618">
        <v>43331.902340215369</v>
      </c>
      <c r="D60" s="618">
        <v>5416.4877925269211</v>
      </c>
      <c r="E60" s="619">
        <v>92309.204148418925</v>
      </c>
      <c r="F60" s="618">
        <v>18461.840829683788</v>
      </c>
      <c r="G60" s="618">
        <v>168407.3912467405</v>
      </c>
      <c r="H60" s="618">
        <v>33681.478249348103</v>
      </c>
      <c r="I60" s="570"/>
      <c r="J60" s="570"/>
      <c r="K60" s="570"/>
      <c r="L60" s="570"/>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c r="AO60" s="564"/>
      <c r="AP60" s="564"/>
      <c r="AQ60" s="564"/>
      <c r="AR60" s="564"/>
      <c r="AS60" s="564"/>
      <c r="AT60" s="564"/>
      <c r="AU60" s="564"/>
    </row>
    <row r="61" spans="1:47">
      <c r="A61" s="620" t="s">
        <v>547</v>
      </c>
      <c r="B61" s="614" t="s">
        <v>546</v>
      </c>
      <c r="C61" s="614"/>
      <c r="D61" s="61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row>
    <row r="62" spans="1:47">
      <c r="A62" s="620"/>
      <c r="B62" s="614"/>
      <c r="C62" s="614"/>
      <c r="D62" s="61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row>
    <row r="63" spans="1:47">
      <c r="A63" s="564"/>
      <c r="B63" s="566" t="s">
        <v>458</v>
      </c>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row>
    <row r="64" spans="1:47">
      <c r="A64" s="564"/>
      <c r="B64" s="566"/>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row>
    <row r="65" spans="1:48">
      <c r="A65" s="564"/>
      <c r="B65" s="566"/>
      <c r="C65" s="564"/>
      <c r="D65" s="564"/>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row>
    <row r="66" spans="1:48" s="55" customFormat="1">
      <c r="A66" s="565"/>
      <c r="B66" s="565" t="s">
        <v>443</v>
      </c>
      <c r="C66" s="565"/>
      <c r="D66" s="564"/>
      <c r="E66" s="564"/>
      <c r="F66" s="564"/>
      <c r="G66" s="564"/>
      <c r="H66" s="564"/>
      <c r="I66" s="564"/>
      <c r="J66" s="564"/>
      <c r="K66" s="564"/>
      <c r="L66" s="564"/>
      <c r="M66" s="564"/>
      <c r="N66" s="564"/>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123"/>
    </row>
    <row r="67" spans="1:48">
      <c r="A67" s="563"/>
      <c r="B67" s="563"/>
      <c r="C67" s="563"/>
      <c r="D67" s="564"/>
      <c r="E67" s="564"/>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row>
    <row r="68" spans="1:48">
      <c r="A68" s="563"/>
      <c r="B68" s="621" t="s">
        <v>459</v>
      </c>
      <c r="C68" s="563"/>
      <c r="D68" s="565" t="s">
        <v>449</v>
      </c>
      <c r="E68" s="563"/>
      <c r="F68" s="563"/>
      <c r="G68" s="563"/>
      <c r="H68" s="563"/>
      <c r="I68" s="563"/>
      <c r="J68" s="563"/>
      <c r="K68" s="563"/>
      <c r="L68" s="563"/>
      <c r="M68" s="563"/>
      <c r="N68" s="563"/>
      <c r="O68" s="563"/>
      <c r="P68" s="563"/>
      <c r="Q68" s="563"/>
      <c r="R68" s="563"/>
      <c r="S68" s="564"/>
      <c r="T68" s="563"/>
      <c r="U68" s="563"/>
      <c r="V68" s="563"/>
      <c r="W68" s="564"/>
      <c r="X68" s="564"/>
      <c r="Y68" s="564"/>
      <c r="Z68" s="564"/>
      <c r="AA68" s="564"/>
      <c r="AB68" s="564"/>
      <c r="AC68" s="564"/>
      <c r="AD68" s="564"/>
      <c r="AE68" s="564"/>
      <c r="AF68" s="564"/>
      <c r="AG68" s="564"/>
      <c r="AH68" s="564"/>
      <c r="AI68" s="564"/>
      <c r="AJ68" s="564"/>
      <c r="AK68" s="564"/>
      <c r="AL68" s="564"/>
      <c r="AM68" s="564"/>
      <c r="AN68" s="564"/>
      <c r="AO68" s="564"/>
      <c r="AP68" s="564"/>
      <c r="AQ68" s="564"/>
      <c r="AR68" s="564"/>
      <c r="AS68" s="564"/>
      <c r="AT68" s="564"/>
      <c r="AU68" s="564"/>
    </row>
    <row r="69" spans="1:48">
      <c r="A69" s="563"/>
      <c r="B69" s="622"/>
      <c r="C69" s="622"/>
      <c r="D69" s="622">
        <v>2010</v>
      </c>
      <c r="E69" s="622">
        <v>2011</v>
      </c>
      <c r="F69" s="622">
        <v>2012</v>
      </c>
      <c r="G69" s="622">
        <v>2013</v>
      </c>
      <c r="H69" s="622">
        <v>2014</v>
      </c>
      <c r="I69" s="622">
        <v>2015</v>
      </c>
      <c r="J69" s="622">
        <v>2016</v>
      </c>
      <c r="K69" s="622">
        <v>2017</v>
      </c>
      <c r="L69" s="622">
        <v>2018</v>
      </c>
      <c r="M69" s="622">
        <v>2019</v>
      </c>
      <c r="N69" s="622">
        <v>2020</v>
      </c>
      <c r="O69" s="622"/>
      <c r="P69" s="563" t="s">
        <v>450</v>
      </c>
      <c r="Q69" s="563" t="s">
        <v>451</v>
      </c>
      <c r="R69" s="563"/>
      <c r="S69" s="564" t="s">
        <v>452</v>
      </c>
      <c r="T69" s="563" t="s">
        <v>453</v>
      </c>
      <c r="U69" s="563"/>
      <c r="V69" s="563"/>
      <c r="W69" s="564"/>
      <c r="X69" s="564"/>
      <c r="Y69" s="564"/>
      <c r="Z69" s="564"/>
      <c r="AA69" s="564"/>
      <c r="AB69" s="564"/>
      <c r="AC69" s="564"/>
      <c r="AD69" s="564"/>
      <c r="AE69" s="564"/>
      <c r="AF69" s="564"/>
      <c r="AG69" s="564"/>
      <c r="AH69" s="564"/>
      <c r="AI69" s="564"/>
      <c r="AJ69" s="564"/>
      <c r="AK69" s="564"/>
      <c r="AL69" s="564"/>
      <c r="AM69" s="564"/>
      <c r="AN69" s="564"/>
      <c r="AO69" s="564"/>
      <c r="AP69" s="564"/>
      <c r="AQ69" s="564"/>
      <c r="AR69" s="564"/>
      <c r="AS69" s="564"/>
      <c r="AT69" s="564"/>
      <c r="AU69" s="564"/>
    </row>
    <row r="70" spans="1:48">
      <c r="A70" s="563"/>
      <c r="B70" s="563" t="s">
        <v>444</v>
      </c>
      <c r="C70" s="563"/>
      <c r="D70" s="623">
        <v>2.6774326373359263</v>
      </c>
      <c r="E70" s="624">
        <f>D70*$P70</f>
        <v>3.1055706067803137</v>
      </c>
      <c r="F70" s="624">
        <f>E70*$P70</f>
        <v>3.6021704745088541</v>
      </c>
      <c r="G70" s="624">
        <f>F70*$P70</f>
        <v>4.1781797197249269</v>
      </c>
      <c r="H70" s="624">
        <f>G70*$P70</f>
        <v>4.8462963909838024</v>
      </c>
      <c r="I70" s="623">
        <v>5.6212490330140428</v>
      </c>
      <c r="J70" s="624">
        <f t="shared" ref="J70:M79" si="0">I70*$Q70</f>
        <v>6.1702503508586029</v>
      </c>
      <c r="K70" s="624">
        <f t="shared" si="0"/>
        <v>6.7728700807722433</v>
      </c>
      <c r="L70" s="624">
        <f t="shared" si="0"/>
        <v>7.4343448843427664</v>
      </c>
      <c r="M70" s="624">
        <f t="shared" si="0"/>
        <v>8.1604228636040261</v>
      </c>
      <c r="N70" s="623">
        <v>8.9574135110518807</v>
      </c>
      <c r="O70" s="563"/>
      <c r="P70" s="563">
        <f>POWER(I70/D70,1/5)</f>
        <v>1.1599061591593913</v>
      </c>
      <c r="Q70" s="563">
        <f>POWER(N70/I70,1/5)</f>
        <v>1.0976653613138703</v>
      </c>
      <c r="R70" s="563"/>
      <c r="S70" s="564">
        <f>SUM(E70:I70)</f>
        <v>21.353466225011939</v>
      </c>
      <c r="T70" s="563">
        <f>SUM(J70:N70)</f>
        <v>37.495301690629518</v>
      </c>
      <c r="U70" s="563"/>
      <c r="V70" s="563"/>
      <c r="W70" s="564"/>
      <c r="X70" s="564"/>
      <c r="Y70" s="564"/>
      <c r="Z70" s="564"/>
      <c r="AA70" s="564"/>
      <c r="AB70" s="564"/>
      <c r="AC70" s="564"/>
      <c r="AD70" s="564"/>
      <c r="AE70" s="564"/>
      <c r="AF70" s="564"/>
      <c r="AG70" s="564"/>
      <c r="AH70" s="564"/>
      <c r="AI70" s="564"/>
      <c r="AJ70" s="564"/>
      <c r="AK70" s="564"/>
      <c r="AL70" s="564"/>
      <c r="AM70" s="564"/>
      <c r="AN70" s="564"/>
      <c r="AO70" s="564"/>
      <c r="AP70" s="564"/>
      <c r="AQ70" s="564"/>
      <c r="AR70" s="564"/>
      <c r="AS70" s="564"/>
      <c r="AT70" s="564"/>
      <c r="AU70" s="564"/>
    </row>
    <row r="71" spans="1:48">
      <c r="A71" s="563"/>
      <c r="B71" s="563" t="s">
        <v>445</v>
      </c>
      <c r="C71" s="563"/>
      <c r="D71" s="623">
        <v>42.116690729634428</v>
      </c>
      <c r="E71" s="624">
        <f t="shared" ref="E71:H79" si="1">D71*$P71</f>
        <v>52.957929118800315</v>
      </c>
      <c r="F71" s="624">
        <f t="shared" si="1"/>
        <v>66.589805798263427</v>
      </c>
      <c r="G71" s="624">
        <f t="shared" si="1"/>
        <v>83.730657713280465</v>
      </c>
      <c r="H71" s="624">
        <f t="shared" si="1"/>
        <v>105.2837285986103</v>
      </c>
      <c r="I71" s="623">
        <v>132.38476575190813</v>
      </c>
      <c r="J71" s="624">
        <f t="shared" si="0"/>
        <v>142.07486817218319</v>
      </c>
      <c r="K71" s="624">
        <f t="shared" si="0"/>
        <v>152.47425224115932</v>
      </c>
      <c r="L71" s="624">
        <f t="shared" si="0"/>
        <v>163.63483489793219</v>
      </c>
      <c r="M71" s="624">
        <f t="shared" si="0"/>
        <v>175.61233322018842</v>
      </c>
      <c r="N71" s="623">
        <v>188.46654258107614</v>
      </c>
      <c r="O71" s="563"/>
      <c r="P71" s="563">
        <f t="shared" ref="P71:P79" si="2">POWER(I71/D71,1/5)</f>
        <v>1.2574095495479587</v>
      </c>
      <c r="Q71" s="563">
        <f t="shared" ref="Q71:Q79" si="3">POWER(N71/I71,1/5)</f>
        <v>1.0731965069034795</v>
      </c>
      <c r="R71" s="563"/>
      <c r="S71" s="564">
        <f t="shared" ref="S71:S79" si="4">SUM(E71:I71)</f>
        <v>440.94688698086259</v>
      </c>
      <c r="T71" s="563">
        <f t="shared" ref="T71:T79" si="5">SUM(J71:N71)</f>
        <v>822.26283111253929</v>
      </c>
      <c r="U71" s="563"/>
      <c r="V71" s="563"/>
      <c r="W71" s="564"/>
      <c r="X71" s="564"/>
      <c r="Y71" s="564"/>
      <c r="Z71" s="564"/>
      <c r="AA71" s="564"/>
      <c r="AB71" s="564"/>
      <c r="AC71" s="564"/>
      <c r="AD71" s="564"/>
      <c r="AE71" s="564"/>
      <c r="AF71" s="564"/>
      <c r="AG71" s="564"/>
      <c r="AH71" s="564"/>
      <c r="AI71" s="564"/>
      <c r="AJ71" s="564"/>
      <c r="AK71" s="564"/>
      <c r="AL71" s="564"/>
      <c r="AM71" s="564"/>
      <c r="AN71" s="564"/>
      <c r="AO71" s="564"/>
      <c r="AP71" s="564"/>
      <c r="AQ71" s="564"/>
      <c r="AR71" s="564"/>
      <c r="AS71" s="564"/>
      <c r="AT71" s="564"/>
      <c r="AU71" s="564"/>
    </row>
    <row r="72" spans="1:48">
      <c r="A72" s="563"/>
      <c r="B72" s="563" t="s">
        <v>441</v>
      </c>
      <c r="C72" s="563"/>
      <c r="D72" s="623">
        <v>65.159260184131966</v>
      </c>
      <c r="E72" s="624">
        <f t="shared" si="1"/>
        <v>79.563726108800921</v>
      </c>
      <c r="F72" s="624">
        <f t="shared" si="1"/>
        <v>97.152522825265436</v>
      </c>
      <c r="G72" s="624">
        <f t="shared" si="1"/>
        <v>118.62959608511436</v>
      </c>
      <c r="H72" s="624">
        <f t="shared" si="1"/>
        <v>144.85450977560788</v>
      </c>
      <c r="I72" s="623">
        <v>176.87684772421321</v>
      </c>
      <c r="J72" s="624">
        <f t="shared" si="0"/>
        <v>204.62744381438864</v>
      </c>
      <c r="K72" s="624">
        <f t="shared" si="0"/>
        <v>236.73189171314442</v>
      </c>
      <c r="L72" s="624">
        <f t="shared" si="0"/>
        <v>273.8732767678901</v>
      </c>
      <c r="M72" s="624">
        <f t="shared" si="0"/>
        <v>316.84185508249635</v>
      </c>
      <c r="N72" s="623">
        <v>366.55186777203517</v>
      </c>
      <c r="O72" s="563"/>
      <c r="P72" s="563">
        <f t="shared" si="2"/>
        <v>1.2210655229043996</v>
      </c>
      <c r="Q72" s="563">
        <f t="shared" si="3"/>
        <v>1.1568921905112433</v>
      </c>
      <c r="R72" s="563"/>
      <c r="S72" s="564">
        <f t="shared" si="4"/>
        <v>617.07720251900184</v>
      </c>
      <c r="T72" s="563">
        <f t="shared" si="5"/>
        <v>1398.6263351499547</v>
      </c>
      <c r="U72" s="563"/>
      <c r="V72" s="563"/>
      <c r="W72" s="564"/>
      <c r="X72" s="564"/>
      <c r="Y72" s="564"/>
      <c r="Z72" s="564"/>
      <c r="AA72" s="564"/>
      <c r="AB72" s="564"/>
      <c r="AC72" s="564"/>
      <c r="AD72" s="564"/>
      <c r="AE72" s="564"/>
      <c r="AF72" s="564"/>
      <c r="AG72" s="564"/>
      <c r="AH72" s="564"/>
      <c r="AI72" s="564"/>
      <c r="AJ72" s="564"/>
      <c r="AK72" s="564"/>
      <c r="AL72" s="564"/>
      <c r="AM72" s="564"/>
      <c r="AN72" s="564"/>
      <c r="AO72" s="564"/>
      <c r="AP72" s="564"/>
      <c r="AQ72" s="564"/>
      <c r="AR72" s="564"/>
      <c r="AS72" s="564"/>
      <c r="AT72" s="564"/>
      <c r="AU72" s="564"/>
    </row>
    <row r="73" spans="1:48">
      <c r="A73" s="563"/>
      <c r="B73" s="563" t="s">
        <v>396</v>
      </c>
      <c r="C73" s="563"/>
      <c r="D73" s="623">
        <v>29.922815438247252</v>
      </c>
      <c r="E73" s="624">
        <f t="shared" si="1"/>
        <v>31.721159220322154</v>
      </c>
      <c r="F73" s="624">
        <f t="shared" si="1"/>
        <v>33.627582416421504</v>
      </c>
      <c r="G73" s="624">
        <f t="shared" si="1"/>
        <v>35.648580536387357</v>
      </c>
      <c r="H73" s="624">
        <f t="shared" si="1"/>
        <v>37.791039466420571</v>
      </c>
      <c r="I73" s="623">
        <v>40.062258930472645</v>
      </c>
      <c r="J73" s="624">
        <f t="shared" si="0"/>
        <v>42.559510701462926</v>
      </c>
      <c r="K73" s="624">
        <f t="shared" si="0"/>
        <v>45.212426845212043</v>
      </c>
      <c r="L73" s="624">
        <f t="shared" si="0"/>
        <v>48.030710587172834</v>
      </c>
      <c r="M73" s="624">
        <f t="shared" si="0"/>
        <v>51.024669996299046</v>
      </c>
      <c r="N73" s="623">
        <v>54.205255687525025</v>
      </c>
      <c r="O73" s="563"/>
      <c r="P73" s="563">
        <f t="shared" si="2"/>
        <v>1.0600994176429088</v>
      </c>
      <c r="Q73" s="563">
        <f t="shared" si="3"/>
        <v>1.0623342726460887</v>
      </c>
      <c r="R73" s="563"/>
      <c r="S73" s="564">
        <f t="shared" si="4"/>
        <v>178.8506205700242</v>
      </c>
      <c r="T73" s="563">
        <f t="shared" si="5"/>
        <v>241.0325738176719</v>
      </c>
      <c r="U73" s="563"/>
      <c r="V73" s="563"/>
      <c r="W73" s="564"/>
      <c r="X73" s="564"/>
      <c r="Y73" s="564"/>
      <c r="Z73" s="564"/>
      <c r="AA73" s="564"/>
      <c r="AB73" s="564"/>
      <c r="AC73" s="564"/>
      <c r="AD73" s="564"/>
      <c r="AE73" s="564"/>
      <c r="AF73" s="564"/>
      <c r="AG73" s="564"/>
      <c r="AH73" s="564"/>
      <c r="AI73" s="564"/>
      <c r="AJ73" s="564"/>
      <c r="AK73" s="564"/>
      <c r="AL73" s="564"/>
      <c r="AM73" s="564"/>
      <c r="AN73" s="564"/>
      <c r="AO73" s="564"/>
      <c r="AP73" s="564"/>
      <c r="AQ73" s="564"/>
      <c r="AR73" s="564"/>
      <c r="AS73" s="564"/>
      <c r="AT73" s="564"/>
      <c r="AU73" s="564"/>
    </row>
    <row r="74" spans="1:48">
      <c r="A74" s="563"/>
      <c r="B74" s="563" t="s">
        <v>427</v>
      </c>
      <c r="C74" s="563"/>
      <c r="D74" s="623">
        <v>0.19551685978093392</v>
      </c>
      <c r="E74" s="624">
        <f t="shared" si="1"/>
        <v>0.22426061042555595</v>
      </c>
      <c r="F74" s="624">
        <f t="shared" si="1"/>
        <v>0.25723009997599883</v>
      </c>
      <c r="G74" s="624">
        <f t="shared" si="1"/>
        <v>0.29504657196867307</v>
      </c>
      <c r="H74" s="624">
        <f t="shared" si="1"/>
        <v>0.3384226015485276</v>
      </c>
      <c r="I74" s="623">
        <v>0.38817552251050658</v>
      </c>
      <c r="J74" s="624">
        <f t="shared" si="0"/>
        <v>0.42796337399349771</v>
      </c>
      <c r="K74" s="624">
        <f t="shared" si="0"/>
        <v>0.47182946594717623</v>
      </c>
      <c r="L74" s="624">
        <f t="shared" si="0"/>
        <v>0.52019181655339497</v>
      </c>
      <c r="M74" s="624">
        <f t="shared" si="0"/>
        <v>0.57351129070734208</v>
      </c>
      <c r="N74" s="623">
        <v>0.63229599179025131</v>
      </c>
      <c r="O74" s="563"/>
      <c r="P74" s="563">
        <f t="shared" si="2"/>
        <v>1.1470141791190174</v>
      </c>
      <c r="Q74" s="563">
        <f t="shared" si="3"/>
        <v>1.1024996404349896</v>
      </c>
      <c r="R74" s="563"/>
      <c r="S74" s="564">
        <f t="shared" si="4"/>
        <v>1.5031354064292621</v>
      </c>
      <c r="T74" s="563">
        <f t="shared" si="5"/>
        <v>2.6257919389916622</v>
      </c>
      <c r="U74" s="563"/>
      <c r="V74" s="563"/>
      <c r="W74" s="564"/>
      <c r="X74" s="564"/>
      <c r="Y74" s="564"/>
      <c r="Z74" s="564"/>
      <c r="AA74" s="564"/>
      <c r="AB74" s="564"/>
      <c r="AC74" s="564"/>
      <c r="AD74" s="564"/>
      <c r="AE74" s="564"/>
      <c r="AF74" s="564"/>
      <c r="AG74" s="564"/>
      <c r="AH74" s="564"/>
      <c r="AI74" s="564"/>
      <c r="AJ74" s="564"/>
      <c r="AK74" s="564"/>
      <c r="AL74" s="564"/>
      <c r="AM74" s="564"/>
      <c r="AN74" s="564"/>
      <c r="AO74" s="564"/>
      <c r="AP74" s="564"/>
      <c r="AQ74" s="564"/>
      <c r="AR74" s="564"/>
      <c r="AS74" s="564"/>
      <c r="AT74" s="564"/>
      <c r="AU74" s="564"/>
    </row>
    <row r="75" spans="1:48">
      <c r="A75" s="563"/>
      <c r="B75" s="563" t="s">
        <v>454</v>
      </c>
      <c r="C75" s="563"/>
      <c r="D75" s="623">
        <f>SUM(D70:D74)</f>
        <v>140.0717158491305</v>
      </c>
      <c r="E75" s="624">
        <f t="shared" si="1"/>
        <v>168.73591856883786</v>
      </c>
      <c r="F75" s="624">
        <f t="shared" si="1"/>
        <v>203.26594875111059</v>
      </c>
      <c r="G75" s="624">
        <f t="shared" si="1"/>
        <v>244.86218626198027</v>
      </c>
      <c r="H75" s="624">
        <f t="shared" si="1"/>
        <v>294.97065607585751</v>
      </c>
      <c r="I75" s="623">
        <v>355.33329696211854</v>
      </c>
      <c r="J75" s="624">
        <f t="shared" si="0"/>
        <v>397.02756745571844</v>
      </c>
      <c r="K75" s="624">
        <f t="shared" si="0"/>
        <v>443.61418045382277</v>
      </c>
      <c r="L75" s="624">
        <f t="shared" si="0"/>
        <v>495.66719601067945</v>
      </c>
      <c r="M75" s="624">
        <f t="shared" si="0"/>
        <v>553.82803351720975</v>
      </c>
      <c r="N75" s="623">
        <v>618.8133755434784</v>
      </c>
      <c r="O75" s="563"/>
      <c r="P75" s="563">
        <f t="shared" si="2"/>
        <v>1.204639477327323</v>
      </c>
      <c r="Q75" s="563">
        <f t="shared" si="3"/>
        <v>1.1173384843189769</v>
      </c>
      <c r="R75" s="563"/>
      <c r="S75" s="564">
        <f t="shared" si="4"/>
        <v>1267.1680066199046</v>
      </c>
      <c r="T75" s="563">
        <f t="shared" si="5"/>
        <v>2508.9503529809085</v>
      </c>
      <c r="U75" s="563"/>
      <c r="V75" s="563"/>
      <c r="W75" s="564"/>
      <c r="X75" s="564"/>
      <c r="Y75" s="564"/>
      <c r="Z75" s="564"/>
      <c r="AA75" s="564"/>
      <c r="AB75" s="564"/>
      <c r="AC75" s="564"/>
      <c r="AD75" s="564"/>
      <c r="AE75" s="564"/>
      <c r="AF75" s="564"/>
      <c r="AG75" s="564"/>
      <c r="AH75" s="564"/>
      <c r="AI75" s="564"/>
      <c r="AJ75" s="564"/>
      <c r="AK75" s="564"/>
      <c r="AL75" s="564"/>
      <c r="AM75" s="564"/>
      <c r="AN75" s="564"/>
      <c r="AO75" s="564"/>
      <c r="AP75" s="564"/>
      <c r="AQ75" s="564"/>
      <c r="AR75" s="564"/>
      <c r="AS75" s="564"/>
      <c r="AT75" s="564"/>
      <c r="AU75" s="564"/>
    </row>
    <row r="76" spans="1:48">
      <c r="A76" s="563"/>
      <c r="B76" s="625" t="s">
        <v>442</v>
      </c>
      <c r="C76" s="625"/>
      <c r="D76" s="626">
        <v>1847.6292420120135</v>
      </c>
      <c r="E76" s="627">
        <f t="shared" si="1"/>
        <v>2055.4962048176312</v>
      </c>
      <c r="F76" s="627">
        <f t="shared" si="1"/>
        <v>2286.7491767010115</v>
      </c>
      <c r="G76" s="627">
        <f t="shared" si="1"/>
        <v>2544.0191934612226</v>
      </c>
      <c r="H76" s="627">
        <f t="shared" si="1"/>
        <v>2830.2332947752479</v>
      </c>
      <c r="I76" s="626">
        <v>3148.6478260237436</v>
      </c>
      <c r="J76" s="627">
        <f t="shared" si="0"/>
        <v>3534.038536032358</v>
      </c>
      <c r="K76" s="627">
        <f t="shared" si="0"/>
        <v>3966.6006058016192</v>
      </c>
      <c r="L76" s="627">
        <f t="shared" si="0"/>
        <v>4452.1077530779112</v>
      </c>
      <c r="M76" s="627">
        <f t="shared" si="0"/>
        <v>4997.0403917211934</v>
      </c>
      <c r="N76" s="626">
        <v>5608.6721304600314</v>
      </c>
      <c r="O76" s="625"/>
      <c r="P76" s="563">
        <f t="shared" si="2"/>
        <v>1.112504694166486</v>
      </c>
      <c r="Q76" s="563">
        <f t="shared" si="3"/>
        <v>1.1223987982470887</v>
      </c>
      <c r="R76" s="563"/>
      <c r="S76" s="564">
        <f t="shared" si="4"/>
        <v>12865.145695778856</v>
      </c>
      <c r="T76" s="563">
        <f t="shared" si="5"/>
        <v>22558.459417093112</v>
      </c>
      <c r="U76" s="564"/>
      <c r="V76" s="564"/>
      <c r="W76" s="564"/>
      <c r="X76" s="564"/>
      <c r="Y76" s="564"/>
      <c r="Z76" s="564"/>
      <c r="AA76" s="564"/>
      <c r="AB76" s="564"/>
      <c r="AC76" s="564"/>
      <c r="AD76" s="564"/>
      <c r="AE76" s="564"/>
      <c r="AF76" s="564"/>
      <c r="AG76" s="564"/>
      <c r="AH76" s="564"/>
      <c r="AI76" s="564"/>
      <c r="AJ76" s="564"/>
      <c r="AK76" s="564"/>
      <c r="AL76" s="564"/>
      <c r="AM76" s="564"/>
      <c r="AN76" s="564"/>
      <c r="AO76" s="564"/>
      <c r="AP76" s="564"/>
      <c r="AQ76" s="564"/>
      <c r="AR76" s="564"/>
      <c r="AS76" s="564"/>
      <c r="AT76" s="564"/>
      <c r="AU76" s="564"/>
    </row>
    <row r="77" spans="1:48">
      <c r="A77" s="563"/>
      <c r="B77" s="564" t="s">
        <v>447</v>
      </c>
      <c r="C77" s="564"/>
      <c r="D77" s="628">
        <v>7.5811592858638974</v>
      </c>
      <c r="E77" s="629">
        <f t="shared" si="1"/>
        <v>8.2090114383747324</v>
      </c>
      <c r="F77" s="629">
        <f t="shared" si="1"/>
        <v>8.8888606945669952</v>
      </c>
      <c r="G77" s="629">
        <f t="shared" si="1"/>
        <v>9.6250133210998747</v>
      </c>
      <c r="H77" s="629">
        <f t="shared" si="1"/>
        <v>10.422132218583821</v>
      </c>
      <c r="I77" s="628">
        <v>11.285266457088968</v>
      </c>
      <c r="J77" s="629">
        <f t="shared" si="0"/>
        <v>11.234387044954484</v>
      </c>
      <c r="K77" s="629">
        <f t="shared" si="0"/>
        <v>11.183737021695221</v>
      </c>
      <c r="L77" s="629">
        <f t="shared" si="0"/>
        <v>11.133315353115735</v>
      </c>
      <c r="M77" s="629">
        <f t="shared" si="0"/>
        <v>11.083121009683239</v>
      </c>
      <c r="N77" s="628">
        <v>11.033152966506574</v>
      </c>
      <c r="O77" s="564"/>
      <c r="P77" s="563">
        <f t="shared" si="2"/>
        <v>1.0828174331703531</v>
      </c>
      <c r="Q77" s="563">
        <f t="shared" si="3"/>
        <v>0.99549151875784703</v>
      </c>
      <c r="R77" s="563"/>
      <c r="S77" s="564">
        <f t="shared" si="4"/>
        <v>48.430284129714387</v>
      </c>
      <c r="T77" s="563">
        <f t="shared" si="5"/>
        <v>55.667713395955246</v>
      </c>
      <c r="U77" s="564"/>
      <c r="V77" s="564"/>
      <c r="W77" s="564"/>
      <c r="X77" s="564"/>
      <c r="Y77" s="564"/>
      <c r="Z77" s="564"/>
      <c r="AA77" s="564"/>
      <c r="AB77" s="564"/>
      <c r="AC77" s="564"/>
      <c r="AD77" s="564"/>
      <c r="AE77" s="564"/>
      <c r="AF77" s="564"/>
      <c r="AG77" s="564"/>
      <c r="AH77" s="564"/>
      <c r="AI77" s="564"/>
      <c r="AJ77" s="564"/>
      <c r="AK77" s="564"/>
      <c r="AL77" s="564"/>
      <c r="AM77" s="564"/>
      <c r="AN77" s="564"/>
      <c r="AO77" s="564"/>
      <c r="AP77" s="564"/>
      <c r="AQ77" s="564"/>
      <c r="AR77" s="564"/>
      <c r="AS77" s="564"/>
      <c r="AT77" s="564"/>
      <c r="AU77" s="564"/>
    </row>
    <row r="78" spans="1:48">
      <c r="A78" s="563"/>
      <c r="B78" s="566" t="s">
        <v>360</v>
      </c>
      <c r="C78" s="566"/>
      <c r="D78" s="630">
        <v>615.87641400400446</v>
      </c>
      <c r="E78" s="631">
        <f t="shared" si="1"/>
        <v>685.16540160587715</v>
      </c>
      <c r="F78" s="631">
        <f t="shared" si="1"/>
        <v>762.24972556700391</v>
      </c>
      <c r="G78" s="631">
        <f t="shared" si="1"/>
        <v>848.00639782040753</v>
      </c>
      <c r="H78" s="631">
        <f t="shared" si="1"/>
        <v>943.4110982584159</v>
      </c>
      <c r="I78" s="630">
        <v>1049.5492753412479</v>
      </c>
      <c r="J78" s="631">
        <f t="shared" si="0"/>
        <v>1178.0128453441196</v>
      </c>
      <c r="K78" s="631">
        <f t="shared" si="0"/>
        <v>1322.2002019338734</v>
      </c>
      <c r="L78" s="631">
        <f t="shared" si="0"/>
        <v>1484.0359176926374</v>
      </c>
      <c r="M78" s="631">
        <f t="shared" si="0"/>
        <v>1665.6801305737317</v>
      </c>
      <c r="N78" s="630">
        <v>1869.5573768200104</v>
      </c>
      <c r="O78" s="566"/>
      <c r="P78" s="565">
        <f t="shared" si="2"/>
        <v>1.112504694166486</v>
      </c>
      <c r="Q78" s="565">
        <f t="shared" si="3"/>
        <v>1.1223987982470887</v>
      </c>
      <c r="R78" s="565"/>
      <c r="S78" s="566">
        <f t="shared" si="4"/>
        <v>4288.3818985929529</v>
      </c>
      <c r="T78" s="565">
        <f t="shared" si="5"/>
        <v>7519.4864723643723</v>
      </c>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row>
    <row r="79" spans="1:48">
      <c r="A79" s="563"/>
      <c r="B79" s="632" t="s">
        <v>448</v>
      </c>
      <c r="C79" s="632"/>
      <c r="D79" s="633">
        <v>22.743477857591692</v>
      </c>
      <c r="E79" s="634">
        <f t="shared" si="1"/>
        <v>24.627034315124195</v>
      </c>
      <c r="F79" s="634">
        <f t="shared" si="1"/>
        <v>26.666582083700984</v>
      </c>
      <c r="G79" s="634">
        <f t="shared" si="1"/>
        <v>28.875039963299624</v>
      </c>
      <c r="H79" s="634">
        <f t="shared" si="1"/>
        <v>31.266396655751464</v>
      </c>
      <c r="I79" s="633">
        <v>33.855799371266905</v>
      </c>
      <c r="J79" s="634">
        <f t="shared" si="0"/>
        <v>33.70316113486345</v>
      </c>
      <c r="K79" s="634">
        <f t="shared" si="0"/>
        <v>33.55121106508566</v>
      </c>
      <c r="L79" s="634">
        <f t="shared" si="0"/>
        <v>33.399946059347208</v>
      </c>
      <c r="M79" s="634">
        <f t="shared" si="0"/>
        <v>33.249363029049718</v>
      </c>
      <c r="N79" s="633">
        <v>33.099458899519725</v>
      </c>
      <c r="O79" s="632"/>
      <c r="P79" s="563">
        <f t="shared" si="2"/>
        <v>1.0828174331703531</v>
      </c>
      <c r="Q79" s="563">
        <f t="shared" si="3"/>
        <v>0.99549151875784703</v>
      </c>
      <c r="R79" s="563"/>
      <c r="S79" s="564">
        <f t="shared" si="4"/>
        <v>145.29085238914317</v>
      </c>
      <c r="T79" s="563">
        <f t="shared" si="5"/>
        <v>167.00314018786577</v>
      </c>
      <c r="U79" s="564"/>
      <c r="V79" s="564"/>
      <c r="W79" s="564"/>
      <c r="X79" s="564"/>
      <c r="Y79" s="564"/>
      <c r="Z79" s="564"/>
      <c r="AA79" s="564"/>
      <c r="AB79" s="564"/>
      <c r="AC79" s="564"/>
      <c r="AD79" s="564"/>
      <c r="AE79" s="564"/>
      <c r="AF79" s="564"/>
      <c r="AG79" s="564"/>
      <c r="AH79" s="564"/>
      <c r="AI79" s="564"/>
      <c r="AJ79" s="564"/>
      <c r="AK79" s="564"/>
      <c r="AL79" s="564"/>
      <c r="AM79" s="564"/>
      <c r="AN79" s="564"/>
      <c r="AO79" s="564"/>
      <c r="AP79" s="564"/>
      <c r="AQ79" s="564"/>
      <c r="AR79" s="564"/>
      <c r="AS79" s="564"/>
      <c r="AT79" s="564"/>
      <c r="AU79" s="564"/>
    </row>
    <row r="80" spans="1:48">
      <c r="A80" s="621" t="s">
        <v>547</v>
      </c>
      <c r="B80" s="563" t="s">
        <v>548</v>
      </c>
      <c r="C80" s="563"/>
      <c r="D80" s="563"/>
      <c r="E80" s="563"/>
      <c r="F80" s="563"/>
      <c r="G80" s="563"/>
      <c r="H80" s="563"/>
      <c r="I80" s="563"/>
      <c r="J80" s="563"/>
      <c r="K80" s="563"/>
      <c r="L80" s="563"/>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c r="AO80" s="564"/>
      <c r="AP80" s="564"/>
      <c r="AQ80" s="564"/>
      <c r="AR80" s="564"/>
      <c r="AS80" s="564"/>
      <c r="AT80" s="564"/>
      <c r="AU80" s="564"/>
    </row>
    <row r="81" spans="1:47">
      <c r="A81" s="563"/>
      <c r="B81" s="563"/>
      <c r="C81" s="563"/>
      <c r="D81" s="565" t="s">
        <v>522</v>
      </c>
      <c r="E81" s="563"/>
      <c r="F81" s="563"/>
      <c r="G81" s="563"/>
      <c r="H81" s="563"/>
      <c r="I81" s="564"/>
      <c r="J81" s="564"/>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4"/>
      <c r="AP81" s="564"/>
      <c r="AQ81" s="564"/>
      <c r="AR81" s="564"/>
      <c r="AS81" s="564"/>
      <c r="AT81" s="564"/>
      <c r="AU81" s="564"/>
    </row>
    <row r="82" spans="1:47">
      <c r="A82" s="563"/>
      <c r="B82" s="622"/>
      <c r="C82" s="622"/>
      <c r="D82" s="622">
        <v>2010</v>
      </c>
      <c r="E82" s="622">
        <v>2011</v>
      </c>
      <c r="F82" s="622">
        <v>2012</v>
      </c>
      <c r="G82" s="622">
        <v>2013</v>
      </c>
      <c r="H82" s="622">
        <v>2014</v>
      </c>
      <c r="I82" s="622">
        <v>2015</v>
      </c>
      <c r="J82" s="622">
        <v>2016</v>
      </c>
      <c r="K82" s="622">
        <v>2017</v>
      </c>
      <c r="L82" s="622">
        <v>2018</v>
      </c>
      <c r="M82" s="622">
        <v>2019</v>
      </c>
      <c r="N82" s="622">
        <v>2020</v>
      </c>
      <c r="O82" s="622"/>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4"/>
      <c r="AP82" s="564"/>
      <c r="AQ82" s="564"/>
      <c r="AR82" s="564"/>
      <c r="AS82" s="564"/>
      <c r="AT82" s="564"/>
      <c r="AU82" s="564"/>
    </row>
    <row r="83" spans="1:47">
      <c r="A83" s="563"/>
      <c r="B83" s="563" t="s">
        <v>444</v>
      </c>
      <c r="C83" s="563"/>
      <c r="D83" s="635">
        <v>2.6774326373359263</v>
      </c>
      <c r="E83" s="635">
        <v>4.0258967386713049</v>
      </c>
      <c r="F83" s="635">
        <v>4.530017454655475</v>
      </c>
      <c r="G83" s="635">
        <v>4.9474304672634801</v>
      </c>
      <c r="H83" s="635">
        <v>5.2523475301963662</v>
      </c>
      <c r="I83" s="636">
        <v>5.6212490330140428</v>
      </c>
      <c r="J83" s="635">
        <v>6.1123988956979955</v>
      </c>
      <c r="K83" s="635">
        <v>6.695044593545088</v>
      </c>
      <c r="L83" s="635">
        <v>7.3404833889486349</v>
      </c>
      <c r="M83" s="635">
        <v>8.0723003749502595</v>
      </c>
      <c r="N83" s="636">
        <v>8.9574135110518807</v>
      </c>
      <c r="O83" s="564"/>
      <c r="P83" s="563">
        <f>POWER(I83/D83,1/5)</f>
        <v>1.1599061591593913</v>
      </c>
      <c r="Q83" s="563">
        <f>POWER(N83/I83,1/5)</f>
        <v>1.0976653613138703</v>
      </c>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4"/>
      <c r="AP83" s="564"/>
      <c r="AQ83" s="564"/>
      <c r="AR83" s="564"/>
      <c r="AS83" s="564"/>
      <c r="AT83" s="564"/>
      <c r="AU83" s="564"/>
    </row>
    <row r="84" spans="1:47">
      <c r="A84" s="563"/>
      <c r="B84" s="563" t="s">
        <v>445</v>
      </c>
      <c r="C84" s="563"/>
      <c r="D84" s="635">
        <v>18.868676680722029</v>
      </c>
      <c r="E84" s="635">
        <v>23.813782969712129</v>
      </c>
      <c r="F84" s="635">
        <v>27.292965734593505</v>
      </c>
      <c r="G84" s="635">
        <v>32.988543262433076</v>
      </c>
      <c r="H84" s="635">
        <v>60.002258536777333</v>
      </c>
      <c r="I84" s="636">
        <v>69.039909299002517</v>
      </c>
      <c r="J84" s="635">
        <v>68.303580805536555</v>
      </c>
      <c r="K84" s="635">
        <v>74.247992798612714</v>
      </c>
      <c r="L84" s="635">
        <v>73.825326350810613</v>
      </c>
      <c r="M84" s="635">
        <v>83.367385972463779</v>
      </c>
      <c r="N84" s="636">
        <v>88.020049200731506</v>
      </c>
      <c r="O84" s="564"/>
      <c r="P84" s="563">
        <f t="shared" ref="P84:P92" si="6">POWER(I84/D84,1/5)</f>
        <v>1.2961992143105698</v>
      </c>
      <c r="Q84" s="563">
        <f t="shared" ref="Q84:Q92" si="7">POWER(N84/I84,1/5)</f>
        <v>1.0497751280437666</v>
      </c>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c r="AO84" s="564"/>
      <c r="AP84" s="564"/>
      <c r="AQ84" s="564"/>
      <c r="AR84" s="564"/>
      <c r="AS84" s="564"/>
      <c r="AT84" s="564"/>
      <c r="AU84" s="564"/>
    </row>
    <row r="85" spans="1:47">
      <c r="A85" s="563"/>
      <c r="B85" s="563" t="s">
        <v>441</v>
      </c>
      <c r="C85" s="563"/>
      <c r="D85" s="635">
        <v>17.955735297508692</v>
      </c>
      <c r="E85" s="635">
        <v>20.139356723616125</v>
      </c>
      <c r="F85" s="635">
        <v>20.917685774070399</v>
      </c>
      <c r="G85" s="635">
        <v>23.511588814841094</v>
      </c>
      <c r="H85" s="635">
        <v>21.701624722572394</v>
      </c>
      <c r="I85" s="636">
        <v>24.770393607921033</v>
      </c>
      <c r="J85" s="635">
        <v>24.295512799180283</v>
      </c>
      <c r="K85" s="635">
        <v>26.055758471762637</v>
      </c>
      <c r="L85" s="635">
        <v>25.196934918942787</v>
      </c>
      <c r="M85" s="635">
        <v>29.005545279253756</v>
      </c>
      <c r="N85" s="636">
        <v>31.422392982009818</v>
      </c>
      <c r="O85" s="564"/>
      <c r="P85" s="563">
        <f t="shared" si="6"/>
        <v>1.0664633685204887</v>
      </c>
      <c r="Q85" s="563">
        <f t="shared" si="7"/>
        <v>1.0487241513901686</v>
      </c>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4"/>
      <c r="AP85" s="564"/>
      <c r="AQ85" s="564"/>
      <c r="AR85" s="564"/>
      <c r="AS85" s="564"/>
      <c r="AT85" s="564"/>
      <c r="AU85" s="564"/>
    </row>
    <row r="86" spans="1:47">
      <c r="A86" s="563"/>
      <c r="B86" s="563" t="s">
        <v>396</v>
      </c>
      <c r="C86" s="563"/>
      <c r="D86" s="635">
        <v>23.269012865206044</v>
      </c>
      <c r="E86" s="635">
        <v>24.620585417257676</v>
      </c>
      <c r="F86" s="635">
        <v>26.193465610025292</v>
      </c>
      <c r="G86" s="635">
        <v>27.796532197663613</v>
      </c>
      <c r="H86" s="635">
        <v>29.995799017480017</v>
      </c>
      <c r="I86" s="636">
        <v>31.718549108727206</v>
      </c>
      <c r="J86" s="635">
        <v>34.188681609779756</v>
      </c>
      <c r="K86" s="635">
        <v>36.213582677896518</v>
      </c>
      <c r="L86" s="635">
        <v>38.153592872523106</v>
      </c>
      <c r="M86" s="635">
        <v>40.60683725307063</v>
      </c>
      <c r="N86" s="636">
        <v>43.504379739604182</v>
      </c>
      <c r="O86" s="564"/>
      <c r="P86" s="563">
        <f t="shared" si="6"/>
        <v>1.0639153398340488</v>
      </c>
      <c r="Q86" s="563">
        <f t="shared" si="7"/>
        <v>1.0652313358261942</v>
      </c>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564"/>
      <c r="AP86" s="564"/>
      <c r="AQ86" s="564"/>
      <c r="AR86" s="564"/>
      <c r="AS86" s="564"/>
      <c r="AT86" s="564"/>
      <c r="AU86" s="564"/>
    </row>
    <row r="87" spans="1:47">
      <c r="A87" s="563"/>
      <c r="B87" s="563" t="s">
        <v>427</v>
      </c>
      <c r="C87" s="563"/>
      <c r="D87" s="635">
        <v>9.1357082256044844E-2</v>
      </c>
      <c r="E87" s="635">
        <v>9.1611140079323236E-2</v>
      </c>
      <c r="F87" s="635">
        <v>0.10596482229010946</v>
      </c>
      <c r="G87" s="635">
        <v>0.16662112127141651</v>
      </c>
      <c r="H87" s="635">
        <v>0.18106899999999998</v>
      </c>
      <c r="I87" s="636">
        <v>0.19551685978093392</v>
      </c>
      <c r="J87" s="635">
        <v>0.24368152546332705</v>
      </c>
      <c r="K87" s="635">
        <v>0.29184619114572025</v>
      </c>
      <c r="L87" s="635">
        <v>0.31592852398691684</v>
      </c>
      <c r="M87" s="635">
        <v>0.35205202324871177</v>
      </c>
      <c r="N87" s="636">
        <v>0.38817552251050658</v>
      </c>
      <c r="O87" s="564">
        <v>449.20563983044275</v>
      </c>
      <c r="P87" s="563">
        <v>510.23575715037884</v>
      </c>
      <c r="Q87" s="563">
        <v>540.75081581034692</v>
      </c>
      <c r="R87" s="564">
        <v>586.52340380029909</v>
      </c>
      <c r="S87" s="564">
        <v>632.29599179025126</v>
      </c>
      <c r="T87" s="564"/>
      <c r="U87" s="564"/>
      <c r="V87" s="564"/>
      <c r="W87" s="564"/>
      <c r="X87" s="564"/>
      <c r="Y87" s="564"/>
      <c r="Z87" s="564"/>
      <c r="AA87" s="564"/>
      <c r="AB87" s="564"/>
      <c r="AC87" s="564"/>
      <c r="AD87" s="564"/>
      <c r="AE87" s="564"/>
      <c r="AF87" s="564"/>
      <c r="AG87" s="564"/>
      <c r="AH87" s="564"/>
      <c r="AI87" s="564"/>
      <c r="AJ87" s="564"/>
      <c r="AK87" s="564"/>
      <c r="AL87" s="564"/>
      <c r="AM87" s="564"/>
      <c r="AN87" s="564"/>
      <c r="AO87" s="564"/>
      <c r="AP87" s="564"/>
      <c r="AQ87" s="564"/>
      <c r="AR87" s="564"/>
      <c r="AS87" s="564"/>
      <c r="AT87" s="564"/>
      <c r="AU87" s="564"/>
    </row>
    <row r="88" spans="1:47">
      <c r="A88" s="563"/>
      <c r="B88" s="563" t="s">
        <v>446</v>
      </c>
      <c r="C88" s="563"/>
      <c r="D88" s="635">
        <f t="shared" ref="D88:I88" si="8">SUM(D83:D87)</f>
        <v>62.862214563028736</v>
      </c>
      <c r="E88" s="635">
        <f t="shared" si="8"/>
        <v>72.691232989336555</v>
      </c>
      <c r="F88" s="635">
        <f t="shared" si="8"/>
        <v>79.040099395634769</v>
      </c>
      <c r="G88" s="635">
        <f t="shared" si="8"/>
        <v>89.410715863472674</v>
      </c>
      <c r="H88" s="635">
        <f t="shared" si="8"/>
        <v>117.13309880702609</v>
      </c>
      <c r="I88" s="635">
        <f t="shared" si="8"/>
        <v>131.34561790844572</v>
      </c>
      <c r="J88" s="635">
        <f t="shared" ref="J88:M92" si="9">I88*$Q88</f>
        <v>138.71029104355773</v>
      </c>
      <c r="K88" s="635">
        <f t="shared" si="9"/>
        <v>146.48790837316008</v>
      </c>
      <c r="L88" s="635">
        <f t="shared" si="9"/>
        <v>154.70162406915355</v>
      </c>
      <c r="M88" s="635">
        <f t="shared" si="9"/>
        <v>163.37589057977638</v>
      </c>
      <c r="N88" s="636">
        <v>172.53653142518763</v>
      </c>
      <c r="O88" s="564"/>
      <c r="P88" s="563">
        <f t="shared" si="6"/>
        <v>1.1587911834734113</v>
      </c>
      <c r="Q88" s="563">
        <f t="shared" si="7"/>
        <v>1.0560709466549965</v>
      </c>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4"/>
      <c r="AP88" s="564"/>
      <c r="AQ88" s="564"/>
      <c r="AR88" s="564"/>
      <c r="AS88" s="564"/>
      <c r="AT88" s="564"/>
      <c r="AU88" s="564"/>
    </row>
    <row r="89" spans="1:47">
      <c r="A89" s="563"/>
      <c r="B89" s="625" t="s">
        <v>442</v>
      </c>
      <c r="C89" s="625"/>
      <c r="D89" s="637">
        <v>1847.6292420120135</v>
      </c>
      <c r="E89" s="637">
        <f t="shared" ref="E89:H92" si="10">D89*$P89</f>
        <v>2055.4962048176312</v>
      </c>
      <c r="F89" s="637">
        <f t="shared" si="10"/>
        <v>2286.7491767010115</v>
      </c>
      <c r="G89" s="637">
        <f t="shared" si="10"/>
        <v>2544.0191934612226</v>
      </c>
      <c r="H89" s="637">
        <f t="shared" si="10"/>
        <v>2830.2332947752479</v>
      </c>
      <c r="I89" s="637">
        <v>3148.6478260237436</v>
      </c>
      <c r="J89" s="637">
        <f t="shared" si="9"/>
        <v>3534.038536032358</v>
      </c>
      <c r="K89" s="637">
        <f t="shared" si="9"/>
        <v>3966.6006058016192</v>
      </c>
      <c r="L89" s="637">
        <f t="shared" si="9"/>
        <v>4452.1077530779112</v>
      </c>
      <c r="M89" s="637">
        <f t="shared" si="9"/>
        <v>4997.0403917211934</v>
      </c>
      <c r="N89" s="637">
        <v>5608.6721304600314</v>
      </c>
      <c r="O89" s="625"/>
      <c r="P89" s="563">
        <f t="shared" si="6"/>
        <v>1.112504694166486</v>
      </c>
      <c r="Q89" s="563">
        <f t="shared" si="7"/>
        <v>1.1223987982470887</v>
      </c>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4"/>
      <c r="AP89" s="564"/>
      <c r="AQ89" s="564"/>
      <c r="AR89" s="564"/>
      <c r="AS89" s="564"/>
      <c r="AT89" s="564"/>
      <c r="AU89" s="564"/>
    </row>
    <row r="90" spans="1:47">
      <c r="A90" s="563"/>
      <c r="B90" s="564" t="s">
        <v>447</v>
      </c>
      <c r="C90" s="564"/>
      <c r="D90" s="636">
        <v>3.4079550652697561</v>
      </c>
      <c r="E90" s="636">
        <f t="shared" si="10"/>
        <v>3.5496104951685878</v>
      </c>
      <c r="F90" s="636">
        <f t="shared" si="10"/>
        <v>3.6971539900317487</v>
      </c>
      <c r="G90" s="636">
        <f t="shared" si="10"/>
        <v>3.8508302938062156</v>
      </c>
      <c r="H90" s="636">
        <f t="shared" si="10"/>
        <v>4.0108943234924128</v>
      </c>
      <c r="I90" s="636">
        <v>4.1776115919984553</v>
      </c>
      <c r="J90" s="636">
        <f t="shared" si="9"/>
        <v>3.9295846590134982</v>
      </c>
      <c r="K90" s="636">
        <f t="shared" si="9"/>
        <v>3.6962832116633835</v>
      </c>
      <c r="L90" s="636">
        <f t="shared" si="9"/>
        <v>3.4768329903482673</v>
      </c>
      <c r="M90" s="636">
        <f t="shared" si="9"/>
        <v>3.2704116407070782</v>
      </c>
      <c r="N90" s="636">
        <v>3.0762456319769922</v>
      </c>
      <c r="O90" s="564"/>
      <c r="P90" s="563">
        <f t="shared" si="6"/>
        <v>1.0415661084685162</v>
      </c>
      <c r="Q90" s="563">
        <f t="shared" si="7"/>
        <v>0.94062948947671132</v>
      </c>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c r="AO90" s="564"/>
      <c r="AP90" s="564"/>
      <c r="AQ90" s="564"/>
      <c r="AR90" s="564"/>
      <c r="AS90" s="564"/>
      <c r="AT90" s="564"/>
      <c r="AU90" s="564"/>
    </row>
    <row r="91" spans="1:47">
      <c r="A91" s="563"/>
      <c r="B91" s="564" t="s">
        <v>360</v>
      </c>
      <c r="C91" s="564"/>
      <c r="D91" s="636">
        <v>615.87641400400446</v>
      </c>
      <c r="E91" s="636">
        <f t="shared" si="10"/>
        <v>685.16540160587715</v>
      </c>
      <c r="F91" s="636">
        <f t="shared" si="10"/>
        <v>762.24972556700391</v>
      </c>
      <c r="G91" s="636">
        <f t="shared" si="10"/>
        <v>848.00639782040753</v>
      </c>
      <c r="H91" s="636">
        <f t="shared" si="10"/>
        <v>943.4110982584159</v>
      </c>
      <c r="I91" s="636">
        <v>1049.5492753412479</v>
      </c>
      <c r="J91" s="636">
        <f t="shared" si="9"/>
        <v>1178.0128453441196</v>
      </c>
      <c r="K91" s="636">
        <f t="shared" si="9"/>
        <v>1322.2002019338734</v>
      </c>
      <c r="L91" s="636">
        <f t="shared" si="9"/>
        <v>1484.0359176926374</v>
      </c>
      <c r="M91" s="636">
        <f t="shared" si="9"/>
        <v>1665.6801305737317</v>
      </c>
      <c r="N91" s="636">
        <v>1869.5573768200104</v>
      </c>
      <c r="O91" s="564"/>
      <c r="P91" s="563">
        <f t="shared" si="6"/>
        <v>1.112504694166486</v>
      </c>
      <c r="Q91" s="563">
        <f t="shared" si="7"/>
        <v>1.1223987982470887</v>
      </c>
      <c r="R91" s="564"/>
      <c r="S91" s="564"/>
      <c r="T91" s="564"/>
      <c r="U91" s="564"/>
      <c r="V91" s="564"/>
      <c r="W91" s="564"/>
      <c r="X91" s="564"/>
      <c r="Y91" s="564"/>
      <c r="Z91" s="564"/>
      <c r="AA91" s="564"/>
      <c r="AB91" s="564"/>
      <c r="AC91" s="564"/>
      <c r="AD91" s="564"/>
      <c r="AE91" s="564"/>
      <c r="AF91" s="564"/>
      <c r="AG91" s="564"/>
      <c r="AH91" s="564"/>
      <c r="AI91" s="564"/>
      <c r="AJ91" s="564"/>
      <c r="AK91" s="564"/>
      <c r="AL91" s="564"/>
      <c r="AM91" s="564"/>
      <c r="AN91" s="564"/>
      <c r="AO91" s="564"/>
      <c r="AP91" s="564"/>
      <c r="AQ91" s="564"/>
      <c r="AR91" s="564"/>
      <c r="AS91" s="564"/>
      <c r="AT91" s="564"/>
      <c r="AU91" s="564"/>
    </row>
    <row r="92" spans="1:47">
      <c r="A92" s="563"/>
      <c r="B92" s="632" t="s">
        <v>448</v>
      </c>
      <c r="C92" s="632"/>
      <c r="D92" s="638">
        <v>10.223865195809271</v>
      </c>
      <c r="E92" s="638">
        <f t="shared" si="10"/>
        <v>10.648831485505767</v>
      </c>
      <c r="F92" s="638">
        <f t="shared" si="10"/>
        <v>11.091461970095249</v>
      </c>
      <c r="G92" s="638">
        <f t="shared" si="10"/>
        <v>11.552490881418651</v>
      </c>
      <c r="H92" s="638">
        <f t="shared" si="10"/>
        <v>12.032682970477243</v>
      </c>
      <c r="I92" s="638">
        <v>12.532834775995367</v>
      </c>
      <c r="J92" s="638">
        <f t="shared" si="9"/>
        <v>11.788753977040496</v>
      </c>
      <c r="K92" s="638">
        <f t="shared" si="9"/>
        <v>11.088849634990153</v>
      </c>
      <c r="L92" s="638">
        <f t="shared" si="9"/>
        <v>10.430498971044804</v>
      </c>
      <c r="M92" s="638">
        <f t="shared" si="9"/>
        <v>9.8112349221212369</v>
      </c>
      <c r="N92" s="638">
        <v>9.2287368959309788</v>
      </c>
      <c r="O92" s="632"/>
      <c r="P92" s="563">
        <f t="shared" si="6"/>
        <v>1.0415661084685162</v>
      </c>
      <c r="Q92" s="563">
        <f t="shared" si="7"/>
        <v>0.94062948947671132</v>
      </c>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4"/>
      <c r="AP92" s="564"/>
      <c r="AQ92" s="564"/>
      <c r="AR92" s="564"/>
      <c r="AS92" s="564"/>
      <c r="AT92" s="564"/>
      <c r="AU92" s="564"/>
    </row>
    <row r="93" spans="1:47">
      <c r="A93" s="563"/>
      <c r="B93" s="563"/>
      <c r="C93" s="563"/>
      <c r="D93" s="563"/>
      <c r="E93" s="563"/>
      <c r="F93" s="563"/>
      <c r="G93" s="563"/>
      <c r="H93" s="563"/>
      <c r="I93" s="563"/>
      <c r="J93" s="563"/>
      <c r="K93" s="563"/>
      <c r="L93" s="563"/>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4"/>
      <c r="AP93" s="564"/>
      <c r="AQ93" s="564"/>
      <c r="AR93" s="564"/>
      <c r="AS93" s="564"/>
      <c r="AT93" s="564"/>
      <c r="AU93" s="564"/>
    </row>
    <row r="94" spans="1:47">
      <c r="A94" s="563"/>
      <c r="B94" s="565" t="s">
        <v>351</v>
      </c>
      <c r="C94" s="563"/>
      <c r="D94" s="563"/>
      <c r="E94" s="563"/>
      <c r="F94" s="563"/>
      <c r="G94" s="563"/>
      <c r="H94" s="563"/>
      <c r="I94" s="563"/>
      <c r="J94" s="563"/>
      <c r="K94" s="563"/>
      <c r="L94" s="563"/>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c r="AO94" s="564"/>
      <c r="AP94" s="564"/>
      <c r="AQ94" s="564"/>
      <c r="AR94" s="564"/>
      <c r="AS94" s="564"/>
      <c r="AT94" s="564"/>
      <c r="AU94" s="564"/>
    </row>
    <row r="95" spans="1:47">
      <c r="A95" s="563"/>
      <c r="B95" s="565" t="s">
        <v>443</v>
      </c>
      <c r="C95" s="565"/>
      <c r="D95" s="565"/>
      <c r="E95" s="565"/>
      <c r="F95" s="565"/>
      <c r="G95" s="565"/>
      <c r="H95" s="565"/>
      <c r="I95" s="565"/>
      <c r="J95" s="565"/>
      <c r="K95" s="565"/>
      <c r="L95" s="565"/>
      <c r="M95" s="566"/>
      <c r="N95" s="566"/>
      <c r="O95" s="564"/>
      <c r="P95" s="564"/>
      <c r="Q95" s="564"/>
      <c r="R95" s="564"/>
      <c r="S95" s="564"/>
      <c r="T95" s="564"/>
      <c r="U95" s="564"/>
      <c r="V95" s="564"/>
      <c r="W95" s="564"/>
      <c r="X95" s="564"/>
      <c r="Y95" s="564"/>
      <c r="Z95" s="564"/>
      <c r="AA95" s="564"/>
      <c r="AB95" s="564"/>
      <c r="AC95" s="564"/>
      <c r="AD95" s="564"/>
      <c r="AE95" s="564"/>
      <c r="AF95" s="564"/>
      <c r="AG95" s="564"/>
      <c r="AH95" s="564"/>
      <c r="AI95" s="564"/>
      <c r="AJ95" s="564"/>
      <c r="AK95" s="564"/>
      <c r="AL95" s="564"/>
      <c r="AM95" s="564"/>
      <c r="AN95" s="564"/>
      <c r="AO95" s="564"/>
      <c r="AP95" s="564"/>
      <c r="AQ95" s="564"/>
      <c r="AR95" s="564"/>
      <c r="AS95" s="564"/>
      <c r="AT95" s="564"/>
      <c r="AU95" s="564"/>
    </row>
    <row r="96" spans="1:47">
      <c r="A96" s="563"/>
      <c r="B96" s="563"/>
      <c r="C96" s="563"/>
      <c r="D96" s="563"/>
      <c r="E96" s="563"/>
      <c r="F96" s="563"/>
      <c r="G96" s="563"/>
      <c r="H96" s="563"/>
      <c r="I96" s="563"/>
      <c r="J96" s="563"/>
      <c r="K96" s="563"/>
      <c r="L96" s="563"/>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row>
    <row r="97" spans="1:47">
      <c r="A97" s="563"/>
      <c r="B97" s="563" t="s">
        <v>351</v>
      </c>
      <c r="C97" s="563"/>
      <c r="D97" s="565" t="s">
        <v>523</v>
      </c>
      <c r="E97" s="563"/>
      <c r="F97" s="563"/>
      <c r="G97" s="563"/>
      <c r="H97" s="563"/>
      <c r="I97" s="563"/>
      <c r="J97" s="563"/>
      <c r="K97" s="563"/>
      <c r="L97" s="563"/>
      <c r="M97" s="563"/>
      <c r="N97" s="563"/>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row>
    <row r="98" spans="1:47">
      <c r="A98" s="563"/>
      <c r="B98" s="622"/>
      <c r="C98" s="622"/>
      <c r="D98" s="622">
        <v>2010</v>
      </c>
      <c r="E98" s="622">
        <v>2011</v>
      </c>
      <c r="F98" s="622">
        <v>2012</v>
      </c>
      <c r="G98" s="622">
        <v>2013</v>
      </c>
      <c r="H98" s="622">
        <v>2014</v>
      </c>
      <c r="I98" s="622">
        <v>2015</v>
      </c>
      <c r="J98" s="622">
        <v>2016</v>
      </c>
      <c r="K98" s="622">
        <v>2017</v>
      </c>
      <c r="L98" s="622">
        <v>2018</v>
      </c>
      <c r="M98" s="622">
        <v>2019</v>
      </c>
      <c r="N98" s="622">
        <v>2020</v>
      </c>
      <c r="O98" s="622"/>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row>
    <row r="99" spans="1:47">
      <c r="A99" s="563"/>
      <c r="B99" s="563" t="s">
        <v>444</v>
      </c>
      <c r="C99" s="563"/>
      <c r="D99" s="639">
        <f>D70*1000000/ECO!G$64*100</f>
        <v>0.13516150514267389</v>
      </c>
      <c r="E99" s="639">
        <f>E70*1000000/ECO!H$64*100</f>
        <v>0.12898170011862778</v>
      </c>
      <c r="F99" s="639">
        <f>F70*1000000/ECO!I$64*100</f>
        <v>0.13078241463349766</v>
      </c>
      <c r="G99" s="639">
        <f>G70*1000000/ECO!J$64*100</f>
        <v>0.13210026929315796</v>
      </c>
      <c r="H99" s="639">
        <f>H70*1000000/ECO!K$64*100</f>
        <v>0.13379286373969207</v>
      </c>
      <c r="I99" s="639">
        <f>I70*1000000/ECO!L$64*100</f>
        <v>0.13613053221765697</v>
      </c>
      <c r="J99" s="639">
        <f>J70*1000000/ECO!M$64*100</f>
        <v>0.13161504600774748</v>
      </c>
      <c r="K99" s="639">
        <f>K70*1000000/ECO!N$64*100</f>
        <v>0.12747417406294848</v>
      </c>
      <c r="L99" s="639">
        <f>L70*1000000/ECO!O$64*100</f>
        <v>0.12346430765470323</v>
      </c>
      <c r="M99" s="639">
        <f>M70*1000000/ECO!P$64*100</f>
        <v>0.11954228576900626</v>
      </c>
      <c r="N99" s="639">
        <f>N70*1000000/ECO!Q$64*100</f>
        <v>0.11570601198999671</v>
      </c>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row>
    <row r="100" spans="1:47">
      <c r="A100" s="563"/>
      <c r="B100" s="563" t="s">
        <v>445</v>
      </c>
      <c r="C100" s="563"/>
      <c r="D100" s="639">
        <f>D71*1000000/ECO!G$64*100</f>
        <v>2.126124568463482</v>
      </c>
      <c r="E100" s="639">
        <f>E71*1000000/ECO!H$64*100</f>
        <v>2.199468180691678</v>
      </c>
      <c r="F100" s="639">
        <f>F71*1000000/ECO!I$64*100</f>
        <v>2.4176467088110236</v>
      </c>
      <c r="G100" s="639">
        <f>G71*1000000/ECO!J$64*100</f>
        <v>2.647287377275811</v>
      </c>
      <c r="H100" s="639">
        <f>H71*1000000/ECO!K$64*100</f>
        <v>2.9065930801523008</v>
      </c>
      <c r="I100" s="639">
        <f>I71*1000000/ECO!L$64*100</f>
        <v>3.2059794030605584</v>
      </c>
      <c r="J100" s="639">
        <f>J71*1000000/ECO!M$64*100</f>
        <v>3.030539969650424</v>
      </c>
      <c r="K100" s="639">
        <f>K71*1000000/ECO!N$64*100</f>
        <v>2.8697626174000521</v>
      </c>
      <c r="L100" s="639">
        <f>L71*1000000/ECO!O$64*100</f>
        <v>2.7175308535139235</v>
      </c>
      <c r="M100" s="639">
        <f>M71*1000000/ECO!P$64*100</f>
        <v>2.5725504760298876</v>
      </c>
      <c r="N100" s="639">
        <f>N71*1000000/ECO!Q$64*100</f>
        <v>2.4344875904962473</v>
      </c>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row>
    <row r="101" spans="1:47">
      <c r="A101" s="563"/>
      <c r="B101" s="563" t="s">
        <v>441</v>
      </c>
      <c r="C101" s="563"/>
      <c r="D101" s="639">
        <f>D72*1000000/ECO!G$64*100</f>
        <v>3.2893539720324987</v>
      </c>
      <c r="E101" s="639">
        <f>E72*1000000/ECO!H$64*100</f>
        <v>3.3044699221716787</v>
      </c>
      <c r="F101" s="639">
        <f>F72*1000000/ECO!I$64*100</f>
        <v>3.5272737958235072</v>
      </c>
      <c r="G101" s="639">
        <f>G72*1000000/ECO!J$64*100</f>
        <v>3.7506767636155862</v>
      </c>
      <c r="H101" s="639">
        <f>H72*1000000/ECO!K$64*100</f>
        <v>3.999033101760733</v>
      </c>
      <c r="I101" s="639">
        <f>I72*1000000/ECO!L$64*100</f>
        <v>4.2834500439785907</v>
      </c>
      <c r="J101" s="639">
        <f>J72*1000000/ECO!M$64*100</f>
        <v>4.364822965138015</v>
      </c>
      <c r="K101" s="639">
        <f>K72*1000000/ECO!N$64*100</f>
        <v>4.4556003600546896</v>
      </c>
      <c r="L101" s="639">
        <f>L72*1000000/ECO!O$64*100</f>
        <v>4.5482924221724161</v>
      </c>
      <c r="M101" s="639">
        <f>M72*1000000/ECO!P$64*100</f>
        <v>4.6414260899129474</v>
      </c>
      <c r="N101" s="639">
        <f>N72*1000000/ECO!Q$64*100</f>
        <v>4.7348774012785606</v>
      </c>
      <c r="O101" s="564"/>
      <c r="P101" s="564"/>
      <c r="Q101" s="564"/>
      <c r="R101" s="564"/>
      <c r="S101" s="564"/>
      <c r="T101" s="564"/>
      <c r="U101" s="564"/>
      <c r="V101" s="564"/>
      <c r="W101" s="564"/>
      <c r="X101" s="564"/>
      <c r="Y101" s="564"/>
      <c r="Z101" s="564"/>
      <c r="AA101" s="564"/>
      <c r="AB101" s="564"/>
      <c r="AC101" s="564"/>
      <c r="AD101" s="564"/>
      <c r="AE101" s="564"/>
      <c r="AF101" s="564"/>
      <c r="AG101" s="564"/>
      <c r="AH101" s="564"/>
      <c r="AI101" s="564"/>
      <c r="AJ101" s="564"/>
      <c r="AK101" s="564"/>
      <c r="AL101" s="564"/>
      <c r="AM101" s="564"/>
      <c r="AN101" s="564"/>
      <c r="AO101" s="564"/>
      <c r="AP101" s="564"/>
      <c r="AQ101" s="564"/>
      <c r="AR101" s="564"/>
      <c r="AS101" s="564"/>
      <c r="AT101" s="564"/>
      <c r="AU101" s="564"/>
    </row>
    <row r="102" spans="1:47">
      <c r="A102" s="563"/>
      <c r="B102" s="563" t="s">
        <v>396</v>
      </c>
      <c r="C102" s="563"/>
      <c r="D102" s="639">
        <f>D73*1000000/ECO!G$64*100</f>
        <v>1.5105563129177997</v>
      </c>
      <c r="E102" s="639">
        <f>E73*1000000/ECO!H$64*100</f>
        <v>1.3174548461522915</v>
      </c>
      <c r="F102" s="639">
        <f>F73*1000000/ECO!I$64*100</f>
        <v>1.2209018029070913</v>
      </c>
      <c r="G102" s="639">
        <f>G73*1000000/ECO!J$64*100</f>
        <v>1.1270906003740861</v>
      </c>
      <c r="H102" s="639">
        <f>H73*1000000/ECO!K$64*100</f>
        <v>1.0433062664757335</v>
      </c>
      <c r="I102" s="639">
        <f>I73*1000000/ECO!L$64*100</f>
        <v>0.9701930297015533</v>
      </c>
      <c r="J102" s="639">
        <f>J73*1000000/ECO!M$64*100</f>
        <v>0.90781923593437486</v>
      </c>
      <c r="K102" s="639">
        <f>K73*1000000/ECO!N$64*100</f>
        <v>0.85095634505626594</v>
      </c>
      <c r="L102" s="639">
        <f>L73*1000000/ECO!O$64*100</f>
        <v>0.79765985047288646</v>
      </c>
      <c r="M102" s="639">
        <f>M73*1000000/ECO!P$64*100</f>
        <v>0.74746196170438983</v>
      </c>
      <c r="N102" s="639">
        <f>N73*1000000/ECO!Q$64*100</f>
        <v>0.70018805727381161</v>
      </c>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c r="AO102" s="564"/>
      <c r="AP102" s="564"/>
      <c r="AQ102" s="564"/>
      <c r="AR102" s="564"/>
      <c r="AS102" s="564"/>
      <c r="AT102" s="564"/>
      <c r="AU102" s="564"/>
    </row>
    <row r="103" spans="1:47">
      <c r="A103" s="563"/>
      <c r="B103" s="563" t="s">
        <v>427</v>
      </c>
      <c r="C103" s="563"/>
      <c r="D103" s="639">
        <f>D74*1000000/ECO!G$64*100</f>
        <v>9.8700347042361622E-3</v>
      </c>
      <c r="E103" s="639">
        <f>E74*1000000/ECO!H$64*100</f>
        <v>9.3140741154547017E-3</v>
      </c>
      <c r="F103" s="639">
        <f>F74*1000000/ECO!I$64*100</f>
        <v>9.3391397851219186E-3</v>
      </c>
      <c r="G103" s="639">
        <f>G74*1000000/ECO!J$64*100</f>
        <v>9.328399979321814E-3</v>
      </c>
      <c r="H103" s="639">
        <f>H74*1000000/ECO!K$64*100</f>
        <v>9.3429137144091755E-3</v>
      </c>
      <c r="I103" s="639">
        <f>I74*1000000/ECO!L$64*100</f>
        <v>9.4004980321764596E-3</v>
      </c>
      <c r="J103" s="639">
        <f>J74*1000000/ECO!M$64*100</f>
        <v>9.1287088780679874E-3</v>
      </c>
      <c r="K103" s="639">
        <f>K74*1000000/ECO!N$64*100</f>
        <v>8.8804407515403715E-3</v>
      </c>
      <c r="L103" s="639">
        <f>L74*1000000/ECO!O$64*100</f>
        <v>8.6389753875516003E-3</v>
      </c>
      <c r="M103" s="639">
        <f>M74*1000000/ECO!P$64*100</f>
        <v>8.4013845546246496E-3</v>
      </c>
      <c r="N103" s="639">
        <f>N74*1000000/ECO!Q$64*100</f>
        <v>8.1675862699698409E-3</v>
      </c>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4"/>
      <c r="AL103" s="564"/>
      <c r="AM103" s="564"/>
      <c r="AN103" s="564"/>
      <c r="AO103" s="564"/>
      <c r="AP103" s="564"/>
      <c r="AQ103" s="564"/>
      <c r="AR103" s="564"/>
      <c r="AS103" s="564"/>
      <c r="AT103" s="564"/>
      <c r="AU103" s="564"/>
    </row>
    <row r="104" spans="1:47">
      <c r="A104" s="563"/>
      <c r="B104" s="563" t="s">
        <v>454</v>
      </c>
      <c r="C104" s="563"/>
      <c r="D104" s="639">
        <f>D75*1000000/ECO!G$64*100</f>
        <v>7.0710663932606916</v>
      </c>
      <c r="E104" s="639">
        <f>E75*1000000/ECO!H$64*100</f>
        <v>7.008002201131923</v>
      </c>
      <c r="F104" s="639">
        <f>F75*1000000/ECO!I$64*100</f>
        <v>7.3798871481960155</v>
      </c>
      <c r="G104" s="639">
        <f>G75*1000000/ECO!J$64*100</f>
        <v>7.7417351370056773</v>
      </c>
      <c r="H104" s="639">
        <f>H75*1000000/ECO!K$64*100</f>
        <v>8.1433254616838155</v>
      </c>
      <c r="I104" s="639">
        <f>I75*1000000/ECO!L$64*100</f>
        <v>8.6051535069905363</v>
      </c>
      <c r="J104" s="639">
        <f>J75*1000000/ECO!M$64*100</f>
        <v>8.4688300450818979</v>
      </c>
      <c r="K104" s="639">
        <f>K75*1000000/ECO!N$64*100</f>
        <v>8.3493925886018303</v>
      </c>
      <c r="L104" s="639">
        <f>L75*1000000/ECO!O$64*100</f>
        <v>8.2316879475812428</v>
      </c>
      <c r="M104" s="639">
        <f>M75*1000000/ECO!P$64*100</f>
        <v>8.1130439140455834</v>
      </c>
      <c r="N104" s="639">
        <f>N75*1000000/ECO!Q$64*100</f>
        <v>7.993426647308584</v>
      </c>
      <c r="O104" s="564"/>
      <c r="P104" s="564"/>
      <c r="Q104" s="564"/>
      <c r="R104" s="564"/>
      <c r="S104" s="564"/>
      <c r="T104" s="564"/>
      <c r="U104" s="564"/>
      <c r="V104" s="564"/>
      <c r="W104" s="564"/>
      <c r="X104" s="564"/>
      <c r="Y104" s="564"/>
      <c r="Z104" s="564"/>
      <c r="AA104" s="564"/>
      <c r="AB104" s="564"/>
      <c r="AC104" s="564"/>
      <c r="AD104" s="564"/>
      <c r="AE104" s="564"/>
      <c r="AF104" s="564"/>
      <c r="AG104" s="564"/>
      <c r="AH104" s="564"/>
      <c r="AI104" s="564"/>
      <c r="AJ104" s="564"/>
      <c r="AK104" s="564"/>
      <c r="AL104" s="564"/>
      <c r="AM104" s="564"/>
      <c r="AN104" s="564"/>
      <c r="AO104" s="564"/>
      <c r="AP104" s="564"/>
      <c r="AQ104" s="564"/>
      <c r="AR104" s="564"/>
      <c r="AS104" s="564"/>
      <c r="AT104" s="564"/>
      <c r="AU104" s="564"/>
    </row>
    <row r="105" spans="1:47">
      <c r="A105" s="563"/>
      <c r="B105" s="625" t="s">
        <v>442</v>
      </c>
      <c r="C105" s="625"/>
      <c r="D105" s="640">
        <f>D76*1000000/ECO!G$64*100</f>
        <v>93.271571360407307</v>
      </c>
      <c r="E105" s="640">
        <f>E76*1000000/ECO!H$64*100</f>
        <v>85.36962402527007</v>
      </c>
      <c r="F105" s="640">
        <f>F76*1000000/ECO!I$64*100</f>
        <v>83.02399375779072</v>
      </c>
      <c r="G105" s="640">
        <f>G76*1000000/ECO!J$64*100</f>
        <v>80.433500492246694</v>
      </c>
      <c r="H105" s="640">
        <f>H76*1000000/ECO!K$64*100</f>
        <v>78.134927583852374</v>
      </c>
      <c r="I105" s="640">
        <f>I76*1000000/ECO!L$64*100</f>
        <v>76.251221357605701</v>
      </c>
      <c r="J105" s="640">
        <f>J76*1000000/ECO!M$64*100</f>
        <v>75.383107339935933</v>
      </c>
      <c r="K105" s="640">
        <f>K76*1000000/ECO!N$64*100</f>
        <v>74.65655328272581</v>
      </c>
      <c r="L105" s="640">
        <f>L76*1000000/ECO!O$64*100</f>
        <v>73.937436302633273</v>
      </c>
      <c r="M105" s="640">
        <f>M76*1000000/ECO!P$64*100</f>
        <v>73.201798545349007</v>
      </c>
      <c r="N105" s="640">
        <f>N76*1000000/ECO!Q$64*100</f>
        <v>72.449160014134577</v>
      </c>
      <c r="O105" s="625"/>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4"/>
      <c r="AP105" s="564"/>
      <c r="AQ105" s="564"/>
      <c r="AR105" s="564"/>
      <c r="AS105" s="564"/>
      <c r="AT105" s="564"/>
      <c r="AU105" s="564"/>
    </row>
    <row r="106" spans="1:47">
      <c r="A106" s="563"/>
      <c r="B106" s="564" t="s">
        <v>447</v>
      </c>
      <c r="C106" s="564"/>
      <c r="D106" s="641">
        <f>D77*1000000/ECO!G$64*100</f>
        <v>0.38271024470041992</v>
      </c>
      <c r="E106" s="641">
        <f>E77*1000000/ECO!H$64*100</f>
        <v>0.34093968087640869</v>
      </c>
      <c r="F106" s="641">
        <f>F77*1000000/ECO!I$64*100</f>
        <v>0.32272394468914339</v>
      </c>
      <c r="G106" s="641">
        <f>G77*1000000/ECO!J$64*100</f>
        <v>0.30431119218376612</v>
      </c>
      <c r="H106" s="641">
        <f>H77*1000000/ECO!K$64*100</f>
        <v>0.28772629721785836</v>
      </c>
      <c r="I106" s="641">
        <f>I77*1000000/ECO!L$64*100</f>
        <v>0.27329679222517289</v>
      </c>
      <c r="J106" s="641">
        <f>J77*1000000/ECO!M$64*100</f>
        <v>0.23963604128068716</v>
      </c>
      <c r="K106" s="641">
        <f>K77*1000000/ECO!N$64*100</f>
        <v>0.21049239432853056</v>
      </c>
      <c r="L106" s="641">
        <f>L77*1000000/ECO!O$64*100</f>
        <v>0.18489417606504152</v>
      </c>
      <c r="M106" s="641">
        <f>M77*1000000/ECO!P$64*100</f>
        <v>0.16235698089386663</v>
      </c>
      <c r="N106" s="641">
        <f>N77*1000000/ECO!Q$64*100</f>
        <v>0.14251905729873626</v>
      </c>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4"/>
      <c r="AM106" s="564"/>
      <c r="AN106" s="564"/>
      <c r="AO106" s="564"/>
      <c r="AP106" s="564"/>
      <c r="AQ106" s="564"/>
      <c r="AR106" s="564"/>
      <c r="AS106" s="564"/>
      <c r="AT106" s="564"/>
      <c r="AU106" s="564"/>
    </row>
    <row r="107" spans="1:47">
      <c r="A107" s="563"/>
      <c r="B107" s="566" t="s">
        <v>360</v>
      </c>
      <c r="C107" s="566"/>
      <c r="D107" s="641">
        <f>D78*1000000/ECO!G$64*100</f>
        <v>31.090523786802436</v>
      </c>
      <c r="E107" s="641">
        <f>E78*1000000/ECO!H$64*100</f>
        <v>28.45654134175669</v>
      </c>
      <c r="F107" s="641">
        <f>F78*1000000/ECO!I$64*100</f>
        <v>27.674664585930241</v>
      </c>
      <c r="G107" s="641">
        <f>G78*1000000/ECO!J$64*100</f>
        <v>26.811166830748896</v>
      </c>
      <c r="H107" s="641">
        <f>H78*1000000/ECO!K$64*100</f>
        <v>26.044975861284126</v>
      </c>
      <c r="I107" s="641">
        <f>I78*1000000/ECO!L$64*100</f>
        <v>25.417073785868567</v>
      </c>
      <c r="J107" s="641">
        <f>J78*1000000/ECO!M$64*100</f>
        <v>25.127702446645312</v>
      </c>
      <c r="K107" s="641">
        <f>K78*1000000/ECO!N$64*100</f>
        <v>24.885517760908613</v>
      </c>
      <c r="L107" s="641">
        <f>L78*1000000/ECO!O$64*100</f>
        <v>24.645812100877762</v>
      </c>
      <c r="M107" s="641">
        <f>M78*1000000/ECO!P$64*100</f>
        <v>24.40059951511634</v>
      </c>
      <c r="N107" s="641">
        <f>N78*1000000/ECO!Q$64*100</f>
        <v>24.149720004711529</v>
      </c>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4"/>
      <c r="AM107" s="564"/>
      <c r="AN107" s="564"/>
      <c r="AO107" s="564"/>
      <c r="AP107" s="564"/>
      <c r="AQ107" s="564"/>
      <c r="AR107" s="564"/>
      <c r="AS107" s="564"/>
      <c r="AT107" s="564"/>
      <c r="AU107" s="564"/>
    </row>
    <row r="108" spans="1:47">
      <c r="A108" s="563"/>
      <c r="B108" s="632" t="s">
        <v>448</v>
      </c>
      <c r="C108" s="632"/>
      <c r="D108" s="642">
        <f>D79*1000000/ECO!G$64*100</f>
        <v>1.1481307341012599</v>
      </c>
      <c r="E108" s="642">
        <f>E79*1000000/ECO!H$64*100</f>
        <v>1.0228190426292261</v>
      </c>
      <c r="F108" s="642">
        <f>F79*1000000/ECO!I$64*100</f>
        <v>0.96817183406743024</v>
      </c>
      <c r="G108" s="642">
        <f>G79*1000000/ECO!J$64*100</f>
        <v>0.91293357655129836</v>
      </c>
      <c r="H108" s="642">
        <f>H79*1000000/ECO!K$64*100</f>
        <v>0.8631788916535752</v>
      </c>
      <c r="I108" s="642">
        <f>I79*1000000/ECO!L$64*100</f>
        <v>0.81989037667551878</v>
      </c>
      <c r="J108" s="642">
        <f>J79*1000000/ECO!M$64*100</f>
        <v>0.7189081238420616</v>
      </c>
      <c r="K108" s="642">
        <f>K79*1000000/ECO!N$64*100</f>
        <v>0.63147718298559163</v>
      </c>
      <c r="L108" s="642">
        <f>L79*1000000/ECO!O$64*100</f>
        <v>0.55468252819512465</v>
      </c>
      <c r="M108" s="642">
        <f>M79*1000000/ECO!P$64*100</f>
        <v>0.48707094268159984</v>
      </c>
      <c r="N108" s="642">
        <f>N79*1000000/ECO!Q$64*100</f>
        <v>0.42755717189620884</v>
      </c>
      <c r="O108" s="632"/>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4"/>
      <c r="AL108" s="564"/>
      <c r="AM108" s="564"/>
      <c r="AN108" s="564"/>
      <c r="AO108" s="564"/>
      <c r="AP108" s="564"/>
      <c r="AQ108" s="564"/>
      <c r="AR108" s="564"/>
      <c r="AS108" s="564"/>
      <c r="AT108" s="564"/>
      <c r="AU108" s="564"/>
    </row>
    <row r="109" spans="1:47">
      <c r="A109" s="563"/>
      <c r="B109" s="563"/>
      <c r="C109" s="563"/>
      <c r="D109" s="563"/>
      <c r="E109" s="563"/>
      <c r="F109" s="563"/>
      <c r="G109" s="563"/>
      <c r="H109" s="563"/>
      <c r="I109" s="563"/>
      <c r="J109" s="563"/>
      <c r="K109" s="563"/>
      <c r="L109" s="563"/>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4"/>
      <c r="AJ109" s="564"/>
      <c r="AK109" s="564"/>
      <c r="AL109" s="564"/>
      <c r="AM109" s="564"/>
      <c r="AN109" s="564"/>
      <c r="AO109" s="564"/>
      <c r="AP109" s="564"/>
      <c r="AQ109" s="564"/>
      <c r="AR109" s="564"/>
      <c r="AS109" s="564"/>
      <c r="AT109" s="564"/>
      <c r="AU109" s="564"/>
    </row>
    <row r="110" spans="1:47">
      <c r="A110" s="563"/>
      <c r="B110" s="563"/>
      <c r="C110" s="563"/>
      <c r="D110" s="565" t="s">
        <v>524</v>
      </c>
      <c r="E110" s="563"/>
      <c r="F110" s="563"/>
      <c r="G110" s="563"/>
      <c r="H110" s="563"/>
      <c r="I110" s="564"/>
      <c r="J110" s="564"/>
      <c r="K110" s="564"/>
      <c r="L110" s="564"/>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4"/>
      <c r="AK110" s="564"/>
      <c r="AL110" s="564"/>
      <c r="AM110" s="564"/>
      <c r="AN110" s="564"/>
      <c r="AO110" s="564"/>
      <c r="AP110" s="564"/>
      <c r="AQ110" s="564"/>
      <c r="AR110" s="564"/>
      <c r="AS110" s="564"/>
      <c r="AT110" s="564"/>
      <c r="AU110" s="564"/>
    </row>
    <row r="111" spans="1:47">
      <c r="A111" s="563"/>
      <c r="B111" s="622"/>
      <c r="C111" s="622"/>
      <c r="D111" s="622">
        <v>2010</v>
      </c>
      <c r="E111" s="622">
        <v>2011</v>
      </c>
      <c r="F111" s="622">
        <v>2012</v>
      </c>
      <c r="G111" s="622">
        <v>2013</v>
      </c>
      <c r="H111" s="622">
        <v>2014</v>
      </c>
      <c r="I111" s="622">
        <v>2015</v>
      </c>
      <c r="J111" s="622">
        <v>2016</v>
      </c>
      <c r="K111" s="622">
        <v>2017</v>
      </c>
      <c r="L111" s="622">
        <v>2018</v>
      </c>
      <c r="M111" s="622">
        <v>2019</v>
      </c>
      <c r="N111" s="622">
        <v>2020</v>
      </c>
      <c r="O111" s="622"/>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row>
    <row r="112" spans="1:47">
      <c r="A112" s="563"/>
      <c r="B112" s="563" t="s">
        <v>444</v>
      </c>
      <c r="C112" s="563"/>
      <c r="D112" s="639">
        <f>D83*1000000/ECO!G$64*100</f>
        <v>0.13516150514267389</v>
      </c>
      <c r="E112" s="639">
        <f>E83*1000000/ECO!H$64*100</f>
        <v>0.16720502336097634</v>
      </c>
      <c r="F112" s="639">
        <f>F83*1000000/ECO!I$64*100</f>
        <v>0.16446934570261074</v>
      </c>
      <c r="G112" s="639">
        <f>G83*1000000/ECO!J$64*100</f>
        <v>0.15642144208141132</v>
      </c>
      <c r="H112" s="639">
        <f>H83*1000000/ECO!K$64*100</f>
        <v>0.14500281467069259</v>
      </c>
      <c r="I112" s="639">
        <f>I83*1000000/ECO!L$64*100</f>
        <v>0.13613053221765697</v>
      </c>
      <c r="J112" s="639">
        <f>J83*1000000/ECO!M$64*100</f>
        <v>0.13038104065956596</v>
      </c>
      <c r="K112" s="639">
        <f>K83*1000000/ECO!N$64*100</f>
        <v>0.12600939774404454</v>
      </c>
      <c r="L112" s="639">
        <f>L83*1000000/ECO!O$64*100</f>
        <v>0.12190552275508446</v>
      </c>
      <c r="M112" s="639">
        <f>M83*1000000/ECO!P$64*100</f>
        <v>0.11825137671963477</v>
      </c>
      <c r="N112" s="639">
        <f>N83*1000000/ECO!Q$64*100</f>
        <v>0.11570601198999671</v>
      </c>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row>
    <row r="113" spans="1:47">
      <c r="A113" s="563"/>
      <c r="B113" s="563" t="s">
        <v>445</v>
      </c>
      <c r="C113" s="563"/>
      <c r="D113" s="639">
        <f>D84*1000000/ECO!G$64*100</f>
        <v>0.95252396069783296</v>
      </c>
      <c r="E113" s="639">
        <f>E84*1000000/ECO!H$64*100</f>
        <v>0.98904278878202778</v>
      </c>
      <c r="F113" s="639">
        <f>F84*1000000/ECO!I$64*100</f>
        <v>0.99091366900566669</v>
      </c>
      <c r="G113" s="639">
        <f>G84*1000000/ECO!J$64*100</f>
        <v>1.0429889906323366</v>
      </c>
      <c r="H113" s="639">
        <f>H84*1000000/ECO!K$64*100</f>
        <v>1.6564967044566499</v>
      </c>
      <c r="I113" s="639">
        <f>I84*1000000/ECO!L$64*100</f>
        <v>1.6719486259964986</v>
      </c>
      <c r="J113" s="639">
        <f>J84*1000000/ECO!M$64*100</f>
        <v>1.4569552966296815</v>
      </c>
      <c r="K113" s="639">
        <f>K84*1000000/ECO!N$64*100</f>
        <v>1.3974432470961757</v>
      </c>
      <c r="L113" s="639">
        <f>L84*1000000/ECO!O$64*100</f>
        <v>1.2260384670183544</v>
      </c>
      <c r="M113" s="639">
        <f>M84*1000000/ECO!P$64*100</f>
        <v>1.2212514037947648</v>
      </c>
      <c r="N113" s="639">
        <f>N84*1000000/ECO!Q$64*100</f>
        <v>1.136985454072664</v>
      </c>
      <c r="O113" s="564"/>
      <c r="P113" s="564"/>
      <c r="Q113" s="564"/>
      <c r="R113" s="564"/>
      <c r="S113" s="564"/>
      <c r="T113" s="564"/>
      <c r="U113" s="564"/>
      <c r="V113" s="564"/>
      <c r="W113" s="564"/>
      <c r="X113" s="564"/>
      <c r="Y113" s="564"/>
      <c r="Z113" s="564"/>
      <c r="AA113" s="564"/>
      <c r="AB113" s="564"/>
      <c r="AC113" s="564"/>
      <c r="AD113" s="564"/>
      <c r="AE113" s="564"/>
      <c r="AF113" s="564"/>
      <c r="AG113" s="564"/>
      <c r="AH113" s="564"/>
      <c r="AI113" s="564"/>
      <c r="AJ113" s="564"/>
      <c r="AK113" s="564"/>
      <c r="AL113" s="564"/>
      <c r="AM113" s="564"/>
      <c r="AN113" s="564"/>
      <c r="AO113" s="564"/>
      <c r="AP113" s="564"/>
      <c r="AQ113" s="564"/>
      <c r="AR113" s="564"/>
      <c r="AS113" s="564"/>
      <c r="AT113" s="564"/>
      <c r="AU113" s="564"/>
    </row>
    <row r="114" spans="1:47">
      <c r="A114" s="563"/>
      <c r="B114" s="563" t="s">
        <v>441</v>
      </c>
      <c r="C114" s="563"/>
      <c r="D114" s="639">
        <f>D85*1000000/ECO!G$64*100</f>
        <v>0.90643707517120831</v>
      </c>
      <c r="E114" s="639">
        <f>E85*1000000/ECO!H$64*100</f>
        <v>0.83643516712717214</v>
      </c>
      <c r="F114" s="639">
        <f>F85*1000000/ECO!I$64*100</f>
        <v>0.75944919137973099</v>
      </c>
      <c r="G114" s="639">
        <f>G85*1000000/ECO!J$64*100</f>
        <v>0.74335893195015257</v>
      </c>
      <c r="H114" s="639">
        <f>H85*1000000/ECO!K$64*100</f>
        <v>0.59912194492249027</v>
      </c>
      <c r="I114" s="639">
        <f>I85*1000000/ECO!L$64*100</f>
        <v>0.59986790218385155</v>
      </c>
      <c r="J114" s="639">
        <f>J85*1000000/ECO!M$64*100</f>
        <v>0.51823748681461057</v>
      </c>
      <c r="K114" s="639">
        <f>K85*1000000/ECO!N$64*100</f>
        <v>0.49040307154288493</v>
      </c>
      <c r="L114" s="639">
        <f>L85*1000000/ECO!O$64*100</f>
        <v>0.41845275853958563</v>
      </c>
      <c r="M114" s="639">
        <f>M85*1000000/ECO!P$64*100</f>
        <v>0.42490312580775269</v>
      </c>
      <c r="N114" s="639">
        <f>N85*1000000/ECO!Q$64*100</f>
        <v>0.40589393072508317</v>
      </c>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4"/>
      <c r="AK114" s="564"/>
      <c r="AL114" s="564"/>
      <c r="AM114" s="564"/>
      <c r="AN114" s="564"/>
      <c r="AO114" s="564"/>
      <c r="AP114" s="564"/>
      <c r="AQ114" s="564"/>
      <c r="AR114" s="564"/>
      <c r="AS114" s="564"/>
      <c r="AT114" s="564"/>
      <c r="AU114" s="564"/>
    </row>
    <row r="115" spans="1:47">
      <c r="A115" s="563"/>
      <c r="B115" s="563" t="s">
        <v>396</v>
      </c>
      <c r="C115" s="563"/>
      <c r="D115" s="639">
        <f>D86*1000000/ECO!G$64*100</f>
        <v>1.1746606649177453</v>
      </c>
      <c r="E115" s="639">
        <f>E86*1000000/ECO!H$64*100</f>
        <v>1.0225512046322733</v>
      </c>
      <c r="F115" s="639">
        <f>F86*1000000/ECO!I$64*100</f>
        <v>0.95099460293190785</v>
      </c>
      <c r="G115" s="639">
        <f>G86*1000000/ECO!J$64*100</f>
        <v>0.87883471632212196</v>
      </c>
      <c r="H115" s="639">
        <f>H86*1000000/ECO!K$64*100</f>
        <v>0.82810119871645027</v>
      </c>
      <c r="I115" s="639">
        <f>I86*1000000/ECO!L$64*100</f>
        <v>0.76813230404555477</v>
      </c>
      <c r="J115" s="639">
        <f>J86*1000000/ECO!M$64*100</f>
        <v>0.72926455932039191</v>
      </c>
      <c r="K115" s="639">
        <f>K86*1000000/ECO!N$64*100</f>
        <v>0.68158645990132527</v>
      </c>
      <c r="L115" s="639">
        <f>L86*1000000/ECO!O$64*100</f>
        <v>0.63362771055541722</v>
      </c>
      <c r="M115" s="639">
        <f>M86*1000000/ECO!P$64*100</f>
        <v>0.59485080910846833</v>
      </c>
      <c r="N115" s="639">
        <f>N86*1000000/ECO!Q$64*100</f>
        <v>0.56196113728112296</v>
      </c>
      <c r="O115" s="564"/>
      <c r="P115" s="564"/>
      <c r="Q115" s="564"/>
      <c r="R115" s="564"/>
      <c r="S115" s="564"/>
      <c r="T115" s="564"/>
      <c r="U115" s="564"/>
      <c r="V115" s="564"/>
      <c r="W115" s="564"/>
      <c r="X115" s="564"/>
      <c r="Y115" s="564"/>
      <c r="Z115" s="564"/>
      <c r="AA115" s="564"/>
      <c r="AB115" s="564"/>
      <c r="AC115" s="564"/>
      <c r="AD115" s="564"/>
      <c r="AE115" s="564"/>
      <c r="AF115" s="564"/>
      <c r="AG115" s="564"/>
      <c r="AH115" s="564"/>
      <c r="AI115" s="564"/>
      <c r="AJ115" s="564"/>
      <c r="AK115" s="564"/>
      <c r="AL115" s="564"/>
      <c r="AM115" s="564"/>
      <c r="AN115" s="564"/>
      <c r="AO115" s="564"/>
      <c r="AP115" s="564"/>
      <c r="AQ115" s="564"/>
      <c r="AR115" s="564"/>
      <c r="AS115" s="564"/>
      <c r="AT115" s="564"/>
      <c r="AU115" s="564"/>
    </row>
    <row r="116" spans="1:47">
      <c r="A116" s="563"/>
      <c r="B116" s="563" t="s">
        <v>427</v>
      </c>
      <c r="C116" s="563"/>
      <c r="D116" s="639">
        <f>D87*1000000/ECO!G$64*100</f>
        <v>4.6118660731111569E-3</v>
      </c>
      <c r="E116" s="639">
        <f>E87*1000000/ECO!H$64*100</f>
        <v>3.8048275480966195E-3</v>
      </c>
      <c r="F116" s="639">
        <f>F87*1000000/ECO!I$64*100</f>
        <v>3.8472180657134333E-3</v>
      </c>
      <c r="G116" s="639">
        <f>G87*1000000/ECO!J$64*100</f>
        <v>5.2680105850810895E-3</v>
      </c>
      <c r="H116" s="639">
        <f>H87*1000000/ECO!K$64*100</f>
        <v>4.9988151961882906E-3</v>
      </c>
      <c r="I116" s="639">
        <f>I87*1000000/ECO!L$64*100</f>
        <v>4.7348576843307859E-3</v>
      </c>
      <c r="J116" s="639">
        <f>J87*1000000/ECO!M$64*100</f>
        <v>5.1978693507356601E-3</v>
      </c>
      <c r="K116" s="639">
        <f>K87*1000000/ECO!N$64*100</f>
        <v>5.4929227529898527E-3</v>
      </c>
      <c r="L116" s="639">
        <f>L87*1000000/ECO!O$64*100</f>
        <v>5.2467160306977484E-3</v>
      </c>
      <c r="M116" s="639">
        <f>M87*1000000/ECO!P$64*100</f>
        <v>5.1572209274174281E-3</v>
      </c>
      <c r="N116" s="639">
        <f>N87*1000000/ECO!Q$64*100</f>
        <v>5.0141976371200899E-3</v>
      </c>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564"/>
      <c r="AL116" s="564"/>
      <c r="AM116" s="564"/>
      <c r="AN116" s="564"/>
      <c r="AO116" s="564"/>
      <c r="AP116" s="564"/>
      <c r="AQ116" s="564"/>
      <c r="AR116" s="564"/>
      <c r="AS116" s="564"/>
      <c r="AT116" s="564"/>
      <c r="AU116" s="564"/>
    </row>
    <row r="117" spans="1:47">
      <c r="A117" s="563"/>
      <c r="B117" s="563" t="s">
        <v>446</v>
      </c>
      <c r="C117" s="563"/>
      <c r="D117" s="639">
        <f>D88*1000000/ECO!G$64*100</f>
        <v>3.1733950720025716</v>
      </c>
      <c r="E117" s="639">
        <f>E88*1000000/ECO!H$64*100</f>
        <v>3.0190390114505457</v>
      </c>
      <c r="F117" s="639">
        <f>F88*1000000/ECO!I$64*100</f>
        <v>2.8696740270856296</v>
      </c>
      <c r="G117" s="639">
        <f>G88*1000000/ECO!J$64*100</f>
        <v>2.8268720915711034</v>
      </c>
      <c r="H117" s="639">
        <f>H88*1000000/ECO!K$64*100</f>
        <v>3.233721477962471</v>
      </c>
      <c r="I117" s="639">
        <f>I88*1000000/ECO!L$64*100</f>
        <v>3.1808142221278923</v>
      </c>
      <c r="J117" s="639">
        <f>J88*1000000/ECO!M$64*100</f>
        <v>2.9587715731672839</v>
      </c>
      <c r="K117" s="639">
        <f>K88*1000000/ECO!N$64*100</f>
        <v>2.7570918838514489</v>
      </c>
      <c r="L117" s="639">
        <f>L88*1000000/ECO!O$64*100</f>
        <v>2.5691744472310374</v>
      </c>
      <c r="M117" s="639">
        <f>M88*1000000/ECO!P$64*100</f>
        <v>2.3932984510594366</v>
      </c>
      <c r="N117" s="639">
        <f>N88*1000000/ECO!Q$64*100</f>
        <v>2.2287141203388368</v>
      </c>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564"/>
      <c r="AK117" s="564"/>
      <c r="AL117" s="564"/>
      <c r="AM117" s="564"/>
      <c r="AN117" s="564"/>
      <c r="AO117" s="564"/>
      <c r="AP117" s="564"/>
      <c r="AQ117" s="564"/>
      <c r="AR117" s="564"/>
      <c r="AS117" s="564"/>
      <c r="AT117" s="564"/>
      <c r="AU117" s="564"/>
    </row>
    <row r="118" spans="1:47">
      <c r="A118" s="563"/>
      <c r="B118" s="625" t="s">
        <v>442</v>
      </c>
      <c r="C118" s="625"/>
      <c r="D118" s="640">
        <f>D89*1000000/ECO!G$64*100</f>
        <v>93.271571360407307</v>
      </c>
      <c r="E118" s="640">
        <f>E89*1000000/ECO!H$64*100</f>
        <v>85.36962402527007</v>
      </c>
      <c r="F118" s="640">
        <f>F89*1000000/ECO!I$64*100</f>
        <v>83.02399375779072</v>
      </c>
      <c r="G118" s="640">
        <f>G89*1000000/ECO!J$64*100</f>
        <v>80.433500492246694</v>
      </c>
      <c r="H118" s="640">
        <f>H89*1000000/ECO!K$64*100</f>
        <v>78.134927583852374</v>
      </c>
      <c r="I118" s="640">
        <f>I89*1000000/ECO!L$64*100</f>
        <v>76.251221357605701</v>
      </c>
      <c r="J118" s="640">
        <f>J89*1000000/ECO!M$64*100</f>
        <v>75.383107339935933</v>
      </c>
      <c r="K118" s="640">
        <f>K89*1000000/ECO!N$64*100</f>
        <v>74.65655328272581</v>
      </c>
      <c r="L118" s="640">
        <f>L89*1000000/ECO!O$64*100</f>
        <v>73.937436302633273</v>
      </c>
      <c r="M118" s="640">
        <f>M89*1000000/ECO!P$64*100</f>
        <v>73.201798545349007</v>
      </c>
      <c r="N118" s="640">
        <f>N89*1000000/ECO!Q$64*100</f>
        <v>72.449160014134577</v>
      </c>
      <c r="O118" s="625"/>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564"/>
      <c r="AM118" s="564"/>
      <c r="AN118" s="564"/>
      <c r="AO118" s="564"/>
      <c r="AP118" s="564"/>
      <c r="AQ118" s="564"/>
      <c r="AR118" s="564"/>
      <c r="AS118" s="564"/>
      <c r="AT118" s="564"/>
      <c r="AU118" s="564"/>
    </row>
    <row r="119" spans="1:47">
      <c r="A119" s="563"/>
      <c r="B119" s="564" t="s">
        <v>447</v>
      </c>
      <c r="C119" s="564"/>
      <c r="D119" s="641">
        <f>D90*1000000/ECO!G$64*100</f>
        <v>0.17203956120396952</v>
      </c>
      <c r="E119" s="641">
        <f>E90*1000000/ECO!H$64*100</f>
        <v>0.14742372800225167</v>
      </c>
      <c r="F119" s="641">
        <f>F90*1000000/ECO!I$64*100</f>
        <v>0.13423093923786308</v>
      </c>
      <c r="G119" s="641">
        <f>G90*1000000/ECO!J$64*100</f>
        <v>0.12175055955887461</v>
      </c>
      <c r="H119" s="641">
        <f>H90*1000000/ECO!K$64*100</f>
        <v>0.11072971902743832</v>
      </c>
      <c r="I119" s="641">
        <f>I90*1000000/ECO!L$64*100</f>
        <v>0.1011697731371408</v>
      </c>
      <c r="J119" s="641">
        <f>J90*1000000/ECO!M$64*100</f>
        <v>8.3820337308587803E-2</v>
      </c>
      <c r="K119" s="641">
        <f>K90*1000000/ECO!N$64*100</f>
        <v>6.9568830331942277E-2</v>
      </c>
      <c r="L119" s="641">
        <f>L90*1000000/ECO!O$64*100</f>
        <v>5.7740767298600983E-2</v>
      </c>
      <c r="M119" s="641">
        <f>M90*1000000/ECO!P$64*100</f>
        <v>4.7908360812937978E-2</v>
      </c>
      <c r="N119" s="641">
        <f>N90*1000000/ECO!Q$64*100</f>
        <v>3.9736930034382924E-2</v>
      </c>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4"/>
      <c r="AK119" s="564"/>
      <c r="AL119" s="564"/>
      <c r="AM119" s="564"/>
      <c r="AN119" s="564"/>
      <c r="AO119" s="564"/>
      <c r="AP119" s="564"/>
      <c r="AQ119" s="564"/>
      <c r="AR119" s="564"/>
      <c r="AS119" s="564"/>
      <c r="AT119" s="564"/>
      <c r="AU119" s="564"/>
    </row>
    <row r="120" spans="1:47">
      <c r="A120" s="563"/>
      <c r="B120" s="564" t="s">
        <v>360</v>
      </c>
      <c r="C120" s="564"/>
      <c r="D120" s="641">
        <f>D91*1000000/ECO!G$64*100</f>
        <v>31.090523786802436</v>
      </c>
      <c r="E120" s="641">
        <f>E91*1000000/ECO!H$64*100</f>
        <v>28.45654134175669</v>
      </c>
      <c r="F120" s="641">
        <f>F91*1000000/ECO!I$64*100</f>
        <v>27.674664585930241</v>
      </c>
      <c r="G120" s="641">
        <f>G91*1000000/ECO!J$64*100</f>
        <v>26.811166830748896</v>
      </c>
      <c r="H120" s="641">
        <f>H91*1000000/ECO!K$64*100</f>
        <v>26.044975861284126</v>
      </c>
      <c r="I120" s="641">
        <f>I91*1000000/ECO!L$64*100</f>
        <v>25.417073785868567</v>
      </c>
      <c r="J120" s="641">
        <f>J91*1000000/ECO!M$64*100</f>
        <v>25.127702446645312</v>
      </c>
      <c r="K120" s="641">
        <f>K91*1000000/ECO!N$64*100</f>
        <v>24.885517760908613</v>
      </c>
      <c r="L120" s="641">
        <f>L91*1000000/ECO!O$64*100</f>
        <v>24.645812100877762</v>
      </c>
      <c r="M120" s="641">
        <f>M91*1000000/ECO!P$64*100</f>
        <v>24.40059951511634</v>
      </c>
      <c r="N120" s="641">
        <f>N91*1000000/ECO!Q$64*100</f>
        <v>24.149720004711529</v>
      </c>
      <c r="O120" s="564"/>
      <c r="P120" s="564"/>
      <c r="Q120" s="564"/>
      <c r="R120" s="564"/>
      <c r="S120" s="564"/>
      <c r="T120" s="564"/>
      <c r="U120" s="564"/>
      <c r="V120" s="564"/>
      <c r="W120" s="564"/>
      <c r="X120" s="564"/>
      <c r="Y120" s="564"/>
      <c r="Z120" s="564"/>
      <c r="AA120" s="564"/>
      <c r="AB120" s="564"/>
      <c r="AC120" s="564"/>
      <c r="AD120" s="564"/>
      <c r="AE120" s="564"/>
      <c r="AF120" s="564"/>
      <c r="AG120" s="564"/>
      <c r="AH120" s="564"/>
      <c r="AI120" s="564"/>
      <c r="AJ120" s="564"/>
      <c r="AK120" s="564"/>
      <c r="AL120" s="564"/>
      <c r="AM120" s="564"/>
      <c r="AN120" s="564"/>
      <c r="AO120" s="564"/>
      <c r="AP120" s="564"/>
      <c r="AQ120" s="564"/>
      <c r="AR120" s="564"/>
      <c r="AS120" s="564"/>
      <c r="AT120" s="564"/>
      <c r="AU120" s="564"/>
    </row>
    <row r="121" spans="1:47">
      <c r="A121" s="563"/>
      <c r="B121" s="632" t="s">
        <v>448</v>
      </c>
      <c r="C121" s="632"/>
      <c r="D121" s="642">
        <f>D92*1000000/ECO!G$64*100</f>
        <v>0.51611868361190871</v>
      </c>
      <c r="E121" s="642">
        <f>E92*1000000/ECO!H$64*100</f>
        <v>0.44227118400675519</v>
      </c>
      <c r="F121" s="642">
        <f>F92*1000000/ECO!I$64*100</f>
        <v>0.40269281771358933</v>
      </c>
      <c r="G121" s="642">
        <f>G92*1000000/ECO!J$64*100</f>
        <v>0.36525167867662395</v>
      </c>
      <c r="H121" s="642">
        <f>H92*1000000/ECO!K$64*100</f>
        <v>0.33218915708231511</v>
      </c>
      <c r="I121" s="642">
        <f>I92*1000000/ECO!L$64*100</f>
        <v>0.30350931941142245</v>
      </c>
      <c r="J121" s="642">
        <f>J92*1000000/ECO!M$64*100</f>
        <v>0.25146101192576342</v>
      </c>
      <c r="K121" s="642">
        <f>K92*1000000/ECO!N$64*100</f>
        <v>0.20870649099582686</v>
      </c>
      <c r="L121" s="642">
        <f>L92*1000000/ECO!O$64*100</f>
        <v>0.17322230189580298</v>
      </c>
      <c r="M121" s="642">
        <f>M92*1000000/ECO!P$64*100</f>
        <v>0.14372508243881396</v>
      </c>
      <c r="N121" s="642">
        <f>N92*1000000/ECO!Q$64*100</f>
        <v>0.11921079010314881</v>
      </c>
      <c r="O121" s="632"/>
      <c r="P121" s="564"/>
      <c r="Q121" s="564"/>
      <c r="R121" s="564"/>
      <c r="S121" s="564"/>
      <c r="T121" s="564"/>
      <c r="U121" s="564"/>
      <c r="V121" s="564"/>
      <c r="W121" s="564"/>
      <c r="X121" s="564"/>
      <c r="Y121" s="564"/>
      <c r="Z121" s="564"/>
      <c r="AA121" s="564"/>
      <c r="AB121" s="564"/>
      <c r="AC121" s="564"/>
      <c r="AD121" s="564"/>
      <c r="AE121" s="564"/>
      <c r="AF121" s="564"/>
      <c r="AG121" s="564"/>
      <c r="AH121" s="564"/>
      <c r="AI121" s="564"/>
      <c r="AJ121" s="564"/>
      <c r="AK121" s="564"/>
      <c r="AL121" s="564"/>
      <c r="AM121" s="564"/>
      <c r="AN121" s="564"/>
      <c r="AO121" s="564"/>
      <c r="AP121" s="564"/>
      <c r="AQ121" s="564"/>
      <c r="AR121" s="564"/>
      <c r="AS121" s="564"/>
      <c r="AT121" s="564"/>
      <c r="AU121" s="564"/>
    </row>
    <row r="122" spans="1:47">
      <c r="A122" s="563"/>
      <c r="B122" s="563"/>
      <c r="C122" s="563"/>
      <c r="D122" s="563"/>
      <c r="E122" s="563"/>
      <c r="F122" s="563"/>
      <c r="G122" s="563"/>
      <c r="H122" s="563"/>
      <c r="I122" s="563"/>
      <c r="J122" s="563"/>
      <c r="K122" s="563"/>
      <c r="L122" s="563"/>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4"/>
      <c r="AP122" s="564"/>
      <c r="AQ122" s="564"/>
      <c r="AR122" s="564"/>
      <c r="AS122" s="564"/>
      <c r="AT122" s="564"/>
      <c r="AU122" s="564"/>
    </row>
    <row r="123" spans="1:47">
      <c r="A123" s="563"/>
      <c r="B123" s="563"/>
      <c r="C123" s="563"/>
      <c r="D123" s="563"/>
      <c r="E123" s="563"/>
      <c r="F123" s="563"/>
      <c r="G123" s="563"/>
      <c r="H123" s="563"/>
      <c r="I123" s="563"/>
      <c r="J123" s="563"/>
      <c r="K123" s="563"/>
      <c r="L123" s="563"/>
      <c r="M123" s="564"/>
      <c r="N123" s="564"/>
      <c r="O123" s="564"/>
      <c r="P123" s="564"/>
      <c r="Q123" s="564"/>
      <c r="R123" s="564"/>
      <c r="S123" s="564"/>
      <c r="T123" s="564"/>
      <c r="U123" s="564"/>
      <c r="V123" s="564"/>
      <c r="W123" s="564"/>
      <c r="X123" s="564"/>
      <c r="Y123" s="564"/>
      <c r="Z123" s="564"/>
      <c r="AA123" s="564"/>
      <c r="AB123" s="564"/>
      <c r="AC123" s="564"/>
      <c r="AD123" s="564"/>
      <c r="AE123" s="564"/>
      <c r="AF123" s="564"/>
      <c r="AG123" s="564"/>
      <c r="AH123" s="564"/>
      <c r="AI123" s="564"/>
      <c r="AJ123" s="564"/>
      <c r="AK123" s="564"/>
      <c r="AL123" s="564"/>
      <c r="AM123" s="564"/>
      <c r="AN123" s="564"/>
      <c r="AO123" s="564"/>
      <c r="AP123" s="564"/>
      <c r="AQ123" s="564"/>
      <c r="AR123" s="564"/>
      <c r="AS123" s="564"/>
      <c r="AT123" s="564"/>
      <c r="AU123" s="564"/>
    </row>
    <row r="124" spans="1:47">
      <c r="A124" s="563"/>
      <c r="B124" s="563"/>
      <c r="C124" s="563"/>
      <c r="D124" s="563"/>
      <c r="E124" s="563"/>
      <c r="F124" s="563"/>
      <c r="G124" s="563"/>
      <c r="H124" s="563"/>
      <c r="I124" s="563"/>
      <c r="J124" s="563"/>
      <c r="K124" s="563"/>
      <c r="L124" s="563"/>
      <c r="M124" s="564"/>
      <c r="N124" s="564"/>
      <c r="O124" s="564"/>
      <c r="P124" s="564"/>
      <c r="Q124" s="564"/>
      <c r="R124" s="564"/>
      <c r="S124" s="564"/>
      <c r="T124" s="564"/>
      <c r="U124" s="564"/>
      <c r="V124" s="564"/>
      <c r="W124" s="564"/>
      <c r="X124" s="564"/>
      <c r="Y124" s="564"/>
      <c r="Z124" s="564"/>
      <c r="AA124" s="564"/>
      <c r="AB124" s="564"/>
      <c r="AC124" s="564"/>
      <c r="AD124" s="564"/>
      <c r="AE124" s="564"/>
      <c r="AF124" s="564"/>
      <c r="AG124" s="564"/>
      <c r="AH124" s="564"/>
      <c r="AI124" s="564"/>
      <c r="AJ124" s="564"/>
      <c r="AK124" s="564"/>
      <c r="AL124" s="564"/>
      <c r="AM124" s="564"/>
      <c r="AN124" s="564"/>
      <c r="AO124" s="564"/>
      <c r="AP124" s="564"/>
      <c r="AQ124" s="564"/>
      <c r="AR124" s="564"/>
      <c r="AS124" s="564"/>
      <c r="AT124" s="564"/>
      <c r="AU124" s="564"/>
    </row>
    <row r="125" spans="1:47">
      <c r="A125" s="563"/>
      <c r="B125" s="565" t="s">
        <v>525</v>
      </c>
      <c r="C125" s="563"/>
      <c r="D125" s="563"/>
      <c r="E125" s="563"/>
      <c r="F125" s="563"/>
      <c r="G125" s="563"/>
      <c r="H125" s="563"/>
      <c r="I125" s="563"/>
      <c r="J125" s="563"/>
      <c r="K125" s="563"/>
      <c r="L125" s="563"/>
      <c r="M125" s="564"/>
      <c r="N125" s="564"/>
      <c r="O125" s="564"/>
      <c r="P125" s="564"/>
      <c r="Q125" s="564"/>
      <c r="R125" s="564"/>
      <c r="S125" s="564"/>
      <c r="T125" s="564"/>
      <c r="U125" s="564"/>
      <c r="V125" s="564"/>
      <c r="W125" s="564"/>
      <c r="X125" s="564"/>
      <c r="Y125" s="564"/>
      <c r="Z125" s="564"/>
      <c r="AA125" s="564"/>
      <c r="AB125" s="564"/>
      <c r="AC125" s="564"/>
      <c r="AD125" s="564"/>
      <c r="AE125" s="564"/>
      <c r="AF125" s="564"/>
      <c r="AG125" s="564"/>
      <c r="AH125" s="564"/>
      <c r="AI125" s="564"/>
      <c r="AJ125" s="564"/>
      <c r="AK125" s="564"/>
      <c r="AL125" s="564"/>
      <c r="AM125" s="564"/>
      <c r="AN125" s="564"/>
      <c r="AO125" s="564"/>
      <c r="AP125" s="564"/>
      <c r="AQ125" s="564"/>
      <c r="AR125" s="564"/>
      <c r="AS125" s="564"/>
      <c r="AT125" s="564"/>
      <c r="AU125" s="564"/>
    </row>
    <row r="126" spans="1:47">
      <c r="A126" s="563"/>
      <c r="B126" s="563"/>
      <c r="C126" s="563"/>
      <c r="D126" s="565" t="s">
        <v>449</v>
      </c>
      <c r="E126" s="563"/>
      <c r="F126" s="563"/>
      <c r="G126" s="563"/>
      <c r="H126" s="563"/>
      <c r="I126" s="563"/>
      <c r="J126" s="563"/>
      <c r="K126" s="563"/>
      <c r="L126" s="563"/>
      <c r="M126" s="563"/>
      <c r="N126" s="563"/>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row>
    <row r="127" spans="1:47">
      <c r="A127" s="563"/>
      <c r="B127" s="643"/>
      <c r="C127" s="643"/>
      <c r="D127" s="643">
        <v>2010</v>
      </c>
      <c r="E127" s="643">
        <v>2011</v>
      </c>
      <c r="F127" s="643">
        <v>2012</v>
      </c>
      <c r="G127" s="643">
        <v>2013</v>
      </c>
      <c r="H127" s="643">
        <v>2014</v>
      </c>
      <c r="I127" s="643">
        <v>2015</v>
      </c>
      <c r="J127" s="643">
        <v>2016</v>
      </c>
      <c r="K127" s="643">
        <v>2017</v>
      </c>
      <c r="L127" s="643">
        <v>2018</v>
      </c>
      <c r="M127" s="643">
        <v>2019</v>
      </c>
      <c r="N127" s="643">
        <v>2020</v>
      </c>
      <c r="O127" s="643"/>
      <c r="P127" s="564"/>
      <c r="Q127" s="564"/>
      <c r="R127" s="564"/>
      <c r="S127" s="564"/>
      <c r="T127" s="564"/>
      <c r="U127" s="564"/>
      <c r="V127" s="564"/>
      <c r="W127" s="564"/>
      <c r="X127" s="564"/>
      <c r="Y127" s="564"/>
      <c r="Z127" s="564"/>
      <c r="AA127" s="564"/>
      <c r="AB127" s="564"/>
      <c r="AC127" s="564"/>
      <c r="AD127" s="564"/>
      <c r="AE127" s="564"/>
      <c r="AF127" s="564"/>
      <c r="AG127" s="564"/>
      <c r="AH127" s="564"/>
      <c r="AI127" s="564"/>
      <c r="AJ127" s="564"/>
      <c r="AK127" s="564"/>
      <c r="AL127" s="564"/>
      <c r="AM127" s="564"/>
      <c r="AN127" s="564"/>
      <c r="AO127" s="564"/>
      <c r="AP127" s="564"/>
      <c r="AQ127" s="564"/>
      <c r="AR127" s="564"/>
      <c r="AS127" s="564"/>
      <c r="AT127" s="564"/>
      <c r="AU127" s="564"/>
    </row>
    <row r="128" spans="1:47">
      <c r="A128" s="563"/>
      <c r="B128" s="625" t="s">
        <v>444</v>
      </c>
      <c r="C128" s="625"/>
      <c r="D128" s="640">
        <f>D83/D70*100</f>
        <v>100</v>
      </c>
      <c r="E128" s="640">
        <f t="shared" ref="E128:N128" si="11">E83/E70*100</f>
        <v>129.63468709684676</v>
      </c>
      <c r="F128" s="640">
        <f t="shared" si="11"/>
        <v>125.75799748270188</v>
      </c>
      <c r="G128" s="640">
        <f t="shared" si="11"/>
        <v>118.41114550211826</v>
      </c>
      <c r="H128" s="640">
        <f t="shared" si="11"/>
        <v>108.37858658351959</v>
      </c>
      <c r="I128" s="640">
        <f t="shared" si="11"/>
        <v>100</v>
      </c>
      <c r="J128" s="640">
        <f t="shared" si="11"/>
        <v>99.062413162011211</v>
      </c>
      <c r="K128" s="640">
        <f t="shared" si="11"/>
        <v>98.850923075461054</v>
      </c>
      <c r="L128" s="640">
        <f t="shared" si="11"/>
        <v>98.737461109830804</v>
      </c>
      <c r="M128" s="640">
        <f t="shared" si="11"/>
        <v>98.920123501849417</v>
      </c>
      <c r="N128" s="640">
        <f t="shared" si="11"/>
        <v>100</v>
      </c>
      <c r="O128" s="625"/>
      <c r="P128" s="564"/>
      <c r="Q128" s="564"/>
      <c r="R128" s="564"/>
      <c r="S128" s="564"/>
      <c r="T128" s="564"/>
      <c r="U128" s="564"/>
      <c r="V128" s="564"/>
      <c r="W128" s="564"/>
      <c r="X128" s="564"/>
      <c r="Y128" s="564"/>
      <c r="Z128" s="564"/>
      <c r="AA128" s="564"/>
      <c r="AB128" s="564"/>
      <c r="AC128" s="564"/>
      <c r="AD128" s="564"/>
      <c r="AE128" s="564"/>
      <c r="AF128" s="564"/>
      <c r="AG128" s="564"/>
      <c r="AH128" s="564"/>
      <c r="AI128" s="564"/>
      <c r="AJ128" s="564"/>
      <c r="AK128" s="564"/>
      <c r="AL128" s="564"/>
      <c r="AM128" s="564"/>
      <c r="AN128" s="564"/>
      <c r="AO128" s="564"/>
      <c r="AP128" s="564"/>
      <c r="AQ128" s="564"/>
      <c r="AR128" s="564"/>
      <c r="AS128" s="564"/>
      <c r="AT128" s="564"/>
      <c r="AU128" s="564"/>
    </row>
    <row r="129" spans="1:47">
      <c r="A129" s="563"/>
      <c r="B129" s="564" t="s">
        <v>445</v>
      </c>
      <c r="C129" s="564"/>
      <c r="D129" s="641">
        <f t="shared" ref="D129:N137" si="12">D84/D71*100</f>
        <v>44.800947923112879</v>
      </c>
      <c r="E129" s="641">
        <f t="shared" si="12"/>
        <v>44.967360631286702</v>
      </c>
      <c r="F129" s="641">
        <f t="shared" si="12"/>
        <v>40.986702705334018</v>
      </c>
      <c r="G129" s="641">
        <f t="shared" si="12"/>
        <v>39.398404554991075</v>
      </c>
      <c r="H129" s="641">
        <f t="shared" si="12"/>
        <v>56.991008330958124</v>
      </c>
      <c r="I129" s="641">
        <f t="shared" si="12"/>
        <v>52.150947208219392</v>
      </c>
      <c r="J129" s="641">
        <f t="shared" si="12"/>
        <v>48.0757657453943</v>
      </c>
      <c r="K129" s="641">
        <f t="shared" si="12"/>
        <v>48.695430020000458</v>
      </c>
      <c r="L129" s="641">
        <f t="shared" si="12"/>
        <v>45.115898700212227</v>
      </c>
      <c r="M129" s="641">
        <f t="shared" si="12"/>
        <v>47.472398119063229</v>
      </c>
      <c r="N129" s="641">
        <f t="shared" si="12"/>
        <v>46.703275815051519</v>
      </c>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row>
    <row r="130" spans="1:47">
      <c r="A130" s="563"/>
      <c r="B130" s="564" t="s">
        <v>441</v>
      </c>
      <c r="C130" s="564"/>
      <c r="D130" s="641">
        <f t="shared" si="12"/>
        <v>27.556689942101887</v>
      </c>
      <c r="E130" s="641">
        <f t="shared" si="12"/>
        <v>25.312234241111558</v>
      </c>
      <c r="F130" s="641">
        <f t="shared" si="12"/>
        <v>21.530769521746848</v>
      </c>
      <c r="G130" s="641">
        <f t="shared" si="12"/>
        <v>19.819328051974484</v>
      </c>
      <c r="H130" s="641">
        <f t="shared" si="12"/>
        <v>14.981670060662994</v>
      </c>
      <c r="I130" s="641">
        <f t="shared" si="12"/>
        <v>14.004316521144187</v>
      </c>
      <c r="J130" s="641">
        <f t="shared" si="12"/>
        <v>11.873047107609871</v>
      </c>
      <c r="K130" s="641">
        <f t="shared" si="12"/>
        <v>11.006442048515892</v>
      </c>
      <c r="L130" s="641">
        <f t="shared" si="12"/>
        <v>9.2002166901071547</v>
      </c>
      <c r="M130" s="641">
        <f t="shared" si="12"/>
        <v>9.1545813199779307</v>
      </c>
      <c r="N130" s="641">
        <f t="shared" si="12"/>
        <v>8.5724274638130975</v>
      </c>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row>
    <row r="131" spans="1:47">
      <c r="A131" s="563"/>
      <c r="B131" s="564" t="s">
        <v>396</v>
      </c>
      <c r="C131" s="564"/>
      <c r="D131" s="641">
        <f t="shared" si="12"/>
        <v>77.763447471134896</v>
      </c>
      <c r="E131" s="641">
        <f t="shared" si="12"/>
        <v>77.615654731446583</v>
      </c>
      <c r="F131" s="641">
        <f t="shared" si="12"/>
        <v>77.892800278244579</v>
      </c>
      <c r="G131" s="641">
        <f t="shared" si="12"/>
        <v>77.973741953879568</v>
      </c>
      <c r="H131" s="641">
        <f t="shared" si="12"/>
        <v>79.372781063968731</v>
      </c>
      <c r="I131" s="641">
        <f t="shared" si="12"/>
        <v>79.17314189340695</v>
      </c>
      <c r="J131" s="641">
        <f t="shared" si="12"/>
        <v>80.331472440082734</v>
      </c>
      <c r="K131" s="641">
        <f t="shared" si="12"/>
        <v>80.09652479367297</v>
      </c>
      <c r="L131" s="641">
        <f t="shared" si="12"/>
        <v>79.435828464949822</v>
      </c>
      <c r="M131" s="641">
        <f t="shared" si="12"/>
        <v>79.582753315241334</v>
      </c>
      <c r="N131" s="641">
        <f t="shared" si="12"/>
        <v>80.258600734940217</v>
      </c>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row>
    <row r="132" spans="1:47">
      <c r="A132" s="563"/>
      <c r="B132" s="564" t="s">
        <v>427</v>
      </c>
      <c r="C132" s="564"/>
      <c r="D132" s="641">
        <f t="shared" si="12"/>
        <v>46.725935736900396</v>
      </c>
      <c r="E132" s="641">
        <f t="shared" si="12"/>
        <v>40.850303539922741</v>
      </c>
      <c r="F132" s="641">
        <f t="shared" si="12"/>
        <v>41.194565604879308</v>
      </c>
      <c r="G132" s="641">
        <f t="shared" si="12"/>
        <v>56.47282059901638</v>
      </c>
      <c r="H132" s="641">
        <f t="shared" si="12"/>
        <v>53.50381421674517</v>
      </c>
      <c r="I132" s="641">
        <f t="shared" si="12"/>
        <v>50.368157815938005</v>
      </c>
      <c r="J132" s="641">
        <f t="shared" si="12"/>
        <v>56.939808467588506</v>
      </c>
      <c r="K132" s="641">
        <f t="shared" si="12"/>
        <v>61.854168128277507</v>
      </c>
      <c r="L132" s="641">
        <f t="shared" si="12"/>
        <v>60.73308228494372</v>
      </c>
      <c r="M132" s="641">
        <f t="shared" si="12"/>
        <v>61.385369207728623</v>
      </c>
      <c r="N132" s="641">
        <f t="shared" si="12"/>
        <v>61.391425463799919</v>
      </c>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row>
    <row r="133" spans="1:47">
      <c r="A133" s="563"/>
      <c r="B133" s="564" t="s">
        <v>454</v>
      </c>
      <c r="C133" s="564"/>
      <c r="D133" s="641">
        <f t="shared" si="12"/>
        <v>44.878592499528487</v>
      </c>
      <c r="E133" s="641">
        <f t="shared" si="12"/>
        <v>43.07988103889172</v>
      </c>
      <c r="F133" s="641">
        <f t="shared" si="12"/>
        <v>38.885066525537724</v>
      </c>
      <c r="G133" s="641">
        <f t="shared" si="12"/>
        <v>36.514709448771868</v>
      </c>
      <c r="H133" s="641">
        <f t="shared" si="12"/>
        <v>39.710085187898493</v>
      </c>
      <c r="I133" s="641">
        <f t="shared" si="12"/>
        <v>36.964061356301272</v>
      </c>
      <c r="J133" s="641">
        <f t="shared" si="12"/>
        <v>34.937193891209702</v>
      </c>
      <c r="K133" s="641">
        <f t="shared" si="12"/>
        <v>33.021466586866346</v>
      </c>
      <c r="L133" s="641">
        <f t="shared" si="12"/>
        <v>31.210785243456058</v>
      </c>
      <c r="M133" s="641">
        <f t="shared" si="12"/>
        <v>29.499389827239508</v>
      </c>
      <c r="N133" s="641">
        <f t="shared" si="12"/>
        <v>27.881836147070331</v>
      </c>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row>
    <row r="134" spans="1:47">
      <c r="A134" s="563"/>
      <c r="B134" s="564" t="s">
        <v>442</v>
      </c>
      <c r="C134" s="564"/>
      <c r="D134" s="641">
        <f t="shared" si="12"/>
        <v>100</v>
      </c>
      <c r="E134" s="641">
        <f t="shared" si="12"/>
        <v>100</v>
      </c>
      <c r="F134" s="641">
        <f t="shared" si="12"/>
        <v>100</v>
      </c>
      <c r="G134" s="641">
        <f t="shared" si="12"/>
        <v>100</v>
      </c>
      <c r="H134" s="641">
        <f t="shared" si="12"/>
        <v>100</v>
      </c>
      <c r="I134" s="641">
        <f t="shared" si="12"/>
        <v>100</v>
      </c>
      <c r="J134" s="641">
        <f t="shared" si="12"/>
        <v>100</v>
      </c>
      <c r="K134" s="641">
        <f t="shared" si="12"/>
        <v>100</v>
      </c>
      <c r="L134" s="641">
        <f t="shared" si="12"/>
        <v>100</v>
      </c>
      <c r="M134" s="641">
        <f t="shared" si="12"/>
        <v>100</v>
      </c>
      <c r="N134" s="641">
        <f t="shared" si="12"/>
        <v>100</v>
      </c>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row>
    <row r="135" spans="1:47">
      <c r="A135" s="563"/>
      <c r="B135" s="564" t="s">
        <v>447</v>
      </c>
      <c r="C135" s="564"/>
      <c r="D135" s="641">
        <f t="shared" si="12"/>
        <v>44.952954248360825</v>
      </c>
      <c r="E135" s="641">
        <f t="shared" si="12"/>
        <v>43.240413560336819</v>
      </c>
      <c r="F135" s="641">
        <f t="shared" si="12"/>
        <v>41.593114315443195</v>
      </c>
      <c r="G135" s="641">
        <f t="shared" si="12"/>
        <v>40.00857105687799</v>
      </c>
      <c r="H135" s="641">
        <f t="shared" si="12"/>
        <v>38.484393014517146</v>
      </c>
      <c r="I135" s="641">
        <f t="shared" si="12"/>
        <v>37.018280497703635</v>
      </c>
      <c r="J135" s="641">
        <f t="shared" si="12"/>
        <v>34.978184775806952</v>
      </c>
      <c r="K135" s="641">
        <f t="shared" si="12"/>
        <v>33.050519736765985</v>
      </c>
      <c r="L135" s="641">
        <f t="shared" si="12"/>
        <v>31.22908927011801</v>
      </c>
      <c r="M135" s="641">
        <f t="shared" si="12"/>
        <v>29.508038736108215</v>
      </c>
      <c r="N135" s="641">
        <f t="shared" si="12"/>
        <v>27.881836147070327</v>
      </c>
      <c r="O135" s="564"/>
      <c r="P135" s="564"/>
      <c r="Q135" s="564"/>
      <c r="R135" s="564"/>
      <c r="S135" s="564"/>
      <c r="T135" s="564"/>
      <c r="U135" s="564"/>
      <c r="V135" s="564"/>
      <c r="W135" s="564"/>
      <c r="X135" s="564"/>
      <c r="Y135" s="564"/>
      <c r="Z135" s="564"/>
      <c r="AA135" s="564"/>
      <c r="AB135" s="564"/>
      <c r="AC135" s="564"/>
      <c r="AD135" s="564"/>
      <c r="AE135" s="564"/>
      <c r="AF135" s="564"/>
      <c r="AG135" s="564"/>
      <c r="AH135" s="564"/>
      <c r="AI135" s="564"/>
      <c r="AJ135" s="564"/>
      <c r="AK135" s="564"/>
      <c r="AL135" s="564"/>
      <c r="AM135" s="564"/>
      <c r="AN135" s="564"/>
      <c r="AO135" s="564"/>
      <c r="AP135" s="564"/>
      <c r="AQ135" s="564"/>
      <c r="AR135" s="564"/>
      <c r="AS135" s="564"/>
      <c r="AT135" s="564"/>
      <c r="AU135" s="564"/>
    </row>
    <row r="136" spans="1:47">
      <c r="A136" s="563"/>
      <c r="B136" s="566" t="s">
        <v>360</v>
      </c>
      <c r="C136" s="566"/>
      <c r="D136" s="641">
        <f t="shared" si="12"/>
        <v>100</v>
      </c>
      <c r="E136" s="641">
        <f t="shared" si="12"/>
        <v>100</v>
      </c>
      <c r="F136" s="641">
        <f t="shared" si="12"/>
        <v>100</v>
      </c>
      <c r="G136" s="641">
        <f t="shared" si="12"/>
        <v>100</v>
      </c>
      <c r="H136" s="641">
        <f t="shared" si="12"/>
        <v>100</v>
      </c>
      <c r="I136" s="641">
        <f t="shared" si="12"/>
        <v>100</v>
      </c>
      <c r="J136" s="641">
        <f t="shared" si="12"/>
        <v>100</v>
      </c>
      <c r="K136" s="641">
        <f t="shared" si="12"/>
        <v>100</v>
      </c>
      <c r="L136" s="641">
        <f t="shared" si="12"/>
        <v>100</v>
      </c>
      <c r="M136" s="641">
        <f t="shared" si="12"/>
        <v>100</v>
      </c>
      <c r="N136" s="641">
        <f t="shared" si="12"/>
        <v>100</v>
      </c>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row>
    <row r="137" spans="1:47">
      <c r="A137" s="563"/>
      <c r="B137" s="632" t="s">
        <v>448</v>
      </c>
      <c r="C137" s="632"/>
      <c r="D137" s="642">
        <f t="shared" si="12"/>
        <v>44.95295424836084</v>
      </c>
      <c r="E137" s="642">
        <f t="shared" si="12"/>
        <v>43.240413560336826</v>
      </c>
      <c r="F137" s="642">
        <f t="shared" si="12"/>
        <v>41.593114315443216</v>
      </c>
      <c r="G137" s="642">
        <f t="shared" si="12"/>
        <v>40.008571056878004</v>
      </c>
      <c r="H137" s="642">
        <f t="shared" si="12"/>
        <v>38.48439301451716</v>
      </c>
      <c r="I137" s="642">
        <f t="shared" si="12"/>
        <v>37.018280497703635</v>
      </c>
      <c r="J137" s="642">
        <f t="shared" si="12"/>
        <v>34.978184775806966</v>
      </c>
      <c r="K137" s="642">
        <f t="shared" si="12"/>
        <v>33.050519736765992</v>
      </c>
      <c r="L137" s="642">
        <f t="shared" si="12"/>
        <v>31.229089270118017</v>
      </c>
      <c r="M137" s="642">
        <f t="shared" si="12"/>
        <v>29.508038736108222</v>
      </c>
      <c r="N137" s="642">
        <f t="shared" si="12"/>
        <v>27.881836147070331</v>
      </c>
      <c r="O137" s="632"/>
      <c r="P137" s="564"/>
      <c r="Q137" s="564"/>
      <c r="R137" s="564"/>
      <c r="S137" s="564"/>
      <c r="T137" s="564"/>
      <c r="U137" s="564"/>
      <c r="V137" s="564"/>
      <c r="W137" s="564"/>
      <c r="X137" s="564"/>
      <c r="Y137" s="564"/>
      <c r="Z137" s="564"/>
      <c r="AA137" s="564"/>
      <c r="AB137" s="564"/>
      <c r="AC137" s="564"/>
      <c r="AD137" s="564"/>
      <c r="AE137" s="564"/>
      <c r="AF137" s="564"/>
      <c r="AG137" s="564"/>
      <c r="AH137" s="564"/>
      <c r="AI137" s="564"/>
      <c r="AJ137" s="564"/>
      <c r="AK137" s="564"/>
      <c r="AL137" s="564"/>
      <c r="AM137" s="564"/>
      <c r="AN137" s="564"/>
      <c r="AO137" s="564"/>
      <c r="AP137" s="564"/>
      <c r="AQ137" s="564"/>
      <c r="AR137" s="564"/>
      <c r="AS137" s="564"/>
      <c r="AT137" s="564"/>
      <c r="AU137" s="564"/>
    </row>
    <row r="138" spans="1:47">
      <c r="A138" s="563"/>
      <c r="B138" s="563"/>
      <c r="C138" s="563"/>
      <c r="D138" s="563"/>
      <c r="E138" s="563"/>
      <c r="F138" s="563"/>
      <c r="G138" s="563"/>
      <c r="H138" s="563"/>
      <c r="I138" s="563"/>
      <c r="J138" s="563"/>
      <c r="K138" s="563"/>
      <c r="L138" s="563"/>
      <c r="M138" s="564"/>
      <c r="N138" s="564"/>
      <c r="O138" s="564"/>
      <c r="P138" s="564"/>
      <c r="Q138" s="564"/>
      <c r="R138" s="564"/>
      <c r="S138" s="564"/>
      <c r="T138" s="564"/>
      <c r="U138" s="564"/>
      <c r="V138" s="564"/>
      <c r="W138" s="564"/>
      <c r="X138" s="564"/>
      <c r="Y138" s="564"/>
      <c r="Z138" s="564"/>
      <c r="AA138" s="564"/>
      <c r="AB138" s="564"/>
      <c r="AC138" s="564"/>
      <c r="AD138" s="564"/>
      <c r="AE138" s="564"/>
      <c r="AF138" s="564"/>
      <c r="AG138" s="564"/>
      <c r="AH138" s="564"/>
      <c r="AI138" s="564"/>
      <c r="AJ138" s="564"/>
      <c r="AK138" s="564"/>
      <c r="AL138" s="564"/>
      <c r="AM138" s="564"/>
      <c r="AN138" s="564"/>
      <c r="AO138" s="564"/>
      <c r="AP138" s="564"/>
      <c r="AQ138" s="564"/>
      <c r="AR138" s="564"/>
      <c r="AS138" s="564"/>
      <c r="AT138" s="564"/>
      <c r="AU138" s="564"/>
    </row>
    <row r="139" spans="1:47">
      <c r="A139" s="563"/>
      <c r="B139" s="563"/>
      <c r="C139" s="563"/>
      <c r="D139" s="563"/>
      <c r="E139" s="563"/>
      <c r="F139" s="563"/>
      <c r="G139" s="563"/>
      <c r="H139" s="563"/>
      <c r="I139" s="563"/>
      <c r="J139" s="563"/>
      <c r="K139" s="563"/>
      <c r="L139" s="563"/>
      <c r="M139" s="564"/>
      <c r="N139" s="564"/>
      <c r="O139" s="564"/>
      <c r="P139" s="564"/>
      <c r="Q139" s="564"/>
      <c r="R139" s="564"/>
      <c r="S139" s="564"/>
      <c r="T139" s="564"/>
      <c r="U139" s="564"/>
      <c r="V139" s="564"/>
      <c r="W139" s="564"/>
      <c r="X139" s="564"/>
      <c r="Y139" s="564"/>
      <c r="Z139" s="564"/>
      <c r="AA139" s="564"/>
      <c r="AB139" s="564"/>
      <c r="AC139" s="564"/>
      <c r="AD139" s="564"/>
      <c r="AE139" s="564"/>
      <c r="AF139" s="564"/>
      <c r="AG139" s="564"/>
      <c r="AH139" s="564"/>
      <c r="AI139" s="564"/>
      <c r="AJ139" s="564"/>
      <c r="AK139" s="564"/>
      <c r="AL139" s="564"/>
      <c r="AM139" s="564"/>
      <c r="AN139" s="564"/>
      <c r="AO139" s="564"/>
      <c r="AP139" s="564"/>
      <c r="AQ139" s="564"/>
      <c r="AR139" s="564"/>
      <c r="AS139" s="564"/>
      <c r="AT139" s="564"/>
      <c r="AU139" s="564"/>
    </row>
    <row r="140" spans="1:47">
      <c r="A140" s="563"/>
      <c r="B140" s="563"/>
      <c r="C140" s="563"/>
      <c r="D140" s="563"/>
      <c r="E140" s="563"/>
      <c r="F140" s="563"/>
      <c r="G140" s="563"/>
      <c r="H140" s="563"/>
      <c r="I140" s="563"/>
      <c r="J140" s="563"/>
      <c r="K140" s="563"/>
      <c r="L140" s="563"/>
      <c r="M140" s="564"/>
      <c r="N140" s="564"/>
      <c r="O140" s="564"/>
      <c r="P140" s="564"/>
      <c r="Q140" s="564"/>
      <c r="R140" s="564"/>
      <c r="S140" s="564"/>
      <c r="T140" s="564"/>
      <c r="U140" s="564"/>
      <c r="V140" s="564"/>
      <c r="W140" s="564"/>
      <c r="X140" s="564"/>
      <c r="Y140" s="564"/>
      <c r="Z140" s="564"/>
      <c r="AA140" s="564"/>
      <c r="AB140" s="564"/>
      <c r="AC140" s="564"/>
      <c r="AD140" s="564"/>
      <c r="AE140" s="564"/>
      <c r="AF140" s="564"/>
      <c r="AG140" s="564"/>
      <c r="AH140" s="564"/>
      <c r="AI140" s="564"/>
      <c r="AJ140" s="564"/>
      <c r="AK140" s="564"/>
      <c r="AL140" s="564"/>
      <c r="AM140" s="564"/>
      <c r="AN140" s="564"/>
      <c r="AO140" s="564"/>
      <c r="AP140" s="564"/>
      <c r="AQ140" s="564"/>
      <c r="AR140" s="564"/>
      <c r="AS140" s="564"/>
      <c r="AT140" s="564"/>
      <c r="AU140" s="564"/>
    </row>
    <row r="141" spans="1:47">
      <c r="A141" s="563"/>
      <c r="B141" s="563"/>
      <c r="C141" s="563"/>
      <c r="D141" s="563"/>
      <c r="E141" s="563"/>
      <c r="F141" s="563"/>
      <c r="G141" s="563"/>
      <c r="H141" s="563"/>
      <c r="I141" s="563"/>
      <c r="J141" s="563"/>
      <c r="K141" s="563"/>
      <c r="L141" s="563"/>
      <c r="M141" s="564"/>
      <c r="N141" s="564"/>
      <c r="O141" s="564"/>
      <c r="P141" s="564"/>
      <c r="Q141" s="564"/>
      <c r="R141" s="564"/>
      <c r="S141" s="564"/>
      <c r="T141" s="564"/>
      <c r="U141" s="564"/>
      <c r="V141" s="564"/>
      <c r="W141" s="564"/>
      <c r="X141" s="564"/>
      <c r="Y141" s="564"/>
      <c r="Z141" s="564"/>
      <c r="AA141" s="564"/>
      <c r="AB141" s="564"/>
      <c r="AC141" s="564"/>
      <c r="AD141" s="564"/>
      <c r="AE141" s="564"/>
      <c r="AF141" s="564"/>
      <c r="AG141" s="564"/>
      <c r="AH141" s="564"/>
      <c r="AI141" s="564"/>
      <c r="AJ141" s="564"/>
      <c r="AK141" s="564"/>
      <c r="AL141" s="564"/>
      <c r="AM141" s="564"/>
      <c r="AN141" s="564"/>
      <c r="AO141" s="564"/>
      <c r="AP141" s="564"/>
      <c r="AQ141" s="564"/>
      <c r="AR141" s="564"/>
      <c r="AS141" s="564"/>
      <c r="AT141" s="564"/>
      <c r="AU141" s="564"/>
    </row>
    <row r="142" spans="1:47">
      <c r="A142" s="563"/>
      <c r="B142" s="563"/>
      <c r="C142" s="563"/>
      <c r="D142" s="563"/>
      <c r="E142" s="563"/>
      <c r="F142" s="563"/>
      <c r="G142" s="563"/>
      <c r="H142" s="563"/>
      <c r="I142" s="563"/>
      <c r="J142" s="563"/>
      <c r="K142" s="563"/>
      <c r="L142" s="563"/>
      <c r="M142" s="564"/>
      <c r="N142" s="564"/>
      <c r="O142" s="564"/>
      <c r="P142" s="564"/>
      <c r="Q142" s="564"/>
      <c r="R142" s="564"/>
      <c r="S142" s="564"/>
      <c r="T142" s="564"/>
      <c r="U142" s="564"/>
      <c r="V142" s="564"/>
      <c r="W142" s="564"/>
      <c r="X142" s="564"/>
      <c r="Y142" s="564"/>
      <c r="Z142" s="564"/>
      <c r="AA142" s="564"/>
      <c r="AB142" s="564"/>
      <c r="AC142" s="564"/>
      <c r="AD142" s="564"/>
      <c r="AE142" s="564"/>
      <c r="AF142" s="564"/>
      <c r="AG142" s="564"/>
      <c r="AH142" s="564"/>
      <c r="AI142" s="564"/>
      <c r="AJ142" s="564"/>
      <c r="AK142" s="564"/>
      <c r="AL142" s="564"/>
      <c r="AM142" s="564"/>
      <c r="AN142" s="564"/>
      <c r="AO142" s="564"/>
      <c r="AP142" s="564"/>
      <c r="AQ142" s="564"/>
      <c r="AR142" s="564"/>
      <c r="AS142" s="564"/>
      <c r="AT142" s="564"/>
      <c r="AU142" s="564"/>
    </row>
    <row r="143" spans="1:47">
      <c r="A143" s="563"/>
      <c r="B143" s="563"/>
      <c r="C143" s="563"/>
      <c r="D143" s="563"/>
      <c r="E143" s="563"/>
      <c r="F143" s="563"/>
      <c r="G143" s="563"/>
      <c r="H143" s="563"/>
      <c r="I143" s="563"/>
      <c r="J143" s="563"/>
      <c r="K143" s="563"/>
      <c r="L143" s="563"/>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4"/>
      <c r="AJ143" s="564"/>
      <c r="AK143" s="564"/>
      <c r="AL143" s="564"/>
      <c r="AM143" s="564"/>
      <c r="AN143" s="564"/>
      <c r="AO143" s="564"/>
      <c r="AP143" s="564"/>
      <c r="AQ143" s="564"/>
      <c r="AR143" s="564"/>
      <c r="AS143" s="564"/>
      <c r="AT143" s="564"/>
      <c r="AU143" s="564"/>
    </row>
    <row r="144" spans="1:47">
      <c r="A144" s="563"/>
      <c r="B144" s="563"/>
      <c r="C144" s="563"/>
      <c r="D144" s="563"/>
      <c r="E144" s="563"/>
      <c r="F144" s="563"/>
      <c r="G144" s="563"/>
      <c r="H144" s="563"/>
      <c r="I144" s="563"/>
      <c r="J144" s="563"/>
      <c r="K144" s="563"/>
      <c r="L144" s="563"/>
      <c r="M144" s="564"/>
      <c r="N144" s="564"/>
      <c r="O144" s="564"/>
      <c r="P144" s="564"/>
      <c r="Q144" s="564"/>
      <c r="R144" s="564"/>
      <c r="S144" s="564"/>
      <c r="T144" s="564"/>
      <c r="U144" s="564"/>
      <c r="V144" s="564"/>
      <c r="W144" s="564"/>
      <c r="X144" s="564"/>
      <c r="Y144" s="564"/>
      <c r="Z144" s="564"/>
      <c r="AA144" s="564"/>
      <c r="AB144" s="564"/>
      <c r="AC144" s="564"/>
      <c r="AD144" s="564"/>
      <c r="AE144" s="564"/>
      <c r="AF144" s="564"/>
      <c r="AG144" s="564"/>
      <c r="AH144" s="564"/>
      <c r="AI144" s="564"/>
      <c r="AJ144" s="564"/>
      <c r="AK144" s="564"/>
      <c r="AL144" s="564"/>
      <c r="AM144" s="564"/>
      <c r="AN144" s="564"/>
      <c r="AO144" s="564"/>
      <c r="AP144" s="564"/>
      <c r="AQ144" s="564"/>
      <c r="AR144" s="564"/>
      <c r="AS144" s="564"/>
      <c r="AT144" s="564"/>
      <c r="AU144" s="564"/>
    </row>
    <row r="145" spans="1:47">
      <c r="A145" s="563"/>
      <c r="B145" s="563"/>
      <c r="C145" s="563"/>
      <c r="D145" s="563"/>
      <c r="E145" s="563"/>
      <c r="F145" s="563"/>
      <c r="G145" s="563"/>
      <c r="H145" s="563"/>
      <c r="I145" s="563"/>
      <c r="J145" s="563"/>
      <c r="K145" s="563"/>
      <c r="L145" s="563"/>
      <c r="M145" s="564"/>
      <c r="N145" s="564"/>
      <c r="O145" s="564"/>
      <c r="P145" s="564"/>
      <c r="Q145" s="564"/>
      <c r="R145" s="564"/>
      <c r="S145" s="564"/>
      <c r="T145" s="564"/>
      <c r="U145" s="564"/>
      <c r="V145" s="564"/>
      <c r="W145" s="564"/>
      <c r="X145" s="564"/>
      <c r="Y145" s="564"/>
      <c r="Z145" s="564"/>
      <c r="AA145" s="564"/>
      <c r="AB145" s="564"/>
      <c r="AC145" s="564"/>
      <c r="AD145" s="564"/>
      <c r="AE145" s="564"/>
      <c r="AF145" s="564"/>
      <c r="AG145" s="564"/>
      <c r="AH145" s="564"/>
      <c r="AI145" s="564"/>
      <c r="AJ145" s="564"/>
      <c r="AK145" s="564"/>
      <c r="AL145" s="564"/>
      <c r="AM145" s="564"/>
      <c r="AN145" s="564"/>
      <c r="AO145" s="564"/>
      <c r="AP145" s="564"/>
      <c r="AQ145" s="564"/>
      <c r="AR145" s="564"/>
      <c r="AS145" s="564"/>
      <c r="AT145" s="564"/>
      <c r="AU145" s="564"/>
    </row>
    <row r="146" spans="1:47">
      <c r="A146" s="563"/>
      <c r="B146" s="563"/>
      <c r="C146" s="563"/>
      <c r="D146" s="563"/>
      <c r="E146" s="563"/>
      <c r="F146" s="563"/>
      <c r="G146" s="563"/>
      <c r="H146" s="563"/>
      <c r="I146" s="563"/>
      <c r="J146" s="563"/>
      <c r="K146" s="563"/>
      <c r="L146" s="563"/>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row>
    <row r="147" spans="1:47">
      <c r="A147" s="563"/>
      <c r="B147" s="563"/>
      <c r="C147" s="563"/>
      <c r="D147" s="563"/>
      <c r="E147" s="563"/>
      <c r="F147" s="563"/>
      <c r="G147" s="563"/>
      <c r="H147" s="563"/>
      <c r="I147" s="563"/>
      <c r="J147" s="563"/>
      <c r="K147" s="563"/>
      <c r="L147" s="563"/>
      <c r="M147" s="564"/>
      <c r="N147" s="564"/>
      <c r="O147" s="564"/>
      <c r="P147" s="564"/>
      <c r="Q147" s="564"/>
      <c r="R147" s="564"/>
      <c r="S147" s="564"/>
      <c r="T147" s="564"/>
      <c r="U147" s="564"/>
      <c r="V147" s="564"/>
      <c r="W147" s="564"/>
      <c r="X147" s="564"/>
      <c r="Y147" s="564"/>
      <c r="Z147" s="564"/>
      <c r="AA147" s="564"/>
      <c r="AB147" s="564"/>
      <c r="AC147" s="564"/>
      <c r="AD147" s="564"/>
      <c r="AE147" s="564"/>
      <c r="AF147" s="564"/>
      <c r="AG147" s="564"/>
      <c r="AH147" s="564"/>
      <c r="AI147" s="564"/>
      <c r="AJ147" s="564"/>
      <c r="AK147" s="564"/>
      <c r="AL147" s="564"/>
      <c r="AM147" s="564"/>
      <c r="AN147" s="564"/>
      <c r="AO147" s="564"/>
      <c r="AP147" s="564"/>
      <c r="AQ147" s="564"/>
      <c r="AR147" s="564"/>
      <c r="AS147" s="564"/>
      <c r="AT147" s="564"/>
      <c r="AU147" s="564"/>
    </row>
    <row r="148" spans="1:47">
      <c r="A148" s="563"/>
      <c r="B148" s="563"/>
      <c r="C148" s="563"/>
      <c r="D148" s="563"/>
      <c r="E148" s="563"/>
      <c r="F148" s="563"/>
      <c r="G148" s="563"/>
      <c r="H148" s="563"/>
      <c r="I148" s="563"/>
      <c r="J148" s="563"/>
      <c r="K148" s="563"/>
      <c r="L148" s="563"/>
      <c r="M148" s="564"/>
      <c r="N148" s="564"/>
      <c r="O148" s="564"/>
      <c r="P148" s="564"/>
      <c r="Q148" s="564"/>
      <c r="R148" s="564"/>
      <c r="S148" s="564"/>
      <c r="T148" s="564"/>
      <c r="U148" s="564"/>
      <c r="V148" s="564"/>
      <c r="W148" s="564"/>
      <c r="X148" s="564"/>
      <c r="Y148" s="564"/>
      <c r="Z148" s="564"/>
      <c r="AA148" s="564"/>
      <c r="AB148" s="564"/>
      <c r="AC148" s="564"/>
      <c r="AD148" s="564"/>
      <c r="AE148" s="564"/>
      <c r="AF148" s="564"/>
      <c r="AG148" s="564"/>
      <c r="AH148" s="564"/>
      <c r="AI148" s="564"/>
      <c r="AJ148" s="564"/>
      <c r="AK148" s="564"/>
      <c r="AL148" s="564"/>
      <c r="AM148" s="564"/>
      <c r="AN148" s="564"/>
      <c r="AO148" s="564"/>
      <c r="AP148" s="564"/>
      <c r="AQ148" s="564"/>
      <c r="AR148" s="564"/>
      <c r="AS148" s="564"/>
      <c r="AT148" s="564"/>
      <c r="AU148" s="564"/>
    </row>
    <row r="149" spans="1:47">
      <c r="A149" s="563"/>
      <c r="B149" s="563"/>
      <c r="C149" s="563"/>
      <c r="D149" s="563"/>
      <c r="E149" s="563"/>
      <c r="F149" s="563"/>
      <c r="G149" s="563"/>
      <c r="H149" s="563"/>
      <c r="I149" s="563"/>
      <c r="J149" s="563"/>
      <c r="K149" s="563"/>
      <c r="L149" s="563"/>
      <c r="M149" s="564"/>
      <c r="N149" s="564"/>
      <c r="O149" s="564"/>
      <c r="P149" s="564"/>
      <c r="Q149" s="564"/>
      <c r="R149" s="564"/>
      <c r="S149" s="564"/>
      <c r="T149" s="564"/>
      <c r="U149" s="564"/>
      <c r="V149" s="564"/>
      <c r="W149" s="564"/>
      <c r="X149" s="564"/>
      <c r="Y149" s="564"/>
      <c r="Z149" s="564"/>
      <c r="AA149" s="564"/>
      <c r="AB149" s="564"/>
      <c r="AC149" s="564"/>
      <c r="AD149" s="564"/>
      <c r="AE149" s="564"/>
      <c r="AF149" s="564"/>
      <c r="AG149" s="564"/>
      <c r="AH149" s="564"/>
      <c r="AI149" s="564"/>
      <c r="AJ149" s="564"/>
      <c r="AK149" s="564"/>
      <c r="AL149" s="564"/>
      <c r="AM149" s="564"/>
      <c r="AN149" s="564"/>
      <c r="AO149" s="564"/>
      <c r="AP149" s="564"/>
      <c r="AQ149" s="564"/>
      <c r="AR149" s="564"/>
      <c r="AS149" s="564"/>
      <c r="AT149" s="564"/>
      <c r="AU149" s="564"/>
    </row>
    <row r="150" spans="1:47">
      <c r="A150" s="563"/>
      <c r="B150" s="563"/>
      <c r="C150" s="563"/>
      <c r="D150" s="563"/>
      <c r="E150" s="563"/>
      <c r="F150" s="563"/>
      <c r="G150" s="563"/>
      <c r="H150" s="563"/>
      <c r="I150" s="563"/>
      <c r="J150" s="563"/>
      <c r="K150" s="563"/>
      <c r="L150" s="563"/>
      <c r="M150" s="564"/>
      <c r="N150" s="564"/>
      <c r="O150" s="564"/>
      <c r="P150" s="564"/>
      <c r="Q150" s="564"/>
      <c r="R150" s="564"/>
      <c r="S150" s="564"/>
      <c r="T150" s="564"/>
      <c r="U150" s="564"/>
      <c r="V150" s="564"/>
      <c r="W150" s="564"/>
      <c r="X150" s="564"/>
      <c r="Y150" s="564"/>
      <c r="Z150" s="564"/>
      <c r="AA150" s="564"/>
      <c r="AB150" s="564"/>
      <c r="AC150" s="564"/>
      <c r="AD150" s="564"/>
      <c r="AE150" s="564"/>
      <c r="AF150" s="564"/>
      <c r="AG150" s="564"/>
      <c r="AH150" s="564"/>
      <c r="AI150" s="564"/>
      <c r="AJ150" s="564"/>
      <c r="AK150" s="564"/>
      <c r="AL150" s="564"/>
      <c r="AM150" s="564"/>
      <c r="AN150" s="564"/>
      <c r="AO150" s="564"/>
      <c r="AP150" s="564"/>
      <c r="AQ150" s="564"/>
      <c r="AR150" s="564"/>
      <c r="AS150" s="564"/>
      <c r="AT150" s="564"/>
      <c r="AU150" s="564"/>
    </row>
    <row r="151" spans="1:47">
      <c r="A151" s="563"/>
      <c r="B151" s="563"/>
      <c r="C151" s="563"/>
      <c r="D151" s="563"/>
      <c r="E151" s="563"/>
      <c r="F151" s="563"/>
      <c r="G151" s="563"/>
      <c r="H151" s="563"/>
      <c r="I151" s="563"/>
      <c r="J151" s="563"/>
      <c r="K151" s="563"/>
      <c r="L151" s="563"/>
      <c r="M151" s="564"/>
      <c r="N151" s="564"/>
      <c r="O151" s="564"/>
      <c r="P151" s="564"/>
      <c r="Q151" s="564"/>
      <c r="R151" s="564"/>
      <c r="S151" s="564"/>
      <c r="T151" s="564"/>
      <c r="U151" s="564"/>
      <c r="V151" s="564"/>
      <c r="W151" s="564"/>
      <c r="X151" s="564"/>
      <c r="Y151" s="564"/>
      <c r="Z151" s="564"/>
      <c r="AA151" s="564"/>
      <c r="AB151" s="564"/>
      <c r="AC151" s="564"/>
      <c r="AD151" s="564"/>
      <c r="AE151" s="564"/>
      <c r="AF151" s="564"/>
      <c r="AG151" s="564"/>
      <c r="AH151" s="564"/>
      <c r="AI151" s="564"/>
      <c r="AJ151" s="564"/>
      <c r="AK151" s="564"/>
      <c r="AL151" s="564"/>
      <c r="AM151" s="564"/>
      <c r="AN151" s="564"/>
      <c r="AO151" s="564"/>
      <c r="AP151" s="564"/>
      <c r="AQ151" s="564"/>
      <c r="AR151" s="564"/>
      <c r="AS151" s="564"/>
      <c r="AT151" s="564"/>
      <c r="AU151" s="564"/>
    </row>
    <row r="152" spans="1:47">
      <c r="A152" s="563"/>
      <c r="B152" s="563"/>
      <c r="C152" s="563"/>
      <c r="D152" s="563"/>
      <c r="E152" s="563"/>
      <c r="F152" s="563"/>
      <c r="G152" s="563"/>
      <c r="H152" s="563"/>
      <c r="I152" s="563"/>
      <c r="J152" s="563"/>
      <c r="K152" s="563"/>
      <c r="L152" s="563"/>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4"/>
      <c r="AP152" s="564"/>
      <c r="AQ152" s="564"/>
      <c r="AR152" s="564"/>
      <c r="AS152" s="564"/>
      <c r="AT152" s="564"/>
      <c r="AU152" s="564"/>
    </row>
    <row r="153" spans="1:47">
      <c r="A153" s="563"/>
      <c r="B153" s="563"/>
      <c r="C153" s="563"/>
      <c r="D153" s="563"/>
      <c r="E153" s="563"/>
      <c r="F153" s="563"/>
      <c r="G153" s="563"/>
      <c r="H153" s="563"/>
      <c r="I153" s="563"/>
      <c r="J153" s="563"/>
      <c r="K153" s="563"/>
      <c r="L153" s="563"/>
      <c r="M153" s="564"/>
      <c r="N153" s="564"/>
      <c r="O153" s="564"/>
      <c r="P153" s="564"/>
      <c r="Q153" s="564"/>
      <c r="R153" s="564"/>
      <c r="S153" s="564"/>
      <c r="T153" s="564"/>
      <c r="U153" s="564"/>
      <c r="V153" s="564"/>
      <c r="W153" s="564"/>
      <c r="X153" s="564"/>
      <c r="Y153" s="564"/>
      <c r="Z153" s="564"/>
      <c r="AA153" s="564"/>
      <c r="AB153" s="564"/>
      <c r="AC153" s="564"/>
      <c r="AD153" s="564"/>
      <c r="AE153" s="564"/>
      <c r="AF153" s="564"/>
      <c r="AG153" s="564"/>
      <c r="AH153" s="564"/>
      <c r="AI153" s="564"/>
      <c r="AJ153" s="564"/>
      <c r="AK153" s="564"/>
      <c r="AL153" s="564"/>
      <c r="AM153" s="564"/>
      <c r="AN153" s="564"/>
      <c r="AO153" s="564"/>
      <c r="AP153" s="564"/>
      <c r="AQ153" s="564"/>
      <c r="AR153" s="564"/>
      <c r="AS153" s="564"/>
      <c r="AT153" s="564"/>
      <c r="AU153" s="564"/>
    </row>
    <row r="154" spans="1:47">
      <c r="A154" s="563"/>
      <c r="B154" s="563"/>
      <c r="C154" s="563"/>
      <c r="D154" s="563"/>
      <c r="E154" s="563"/>
      <c r="F154" s="563"/>
      <c r="G154" s="563"/>
      <c r="H154" s="563"/>
      <c r="I154" s="563"/>
      <c r="J154" s="563"/>
      <c r="K154" s="563"/>
      <c r="L154" s="563"/>
      <c r="M154" s="564"/>
      <c r="N154" s="564"/>
      <c r="O154" s="564"/>
      <c r="P154" s="564"/>
      <c r="Q154" s="564"/>
      <c r="R154" s="564"/>
      <c r="S154" s="564"/>
      <c r="T154" s="564"/>
      <c r="U154" s="564"/>
      <c r="V154" s="564"/>
      <c r="W154" s="564"/>
      <c r="X154" s="564"/>
      <c r="Y154" s="564"/>
      <c r="Z154" s="564"/>
      <c r="AA154" s="564"/>
      <c r="AB154" s="564"/>
      <c r="AC154" s="564"/>
      <c r="AD154" s="564"/>
      <c r="AE154" s="564"/>
      <c r="AF154" s="564"/>
      <c r="AG154" s="564"/>
      <c r="AH154" s="564"/>
      <c r="AI154" s="564"/>
      <c r="AJ154" s="564"/>
      <c r="AK154" s="564"/>
      <c r="AL154" s="564"/>
      <c r="AM154" s="564"/>
      <c r="AN154" s="564"/>
      <c r="AO154" s="564"/>
      <c r="AP154" s="564"/>
      <c r="AQ154" s="564"/>
      <c r="AR154" s="564"/>
      <c r="AS154" s="564"/>
      <c r="AT154" s="564"/>
      <c r="AU154" s="564"/>
    </row>
    <row r="155" spans="1:47">
      <c r="A155" s="563"/>
      <c r="B155" s="563"/>
      <c r="C155" s="563"/>
      <c r="D155" s="563"/>
      <c r="E155" s="563"/>
      <c r="F155" s="563"/>
      <c r="G155" s="563"/>
      <c r="H155" s="563"/>
      <c r="I155" s="563"/>
      <c r="J155" s="563"/>
      <c r="K155" s="563"/>
      <c r="L155" s="563"/>
      <c r="M155" s="564"/>
      <c r="N155" s="564"/>
      <c r="O155" s="564"/>
      <c r="P155" s="564"/>
      <c r="Q155" s="564"/>
      <c r="R155" s="564"/>
      <c r="S155" s="564"/>
      <c r="T155" s="564"/>
      <c r="U155" s="564"/>
      <c r="V155" s="564"/>
      <c r="W155" s="564"/>
      <c r="X155" s="564"/>
      <c r="Y155" s="564"/>
      <c r="Z155" s="564"/>
      <c r="AA155" s="564"/>
      <c r="AB155" s="564"/>
      <c r="AC155" s="564"/>
      <c r="AD155" s="564"/>
      <c r="AE155" s="564"/>
      <c r="AF155" s="564"/>
      <c r="AG155" s="564"/>
      <c r="AH155" s="564"/>
      <c r="AI155" s="564"/>
      <c r="AJ155" s="564"/>
      <c r="AK155" s="564"/>
      <c r="AL155" s="564"/>
      <c r="AM155" s="564"/>
      <c r="AN155" s="564"/>
      <c r="AO155" s="564"/>
      <c r="AP155" s="564"/>
      <c r="AQ155" s="564"/>
      <c r="AR155" s="564"/>
      <c r="AS155" s="564"/>
      <c r="AT155" s="564"/>
      <c r="AU155" s="564"/>
    </row>
    <row r="156" spans="1:47">
      <c r="A156" s="563"/>
      <c r="B156" s="563"/>
      <c r="C156" s="563"/>
      <c r="D156" s="563"/>
      <c r="E156" s="563"/>
      <c r="F156" s="563"/>
      <c r="G156" s="563"/>
      <c r="H156" s="563"/>
      <c r="I156" s="563"/>
      <c r="J156" s="563"/>
      <c r="K156" s="563"/>
      <c r="L156" s="563"/>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4"/>
      <c r="AP156" s="564"/>
      <c r="AQ156" s="564"/>
      <c r="AR156" s="564"/>
      <c r="AS156" s="564"/>
      <c r="AT156" s="564"/>
      <c r="AU156" s="564"/>
    </row>
    <row r="157" spans="1:47">
      <c r="A157" s="563"/>
      <c r="B157" s="563"/>
      <c r="C157" s="563"/>
      <c r="D157" s="563"/>
      <c r="E157" s="563"/>
      <c r="F157" s="563"/>
      <c r="G157" s="563"/>
      <c r="H157" s="563"/>
      <c r="I157" s="563"/>
      <c r="J157" s="563"/>
      <c r="K157" s="563"/>
      <c r="L157" s="563"/>
      <c r="M157" s="564"/>
      <c r="N157" s="564"/>
      <c r="O157" s="564"/>
      <c r="P157" s="564"/>
      <c r="Q157" s="564"/>
      <c r="R157" s="564"/>
      <c r="S157" s="564"/>
      <c r="T157" s="564"/>
      <c r="U157" s="564"/>
      <c r="V157" s="564"/>
      <c r="W157" s="564"/>
      <c r="X157" s="564"/>
      <c r="Y157" s="564"/>
      <c r="Z157" s="564"/>
      <c r="AA157" s="564"/>
      <c r="AB157" s="564"/>
      <c r="AC157" s="564"/>
      <c r="AD157" s="564"/>
      <c r="AE157" s="564"/>
      <c r="AF157" s="564"/>
      <c r="AG157" s="564"/>
      <c r="AH157" s="564"/>
      <c r="AI157" s="564"/>
      <c r="AJ157" s="564"/>
      <c r="AK157" s="564"/>
      <c r="AL157" s="564"/>
      <c r="AM157" s="564"/>
      <c r="AN157" s="564"/>
      <c r="AO157" s="564"/>
      <c r="AP157" s="564"/>
      <c r="AQ157" s="564"/>
      <c r="AR157" s="564"/>
      <c r="AS157" s="564"/>
      <c r="AT157" s="564"/>
      <c r="AU157" s="564"/>
    </row>
    <row r="158" spans="1:47">
      <c r="A158" s="563"/>
      <c r="B158" s="563"/>
      <c r="C158" s="563"/>
      <c r="D158" s="563"/>
      <c r="E158" s="563"/>
      <c r="F158" s="563"/>
      <c r="G158" s="563"/>
      <c r="H158" s="563"/>
      <c r="I158" s="563"/>
      <c r="J158" s="563"/>
      <c r="K158" s="563"/>
      <c r="L158" s="563"/>
      <c r="M158" s="564"/>
      <c r="N158" s="564"/>
      <c r="O158" s="564"/>
      <c r="P158" s="564"/>
      <c r="Q158" s="564"/>
      <c r="R158" s="564"/>
      <c r="S158" s="564"/>
      <c r="T158" s="564"/>
      <c r="U158" s="564"/>
      <c r="V158" s="564"/>
      <c r="W158" s="564"/>
      <c r="X158" s="564"/>
      <c r="Y158" s="564"/>
      <c r="Z158" s="564"/>
      <c r="AA158" s="564"/>
      <c r="AB158" s="564"/>
      <c r="AC158" s="564"/>
      <c r="AD158" s="564"/>
      <c r="AE158" s="564"/>
      <c r="AF158" s="564"/>
      <c r="AG158" s="564"/>
      <c r="AH158" s="564"/>
      <c r="AI158" s="564"/>
      <c r="AJ158" s="564"/>
      <c r="AK158" s="564"/>
      <c r="AL158" s="564"/>
      <c r="AM158" s="564"/>
      <c r="AN158" s="564"/>
      <c r="AO158" s="564"/>
      <c r="AP158" s="564"/>
      <c r="AQ158" s="564"/>
      <c r="AR158" s="564"/>
      <c r="AS158" s="564"/>
      <c r="AT158" s="564"/>
      <c r="AU158" s="564"/>
    </row>
    <row r="159" spans="1:47">
      <c r="A159" s="563"/>
      <c r="B159" s="563"/>
      <c r="C159" s="563"/>
      <c r="D159" s="563"/>
      <c r="E159" s="563"/>
      <c r="F159" s="563"/>
      <c r="G159" s="563"/>
      <c r="H159" s="563"/>
      <c r="I159" s="563"/>
      <c r="J159" s="563"/>
      <c r="K159" s="563"/>
      <c r="L159" s="563"/>
      <c r="M159" s="564"/>
      <c r="N159" s="564"/>
      <c r="O159" s="564"/>
      <c r="P159" s="564"/>
      <c r="Q159" s="564"/>
      <c r="R159" s="564"/>
      <c r="S159" s="564"/>
      <c r="T159" s="564"/>
      <c r="U159" s="564"/>
      <c r="V159" s="564"/>
      <c r="W159" s="564"/>
      <c r="X159" s="564"/>
      <c r="Y159" s="564"/>
      <c r="Z159" s="564"/>
      <c r="AA159" s="564"/>
      <c r="AB159" s="564"/>
      <c r="AC159" s="564"/>
      <c r="AD159" s="564"/>
      <c r="AE159" s="564"/>
      <c r="AF159" s="564"/>
      <c r="AG159" s="564"/>
      <c r="AH159" s="564"/>
      <c r="AI159" s="564"/>
      <c r="AJ159" s="564"/>
      <c r="AK159" s="564"/>
      <c r="AL159" s="564"/>
      <c r="AM159" s="564"/>
      <c r="AN159" s="564"/>
      <c r="AO159" s="564"/>
      <c r="AP159" s="564"/>
      <c r="AQ159" s="564"/>
      <c r="AR159" s="564"/>
      <c r="AS159" s="564"/>
      <c r="AT159" s="564"/>
      <c r="AU159" s="564"/>
    </row>
    <row r="160" spans="1:47">
      <c r="A160" s="563"/>
      <c r="B160" s="563"/>
      <c r="C160" s="563"/>
      <c r="D160" s="563"/>
      <c r="E160" s="563"/>
      <c r="F160" s="563"/>
      <c r="G160" s="563"/>
      <c r="H160" s="563"/>
      <c r="I160" s="563"/>
      <c r="J160" s="563"/>
      <c r="K160" s="563"/>
      <c r="L160" s="563"/>
      <c r="M160" s="564"/>
      <c r="N160" s="564"/>
      <c r="O160" s="564"/>
      <c r="P160" s="564"/>
      <c r="Q160" s="564"/>
      <c r="R160" s="564"/>
      <c r="S160" s="564"/>
      <c r="T160" s="564"/>
      <c r="U160" s="564"/>
      <c r="V160" s="564"/>
      <c r="W160" s="564"/>
      <c r="X160" s="564"/>
      <c r="Y160" s="564"/>
      <c r="Z160" s="564"/>
      <c r="AA160" s="564"/>
      <c r="AB160" s="564"/>
      <c r="AC160" s="564"/>
      <c r="AD160" s="564"/>
      <c r="AE160" s="564"/>
      <c r="AF160" s="564"/>
      <c r="AG160" s="564"/>
      <c r="AH160" s="564"/>
      <c r="AI160" s="564"/>
      <c r="AJ160" s="564"/>
      <c r="AK160" s="564"/>
      <c r="AL160" s="564"/>
      <c r="AM160" s="564"/>
      <c r="AN160" s="564"/>
      <c r="AO160" s="564"/>
      <c r="AP160" s="564"/>
      <c r="AQ160" s="564"/>
      <c r="AR160" s="564"/>
      <c r="AS160" s="564"/>
      <c r="AT160" s="564"/>
      <c r="AU160" s="564"/>
    </row>
    <row r="161" spans="1:47">
      <c r="A161" s="563"/>
      <c r="B161" s="563"/>
      <c r="C161" s="563"/>
      <c r="D161" s="563"/>
      <c r="E161" s="563"/>
      <c r="F161" s="563"/>
      <c r="G161" s="563"/>
      <c r="H161" s="563"/>
      <c r="I161" s="563"/>
      <c r="J161" s="563"/>
      <c r="K161" s="563"/>
      <c r="L161" s="563"/>
      <c r="M161" s="564"/>
      <c r="N161" s="564"/>
      <c r="O161" s="564"/>
      <c r="P161" s="564"/>
      <c r="Q161" s="564"/>
      <c r="R161" s="564"/>
      <c r="S161" s="564"/>
      <c r="T161" s="564"/>
      <c r="U161" s="564"/>
      <c r="V161" s="564"/>
      <c r="W161" s="564"/>
      <c r="X161" s="564"/>
      <c r="Y161" s="564"/>
      <c r="Z161" s="564"/>
      <c r="AA161" s="564"/>
      <c r="AB161" s="564"/>
      <c r="AC161" s="564"/>
      <c r="AD161" s="564"/>
      <c r="AE161" s="564"/>
      <c r="AF161" s="564"/>
      <c r="AG161" s="564"/>
      <c r="AH161" s="564"/>
      <c r="AI161" s="564"/>
      <c r="AJ161" s="564"/>
      <c r="AK161" s="564"/>
      <c r="AL161" s="564"/>
      <c r="AM161" s="564"/>
      <c r="AN161" s="564"/>
      <c r="AO161" s="564"/>
      <c r="AP161" s="564"/>
      <c r="AQ161" s="564"/>
      <c r="AR161" s="564"/>
      <c r="AS161" s="564"/>
      <c r="AT161" s="564"/>
      <c r="AU161" s="564"/>
    </row>
    <row r="162" spans="1:47">
      <c r="A162" s="563"/>
      <c r="B162" s="563"/>
      <c r="C162" s="563"/>
      <c r="D162" s="563"/>
      <c r="E162" s="563"/>
      <c r="F162" s="563"/>
      <c r="G162" s="563"/>
      <c r="H162" s="563"/>
      <c r="I162" s="563"/>
      <c r="J162" s="563"/>
      <c r="K162" s="563"/>
      <c r="L162" s="563"/>
      <c r="M162" s="564"/>
      <c r="N162" s="564"/>
      <c r="O162" s="564"/>
      <c r="P162" s="564"/>
      <c r="Q162" s="564"/>
      <c r="R162" s="564"/>
      <c r="S162" s="564"/>
      <c r="T162" s="564"/>
      <c r="U162" s="564"/>
      <c r="V162" s="564"/>
      <c r="W162" s="564"/>
      <c r="X162" s="564"/>
      <c r="Y162" s="564"/>
      <c r="Z162" s="564"/>
      <c r="AA162" s="564"/>
      <c r="AB162" s="564"/>
      <c r="AC162" s="564"/>
      <c r="AD162" s="564"/>
      <c r="AE162" s="564"/>
      <c r="AF162" s="564"/>
      <c r="AG162" s="564"/>
      <c r="AH162" s="564"/>
      <c r="AI162" s="564"/>
      <c r="AJ162" s="564"/>
      <c r="AK162" s="564"/>
      <c r="AL162" s="564"/>
      <c r="AM162" s="564"/>
      <c r="AN162" s="564"/>
      <c r="AO162" s="564"/>
      <c r="AP162" s="564"/>
      <c r="AQ162" s="564"/>
      <c r="AR162" s="564"/>
      <c r="AS162" s="564"/>
      <c r="AT162" s="564"/>
      <c r="AU162" s="564"/>
    </row>
    <row r="163" spans="1:47">
      <c r="A163" s="563"/>
      <c r="B163" s="563"/>
      <c r="C163" s="563"/>
      <c r="D163" s="563"/>
      <c r="E163" s="563"/>
      <c r="F163" s="563"/>
      <c r="G163" s="563"/>
      <c r="H163" s="563"/>
      <c r="I163" s="563"/>
      <c r="J163" s="563"/>
      <c r="K163" s="563"/>
      <c r="L163" s="563"/>
      <c r="M163" s="564"/>
      <c r="N163" s="564"/>
      <c r="O163" s="564"/>
      <c r="P163" s="564"/>
      <c r="Q163" s="564"/>
      <c r="R163" s="564"/>
      <c r="S163" s="564"/>
      <c r="T163" s="564"/>
      <c r="U163" s="564"/>
      <c r="V163" s="564"/>
      <c r="W163" s="564"/>
      <c r="X163" s="564"/>
      <c r="Y163" s="564"/>
      <c r="Z163" s="564"/>
      <c r="AA163" s="564"/>
      <c r="AB163" s="564"/>
      <c r="AC163" s="564"/>
      <c r="AD163" s="564"/>
      <c r="AE163" s="564"/>
      <c r="AF163" s="564"/>
      <c r="AG163" s="564"/>
      <c r="AH163" s="564"/>
      <c r="AI163" s="564"/>
      <c r="AJ163" s="564"/>
      <c r="AK163" s="564"/>
      <c r="AL163" s="564"/>
      <c r="AM163" s="564"/>
      <c r="AN163" s="564"/>
      <c r="AO163" s="564"/>
      <c r="AP163" s="564"/>
      <c r="AQ163" s="564"/>
      <c r="AR163" s="564"/>
      <c r="AS163" s="564"/>
      <c r="AT163" s="564"/>
      <c r="AU163" s="564"/>
    </row>
    <row r="164" spans="1:47">
      <c r="A164" s="563"/>
      <c r="B164" s="563"/>
      <c r="C164" s="563"/>
      <c r="D164" s="563"/>
      <c r="E164" s="563"/>
      <c r="F164" s="563"/>
      <c r="G164" s="563"/>
      <c r="H164" s="563"/>
      <c r="I164" s="563"/>
      <c r="J164" s="563"/>
      <c r="K164" s="563"/>
      <c r="L164" s="563"/>
      <c r="M164" s="564"/>
      <c r="N164" s="564"/>
      <c r="O164" s="564"/>
      <c r="P164" s="564"/>
      <c r="Q164" s="564"/>
      <c r="R164" s="564"/>
      <c r="S164" s="564"/>
      <c r="T164" s="564"/>
      <c r="U164" s="564"/>
      <c r="V164" s="564"/>
      <c r="W164" s="564"/>
      <c r="X164" s="564"/>
      <c r="Y164" s="564"/>
      <c r="Z164" s="564"/>
      <c r="AA164" s="564"/>
      <c r="AB164" s="564"/>
      <c r="AC164" s="564"/>
      <c r="AD164" s="564"/>
      <c r="AE164" s="564"/>
      <c r="AF164" s="564"/>
      <c r="AG164" s="564"/>
      <c r="AH164" s="564"/>
      <c r="AI164" s="564"/>
      <c r="AJ164" s="564"/>
      <c r="AK164" s="564"/>
      <c r="AL164" s="564"/>
      <c r="AM164" s="564"/>
      <c r="AN164" s="564"/>
      <c r="AO164" s="564"/>
      <c r="AP164" s="564"/>
      <c r="AQ164" s="564"/>
      <c r="AR164" s="564"/>
      <c r="AS164" s="564"/>
      <c r="AT164" s="564"/>
      <c r="AU164" s="564"/>
    </row>
    <row r="165" spans="1:47">
      <c r="A165" s="563"/>
      <c r="B165" s="563"/>
      <c r="C165" s="563"/>
      <c r="D165" s="563"/>
      <c r="E165" s="563"/>
      <c r="F165" s="563"/>
      <c r="G165" s="563"/>
      <c r="H165" s="563"/>
      <c r="I165" s="563"/>
      <c r="J165" s="563"/>
      <c r="K165" s="563"/>
      <c r="L165" s="563"/>
      <c r="M165" s="564"/>
      <c r="N165" s="564"/>
      <c r="O165" s="564"/>
      <c r="P165" s="564"/>
      <c r="Q165" s="564"/>
      <c r="R165" s="564"/>
      <c r="S165" s="564"/>
      <c r="T165" s="564"/>
      <c r="U165" s="564"/>
      <c r="V165" s="564"/>
      <c r="W165" s="564"/>
      <c r="X165" s="564"/>
      <c r="Y165" s="564"/>
      <c r="Z165" s="564"/>
      <c r="AA165" s="564"/>
      <c r="AB165" s="564"/>
      <c r="AC165" s="564"/>
      <c r="AD165" s="564"/>
      <c r="AE165" s="564"/>
      <c r="AF165" s="564"/>
      <c r="AG165" s="564"/>
      <c r="AH165" s="564"/>
      <c r="AI165" s="564"/>
      <c r="AJ165" s="564"/>
      <c r="AK165" s="564"/>
      <c r="AL165" s="564"/>
      <c r="AM165" s="564"/>
      <c r="AN165" s="564"/>
      <c r="AO165" s="564"/>
      <c r="AP165" s="564"/>
      <c r="AQ165" s="564"/>
      <c r="AR165" s="564"/>
      <c r="AS165" s="564"/>
      <c r="AT165" s="564"/>
      <c r="AU165" s="564"/>
    </row>
    <row r="166" spans="1:47">
      <c r="A166" s="563"/>
      <c r="B166" s="563"/>
      <c r="C166" s="563"/>
      <c r="D166" s="563"/>
      <c r="E166" s="563"/>
      <c r="F166" s="563"/>
      <c r="G166" s="563"/>
      <c r="H166" s="563"/>
      <c r="I166" s="563"/>
      <c r="J166" s="563"/>
      <c r="K166" s="563"/>
      <c r="L166" s="563"/>
      <c r="M166" s="564"/>
      <c r="N166" s="564"/>
      <c r="O166" s="564"/>
      <c r="P166" s="564"/>
      <c r="Q166" s="564"/>
      <c r="R166" s="564"/>
      <c r="S166" s="564"/>
      <c r="T166" s="564"/>
      <c r="U166" s="564"/>
      <c r="V166" s="564"/>
      <c r="W166" s="564"/>
      <c r="X166" s="564"/>
      <c r="Y166" s="564"/>
      <c r="Z166" s="564"/>
      <c r="AA166" s="564"/>
      <c r="AB166" s="564"/>
      <c r="AC166" s="564"/>
      <c r="AD166" s="564"/>
      <c r="AE166" s="564"/>
      <c r="AF166" s="564"/>
      <c r="AG166" s="564"/>
      <c r="AH166" s="564"/>
      <c r="AI166" s="564"/>
      <c r="AJ166" s="564"/>
      <c r="AK166" s="564"/>
      <c r="AL166" s="564"/>
      <c r="AM166" s="564"/>
      <c r="AN166" s="564"/>
      <c r="AO166" s="564"/>
      <c r="AP166" s="564"/>
      <c r="AQ166" s="564"/>
      <c r="AR166" s="564"/>
      <c r="AS166" s="564"/>
      <c r="AT166" s="564"/>
      <c r="AU166" s="564"/>
    </row>
    <row r="167" spans="1:47">
      <c r="A167" s="563"/>
      <c r="B167" s="563"/>
      <c r="C167" s="563"/>
      <c r="D167" s="563"/>
      <c r="E167" s="563"/>
      <c r="F167" s="563"/>
      <c r="G167" s="563"/>
      <c r="H167" s="563"/>
      <c r="I167" s="563"/>
      <c r="J167" s="563"/>
      <c r="K167" s="563"/>
      <c r="L167" s="563"/>
      <c r="M167" s="564"/>
      <c r="N167" s="564"/>
      <c r="O167" s="564"/>
      <c r="P167" s="564"/>
      <c r="Q167" s="564"/>
      <c r="R167" s="564"/>
      <c r="S167" s="564"/>
      <c r="T167" s="564"/>
      <c r="U167" s="564"/>
      <c r="V167" s="564"/>
      <c r="W167" s="564"/>
      <c r="X167" s="564"/>
      <c r="Y167" s="564"/>
      <c r="Z167" s="564"/>
      <c r="AA167" s="564"/>
      <c r="AB167" s="564"/>
      <c r="AC167" s="564"/>
      <c r="AD167" s="564"/>
      <c r="AE167" s="564"/>
      <c r="AF167" s="564"/>
      <c r="AG167" s="564"/>
      <c r="AH167" s="564"/>
      <c r="AI167" s="564"/>
      <c r="AJ167" s="564"/>
      <c r="AK167" s="564"/>
      <c r="AL167" s="564"/>
      <c r="AM167" s="564"/>
      <c r="AN167" s="564"/>
      <c r="AO167" s="564"/>
      <c r="AP167" s="564"/>
      <c r="AQ167" s="564"/>
      <c r="AR167" s="564"/>
      <c r="AS167" s="564"/>
      <c r="AT167" s="564"/>
      <c r="AU167" s="564"/>
    </row>
    <row r="168" spans="1:47">
      <c r="A168" s="563"/>
      <c r="B168" s="563"/>
      <c r="C168" s="563"/>
      <c r="D168" s="563"/>
      <c r="E168" s="563"/>
      <c r="F168" s="563"/>
      <c r="G168" s="563"/>
      <c r="H168" s="563"/>
      <c r="I168" s="563"/>
      <c r="J168" s="563"/>
      <c r="K168" s="563"/>
      <c r="L168" s="563"/>
      <c r="M168" s="564"/>
      <c r="N168" s="564"/>
      <c r="O168" s="564"/>
      <c r="P168" s="564"/>
      <c r="Q168" s="564"/>
      <c r="R168" s="564"/>
      <c r="S168" s="564"/>
      <c r="T168" s="564"/>
      <c r="U168" s="564"/>
      <c r="V168" s="564"/>
      <c r="W168" s="564"/>
      <c r="X168" s="564"/>
      <c r="Y168" s="564"/>
      <c r="Z168" s="564"/>
      <c r="AA168" s="564"/>
      <c r="AB168" s="564"/>
      <c r="AC168" s="564"/>
      <c r="AD168" s="564"/>
      <c r="AE168" s="564"/>
      <c r="AF168" s="564"/>
      <c r="AG168" s="564"/>
      <c r="AH168" s="564"/>
      <c r="AI168" s="564"/>
      <c r="AJ168" s="564"/>
      <c r="AK168" s="564"/>
      <c r="AL168" s="564"/>
      <c r="AM168" s="564"/>
      <c r="AN168" s="564"/>
      <c r="AO168" s="564"/>
      <c r="AP168" s="564"/>
      <c r="AQ168" s="564"/>
      <c r="AR168" s="564"/>
      <c r="AS168" s="564"/>
      <c r="AT168" s="564"/>
      <c r="AU168" s="564"/>
    </row>
    <row r="169" spans="1:47">
      <c r="A169" s="563"/>
      <c r="B169" s="563"/>
      <c r="C169" s="563"/>
      <c r="D169" s="563"/>
      <c r="E169" s="563"/>
      <c r="F169" s="563"/>
      <c r="G169" s="563"/>
      <c r="H169" s="563"/>
      <c r="I169" s="563"/>
      <c r="J169" s="563"/>
      <c r="K169" s="563"/>
      <c r="L169" s="563"/>
      <c r="M169" s="564"/>
      <c r="N169" s="564"/>
      <c r="O169" s="564"/>
      <c r="P169" s="564"/>
      <c r="Q169" s="564"/>
      <c r="R169" s="564"/>
      <c r="S169" s="564"/>
      <c r="T169" s="564"/>
      <c r="U169" s="564"/>
      <c r="V169" s="564"/>
      <c r="W169" s="564"/>
      <c r="X169" s="564"/>
      <c r="Y169" s="564"/>
      <c r="Z169" s="564"/>
      <c r="AA169" s="564"/>
      <c r="AB169" s="564"/>
      <c r="AC169" s="564"/>
      <c r="AD169" s="564"/>
      <c r="AE169" s="564"/>
      <c r="AF169" s="564"/>
      <c r="AG169" s="564"/>
      <c r="AH169" s="564"/>
      <c r="AI169" s="564"/>
      <c r="AJ169" s="564"/>
      <c r="AK169" s="564"/>
      <c r="AL169" s="564"/>
      <c r="AM169" s="564"/>
      <c r="AN169" s="564"/>
      <c r="AO169" s="564"/>
      <c r="AP169" s="564"/>
      <c r="AQ169" s="564"/>
      <c r="AR169" s="564"/>
      <c r="AS169" s="564"/>
      <c r="AT169" s="564"/>
      <c r="AU169" s="564"/>
    </row>
    <row r="170" spans="1:47">
      <c r="A170" s="563"/>
      <c r="B170" s="563"/>
      <c r="C170" s="563"/>
      <c r="D170" s="563"/>
      <c r="E170" s="563"/>
      <c r="F170" s="563"/>
      <c r="G170" s="563"/>
      <c r="H170" s="563"/>
      <c r="I170" s="563"/>
      <c r="J170" s="563"/>
      <c r="K170" s="563"/>
      <c r="L170" s="563"/>
      <c r="M170" s="564"/>
      <c r="N170" s="564"/>
      <c r="O170" s="564"/>
      <c r="P170" s="564"/>
      <c r="Q170" s="564"/>
      <c r="R170" s="564"/>
      <c r="S170" s="564"/>
      <c r="T170" s="564"/>
      <c r="U170" s="564"/>
      <c r="V170" s="564"/>
      <c r="W170" s="564"/>
      <c r="X170" s="564"/>
      <c r="Y170" s="564"/>
      <c r="Z170" s="564"/>
      <c r="AA170" s="564"/>
      <c r="AB170" s="564"/>
      <c r="AC170" s="564"/>
      <c r="AD170" s="564"/>
      <c r="AE170" s="564"/>
      <c r="AF170" s="564"/>
      <c r="AG170" s="564"/>
      <c r="AH170" s="564"/>
      <c r="AI170" s="564"/>
      <c r="AJ170" s="564"/>
      <c r="AK170" s="564"/>
      <c r="AL170" s="564"/>
      <c r="AM170" s="564"/>
      <c r="AN170" s="564"/>
      <c r="AO170" s="564"/>
      <c r="AP170" s="564"/>
      <c r="AQ170" s="564"/>
      <c r="AR170" s="564"/>
      <c r="AS170" s="564"/>
      <c r="AT170" s="564"/>
      <c r="AU170" s="564"/>
    </row>
    <row r="171" spans="1:47">
      <c r="A171" s="563"/>
      <c r="B171" s="563"/>
      <c r="C171" s="563"/>
      <c r="D171" s="563"/>
      <c r="E171" s="563"/>
      <c r="F171" s="563"/>
      <c r="G171" s="563"/>
      <c r="H171" s="563"/>
      <c r="I171" s="563"/>
      <c r="J171" s="563"/>
      <c r="K171" s="563"/>
      <c r="L171" s="563"/>
      <c r="M171" s="564"/>
      <c r="N171" s="564"/>
      <c r="O171" s="564"/>
      <c r="P171" s="564"/>
      <c r="Q171" s="564"/>
      <c r="R171" s="564"/>
      <c r="S171" s="564"/>
      <c r="T171" s="564"/>
      <c r="U171" s="564"/>
      <c r="V171" s="564"/>
      <c r="W171" s="564"/>
      <c r="X171" s="564"/>
      <c r="Y171" s="564"/>
      <c r="Z171" s="564"/>
      <c r="AA171" s="564"/>
      <c r="AB171" s="564"/>
      <c r="AC171" s="564"/>
      <c r="AD171" s="564"/>
      <c r="AE171" s="564"/>
      <c r="AF171" s="564"/>
      <c r="AG171" s="564"/>
      <c r="AH171" s="564"/>
      <c r="AI171" s="564"/>
      <c r="AJ171" s="564"/>
      <c r="AK171" s="564"/>
      <c r="AL171" s="564"/>
      <c r="AM171" s="564"/>
      <c r="AN171" s="564"/>
      <c r="AO171" s="564"/>
      <c r="AP171" s="564"/>
      <c r="AQ171" s="564"/>
      <c r="AR171" s="564"/>
      <c r="AS171" s="564"/>
      <c r="AT171" s="564"/>
      <c r="AU171" s="564"/>
    </row>
    <row r="172" spans="1:47">
      <c r="A172" s="563"/>
      <c r="B172" s="563"/>
      <c r="C172" s="563"/>
      <c r="D172" s="563"/>
      <c r="E172" s="563"/>
      <c r="F172" s="563"/>
      <c r="G172" s="563"/>
      <c r="H172" s="563"/>
      <c r="I172" s="563"/>
      <c r="J172" s="563"/>
      <c r="K172" s="563"/>
      <c r="L172" s="563"/>
      <c r="M172" s="564"/>
      <c r="N172" s="564"/>
      <c r="O172" s="564"/>
      <c r="P172" s="564"/>
      <c r="Q172" s="564"/>
      <c r="R172" s="564"/>
      <c r="S172" s="564"/>
      <c r="T172" s="564"/>
      <c r="U172" s="564"/>
      <c r="V172" s="564"/>
      <c r="W172" s="564"/>
      <c r="X172" s="564"/>
      <c r="Y172" s="564"/>
      <c r="Z172" s="564"/>
      <c r="AA172" s="564"/>
      <c r="AB172" s="564"/>
      <c r="AC172" s="564"/>
      <c r="AD172" s="564"/>
      <c r="AE172" s="564"/>
      <c r="AF172" s="564"/>
      <c r="AG172" s="564"/>
      <c r="AH172" s="564"/>
      <c r="AI172" s="564"/>
      <c r="AJ172" s="564"/>
      <c r="AK172" s="564"/>
      <c r="AL172" s="564"/>
      <c r="AM172" s="564"/>
      <c r="AN172" s="564"/>
      <c r="AO172" s="564"/>
      <c r="AP172" s="564"/>
      <c r="AQ172" s="564"/>
      <c r="AR172" s="564"/>
      <c r="AS172" s="564"/>
      <c r="AT172" s="564"/>
      <c r="AU172" s="564"/>
    </row>
    <row r="173" spans="1:47">
      <c r="A173" s="563"/>
      <c r="B173" s="563"/>
      <c r="C173" s="563"/>
      <c r="D173" s="563"/>
      <c r="E173" s="563"/>
      <c r="F173" s="563"/>
      <c r="G173" s="563"/>
      <c r="H173" s="563"/>
      <c r="I173" s="563"/>
      <c r="J173" s="563"/>
      <c r="K173" s="563"/>
      <c r="L173" s="563"/>
      <c r="M173" s="564"/>
      <c r="N173" s="564"/>
      <c r="O173" s="564"/>
      <c r="P173" s="564"/>
      <c r="Q173" s="564"/>
      <c r="R173" s="564"/>
      <c r="S173" s="564"/>
      <c r="T173" s="564"/>
      <c r="U173" s="564"/>
      <c r="V173" s="564"/>
      <c r="W173" s="564"/>
      <c r="X173" s="564"/>
      <c r="Y173" s="564"/>
      <c r="Z173" s="564"/>
      <c r="AA173" s="564"/>
      <c r="AB173" s="564"/>
      <c r="AC173" s="564"/>
      <c r="AD173" s="564"/>
      <c r="AE173" s="564"/>
      <c r="AF173" s="564"/>
      <c r="AG173" s="564"/>
      <c r="AH173" s="564"/>
      <c r="AI173" s="564"/>
      <c r="AJ173" s="564"/>
      <c r="AK173" s="564"/>
      <c r="AL173" s="564"/>
      <c r="AM173" s="564"/>
      <c r="AN173" s="564"/>
      <c r="AO173" s="564"/>
      <c r="AP173" s="564"/>
      <c r="AQ173" s="564"/>
      <c r="AR173" s="564"/>
      <c r="AS173" s="564"/>
      <c r="AT173" s="564"/>
      <c r="AU173" s="564"/>
    </row>
    <row r="174" spans="1:47">
      <c r="A174" s="563"/>
      <c r="B174" s="563"/>
      <c r="C174" s="563"/>
      <c r="D174" s="563"/>
      <c r="E174" s="563"/>
      <c r="F174" s="563"/>
      <c r="G174" s="563"/>
      <c r="H174" s="563"/>
      <c r="I174" s="563"/>
      <c r="J174" s="563"/>
      <c r="K174" s="563"/>
      <c r="L174" s="563"/>
      <c r="M174" s="564"/>
      <c r="N174" s="564"/>
      <c r="O174" s="564"/>
      <c r="P174" s="564"/>
      <c r="Q174" s="564"/>
      <c r="R174" s="564"/>
      <c r="S174" s="564"/>
      <c r="T174" s="564"/>
      <c r="U174" s="564"/>
      <c r="V174" s="564"/>
      <c r="W174" s="564"/>
      <c r="X174" s="564"/>
      <c r="Y174" s="564"/>
      <c r="Z174" s="564"/>
      <c r="AA174" s="564"/>
      <c r="AB174" s="564"/>
      <c r="AC174" s="564"/>
      <c r="AD174" s="564"/>
      <c r="AE174" s="564"/>
      <c r="AF174" s="564"/>
      <c r="AG174" s="564"/>
      <c r="AH174" s="564"/>
      <c r="AI174" s="564"/>
      <c r="AJ174" s="564"/>
      <c r="AK174" s="564"/>
      <c r="AL174" s="564"/>
      <c r="AM174" s="564"/>
      <c r="AN174" s="564"/>
      <c r="AO174" s="564"/>
      <c r="AP174" s="564"/>
      <c r="AQ174" s="564"/>
      <c r="AR174" s="564"/>
      <c r="AS174" s="564"/>
      <c r="AT174" s="564"/>
      <c r="AU174" s="564"/>
    </row>
    <row r="175" spans="1:47">
      <c r="A175" s="563"/>
      <c r="B175" s="563"/>
      <c r="C175" s="563"/>
      <c r="D175" s="563"/>
      <c r="E175" s="563"/>
      <c r="F175" s="563"/>
      <c r="G175" s="563"/>
      <c r="H175" s="563"/>
      <c r="I175" s="563"/>
      <c r="J175" s="563"/>
      <c r="K175" s="563"/>
      <c r="L175" s="563"/>
      <c r="M175" s="564"/>
      <c r="N175" s="564"/>
      <c r="O175" s="564"/>
      <c r="P175" s="564"/>
      <c r="Q175" s="564"/>
      <c r="R175" s="564"/>
      <c r="S175" s="564"/>
      <c r="T175" s="564"/>
      <c r="U175" s="564"/>
      <c r="V175" s="564"/>
      <c r="W175" s="564"/>
      <c r="X175" s="564"/>
      <c r="Y175" s="564"/>
      <c r="Z175" s="564"/>
      <c r="AA175" s="564"/>
      <c r="AB175" s="564"/>
      <c r="AC175" s="564"/>
      <c r="AD175" s="564"/>
      <c r="AE175" s="564"/>
      <c r="AF175" s="564"/>
      <c r="AG175" s="564"/>
      <c r="AH175" s="564"/>
      <c r="AI175" s="564"/>
      <c r="AJ175" s="564"/>
      <c r="AK175" s="564"/>
      <c r="AL175" s="564"/>
      <c r="AM175" s="564"/>
      <c r="AN175" s="564"/>
      <c r="AO175" s="564"/>
      <c r="AP175" s="564"/>
      <c r="AQ175" s="564"/>
      <c r="AR175" s="564"/>
      <c r="AS175" s="564"/>
      <c r="AT175" s="564"/>
      <c r="AU175" s="564"/>
    </row>
    <row r="176" spans="1:47">
      <c r="A176" s="563"/>
      <c r="B176" s="563"/>
      <c r="C176" s="563"/>
      <c r="D176" s="563"/>
      <c r="E176" s="563"/>
      <c r="F176" s="563"/>
      <c r="G176" s="563"/>
      <c r="H176" s="563"/>
      <c r="I176" s="563"/>
      <c r="J176" s="563"/>
      <c r="K176" s="563"/>
      <c r="L176" s="563"/>
      <c r="M176" s="564"/>
      <c r="N176" s="564"/>
      <c r="O176" s="564"/>
      <c r="P176" s="564"/>
      <c r="Q176" s="564"/>
      <c r="R176" s="564"/>
      <c r="S176" s="564"/>
      <c r="T176" s="564"/>
      <c r="U176" s="564"/>
      <c r="V176" s="564"/>
      <c r="W176" s="564"/>
      <c r="X176" s="564"/>
      <c r="Y176" s="564"/>
      <c r="Z176" s="564"/>
      <c r="AA176" s="564"/>
      <c r="AB176" s="564"/>
      <c r="AC176" s="564"/>
      <c r="AD176" s="564"/>
      <c r="AE176" s="564"/>
      <c r="AF176" s="564"/>
      <c r="AG176" s="564"/>
      <c r="AH176" s="564"/>
      <c r="AI176" s="564"/>
      <c r="AJ176" s="564"/>
      <c r="AK176" s="564"/>
      <c r="AL176" s="564"/>
      <c r="AM176" s="564"/>
      <c r="AN176" s="564"/>
      <c r="AO176" s="564"/>
      <c r="AP176" s="564"/>
      <c r="AQ176" s="564"/>
      <c r="AR176" s="564"/>
      <c r="AS176" s="564"/>
      <c r="AT176" s="564"/>
      <c r="AU176" s="564"/>
    </row>
    <row r="177" spans="1:47">
      <c r="A177" s="563"/>
      <c r="B177" s="563"/>
      <c r="C177" s="563"/>
      <c r="D177" s="563"/>
      <c r="E177" s="563"/>
      <c r="F177" s="563"/>
      <c r="G177" s="563"/>
      <c r="H177" s="563"/>
      <c r="I177" s="563"/>
      <c r="J177" s="563"/>
      <c r="K177" s="563"/>
      <c r="L177" s="563"/>
      <c r="M177" s="564"/>
      <c r="N177" s="564"/>
      <c r="O177" s="564"/>
      <c r="P177" s="564"/>
      <c r="Q177" s="564"/>
      <c r="R177" s="564"/>
      <c r="S177" s="564"/>
      <c r="T177" s="564"/>
      <c r="U177" s="564"/>
      <c r="V177" s="564"/>
      <c r="W177" s="564"/>
      <c r="X177" s="564"/>
      <c r="Y177" s="564"/>
      <c r="Z177" s="564"/>
      <c r="AA177" s="564"/>
      <c r="AB177" s="564"/>
      <c r="AC177" s="564"/>
      <c r="AD177" s="564"/>
      <c r="AE177" s="564"/>
      <c r="AF177" s="564"/>
      <c r="AG177" s="564"/>
      <c r="AH177" s="564"/>
      <c r="AI177" s="564"/>
      <c r="AJ177" s="564"/>
      <c r="AK177" s="564"/>
      <c r="AL177" s="564"/>
      <c r="AM177" s="564"/>
      <c r="AN177" s="564"/>
      <c r="AO177" s="564"/>
      <c r="AP177" s="564"/>
      <c r="AQ177" s="564"/>
      <c r="AR177" s="564"/>
      <c r="AS177" s="564"/>
      <c r="AT177" s="564"/>
      <c r="AU177" s="564"/>
    </row>
    <row r="178" spans="1:47">
      <c r="A178" s="563"/>
      <c r="B178" s="563"/>
      <c r="C178" s="563"/>
      <c r="D178" s="563"/>
      <c r="E178" s="563"/>
      <c r="F178" s="563"/>
      <c r="G178" s="563"/>
      <c r="H178" s="563"/>
      <c r="I178" s="563"/>
      <c r="J178" s="563"/>
      <c r="K178" s="563"/>
      <c r="L178" s="563"/>
      <c r="M178" s="564"/>
      <c r="N178" s="564"/>
      <c r="O178" s="564"/>
      <c r="P178" s="564"/>
      <c r="Q178" s="564"/>
      <c r="R178" s="564"/>
      <c r="S178" s="564"/>
      <c r="T178" s="564"/>
      <c r="U178" s="564"/>
      <c r="V178" s="564"/>
      <c r="W178" s="564"/>
      <c r="X178" s="564"/>
      <c r="Y178" s="564"/>
      <c r="Z178" s="564"/>
      <c r="AA178" s="564"/>
      <c r="AB178" s="564"/>
      <c r="AC178" s="564"/>
      <c r="AD178" s="564"/>
      <c r="AE178" s="564"/>
      <c r="AF178" s="564"/>
      <c r="AG178" s="564"/>
      <c r="AH178" s="564"/>
      <c r="AI178" s="564"/>
      <c r="AJ178" s="564"/>
      <c r="AK178" s="564"/>
      <c r="AL178" s="564"/>
      <c r="AM178" s="564"/>
      <c r="AN178" s="564"/>
      <c r="AO178" s="564"/>
      <c r="AP178" s="564"/>
      <c r="AQ178" s="564"/>
      <c r="AR178" s="564"/>
      <c r="AS178" s="564"/>
      <c r="AT178" s="564"/>
      <c r="AU178" s="564"/>
    </row>
    <row r="179" spans="1:47">
      <c r="A179" s="563"/>
      <c r="B179" s="563"/>
      <c r="C179" s="563"/>
      <c r="D179" s="563"/>
      <c r="E179" s="563"/>
      <c r="F179" s="563"/>
      <c r="G179" s="563"/>
      <c r="H179" s="563"/>
      <c r="I179" s="563"/>
      <c r="J179" s="563"/>
      <c r="K179" s="563"/>
      <c r="L179" s="563"/>
      <c r="M179" s="564"/>
      <c r="N179" s="564"/>
      <c r="O179" s="564"/>
      <c r="P179" s="564"/>
      <c r="Q179" s="564"/>
      <c r="R179" s="564"/>
      <c r="S179" s="564"/>
      <c r="T179" s="564"/>
      <c r="U179" s="564"/>
      <c r="V179" s="564"/>
      <c r="W179" s="564"/>
      <c r="X179" s="564"/>
      <c r="Y179" s="564"/>
      <c r="Z179" s="564"/>
      <c r="AA179" s="564"/>
      <c r="AB179" s="564"/>
      <c r="AC179" s="564"/>
      <c r="AD179" s="564"/>
      <c r="AE179" s="564"/>
      <c r="AF179" s="564"/>
      <c r="AG179" s="564"/>
      <c r="AH179" s="564"/>
      <c r="AI179" s="564"/>
      <c r="AJ179" s="564"/>
      <c r="AK179" s="564"/>
      <c r="AL179" s="564"/>
      <c r="AM179" s="564"/>
      <c r="AN179" s="564"/>
      <c r="AO179" s="564"/>
      <c r="AP179" s="564"/>
      <c r="AQ179" s="564"/>
      <c r="AR179" s="564"/>
      <c r="AS179" s="564"/>
      <c r="AT179" s="564"/>
      <c r="AU179" s="564"/>
    </row>
    <row r="180" spans="1:47">
      <c r="A180" s="563"/>
      <c r="B180" s="563"/>
      <c r="C180" s="563"/>
      <c r="D180" s="563"/>
      <c r="E180" s="563"/>
      <c r="F180" s="563"/>
      <c r="G180" s="563"/>
      <c r="H180" s="563"/>
      <c r="I180" s="563"/>
      <c r="J180" s="563"/>
      <c r="K180" s="563"/>
      <c r="L180" s="563"/>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row>
    <row r="181" spans="1:47">
      <c r="A181" s="563"/>
      <c r="B181" s="563"/>
      <c r="C181" s="563"/>
      <c r="D181" s="563"/>
      <c r="E181" s="563"/>
      <c r="F181" s="563"/>
      <c r="G181" s="563"/>
      <c r="H181" s="563"/>
      <c r="I181" s="563"/>
      <c r="J181" s="563"/>
      <c r="K181" s="563"/>
      <c r="L181" s="563"/>
      <c r="M181" s="564"/>
      <c r="N181" s="564"/>
      <c r="O181" s="564"/>
      <c r="P181" s="564"/>
      <c r="Q181" s="564"/>
      <c r="R181" s="564"/>
      <c r="S181" s="564"/>
      <c r="T181" s="564"/>
      <c r="U181" s="564"/>
      <c r="V181" s="564"/>
      <c r="W181" s="564"/>
      <c r="X181" s="564"/>
      <c r="Y181" s="564"/>
      <c r="Z181" s="564"/>
      <c r="AA181" s="564"/>
      <c r="AB181" s="564"/>
      <c r="AC181" s="564"/>
      <c r="AD181" s="564"/>
      <c r="AE181" s="564"/>
      <c r="AF181" s="564"/>
      <c r="AG181" s="564"/>
      <c r="AH181" s="564"/>
      <c r="AI181" s="564"/>
      <c r="AJ181" s="564"/>
      <c r="AK181" s="564"/>
      <c r="AL181" s="564"/>
      <c r="AM181" s="564"/>
      <c r="AN181" s="564"/>
      <c r="AO181" s="564"/>
      <c r="AP181" s="564"/>
      <c r="AQ181" s="564"/>
      <c r="AR181" s="564"/>
      <c r="AS181" s="564"/>
      <c r="AT181" s="564"/>
      <c r="AU181" s="564"/>
    </row>
    <row r="182" spans="1:47">
      <c r="A182" s="563"/>
      <c r="B182" s="563"/>
      <c r="C182" s="563"/>
      <c r="D182" s="563"/>
      <c r="E182" s="563"/>
      <c r="F182" s="563"/>
      <c r="G182" s="563"/>
      <c r="H182" s="563"/>
      <c r="I182" s="563"/>
      <c r="J182" s="563"/>
      <c r="K182" s="563"/>
      <c r="L182" s="563"/>
      <c r="M182" s="564"/>
      <c r="N182" s="564"/>
      <c r="O182" s="564"/>
      <c r="P182" s="564"/>
      <c r="Q182" s="564"/>
      <c r="R182" s="564"/>
      <c r="S182" s="564"/>
      <c r="T182" s="564"/>
      <c r="U182" s="564"/>
      <c r="V182" s="564"/>
      <c r="W182" s="564"/>
      <c r="X182" s="564"/>
      <c r="Y182" s="564"/>
      <c r="Z182" s="564"/>
      <c r="AA182" s="564"/>
      <c r="AB182" s="564"/>
      <c r="AC182" s="564"/>
      <c r="AD182" s="564"/>
      <c r="AE182" s="564"/>
      <c r="AF182" s="564"/>
      <c r="AG182" s="564"/>
      <c r="AH182" s="564"/>
      <c r="AI182" s="564"/>
      <c r="AJ182" s="564"/>
      <c r="AK182" s="564"/>
      <c r="AL182" s="564"/>
      <c r="AM182" s="564"/>
      <c r="AN182" s="564"/>
      <c r="AO182" s="564"/>
      <c r="AP182" s="564"/>
      <c r="AQ182" s="564"/>
      <c r="AR182" s="564"/>
      <c r="AS182" s="564"/>
      <c r="AT182" s="564"/>
      <c r="AU182" s="564"/>
    </row>
    <row r="183" spans="1:47">
      <c r="A183" s="563"/>
      <c r="B183" s="563"/>
      <c r="C183" s="563"/>
      <c r="D183" s="563"/>
      <c r="E183" s="563"/>
      <c r="F183" s="563"/>
      <c r="G183" s="563"/>
      <c r="H183" s="563"/>
      <c r="I183" s="563"/>
      <c r="J183" s="563"/>
      <c r="K183" s="563"/>
      <c r="L183" s="563"/>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4"/>
      <c r="AJ183" s="564"/>
      <c r="AK183" s="564"/>
      <c r="AL183" s="564"/>
      <c r="AM183" s="564"/>
      <c r="AN183" s="564"/>
      <c r="AO183" s="564"/>
      <c r="AP183" s="564"/>
      <c r="AQ183" s="564"/>
      <c r="AR183" s="564"/>
      <c r="AS183" s="564"/>
      <c r="AT183" s="564"/>
      <c r="AU183" s="564"/>
    </row>
    <row r="184" spans="1:47">
      <c r="A184" s="563"/>
      <c r="B184" s="563"/>
      <c r="C184" s="563"/>
      <c r="D184" s="563"/>
      <c r="E184" s="563"/>
      <c r="F184" s="563"/>
      <c r="G184" s="563"/>
      <c r="H184" s="563"/>
      <c r="I184" s="563"/>
      <c r="J184" s="563"/>
      <c r="K184" s="563"/>
      <c r="L184" s="563"/>
      <c r="M184" s="564"/>
      <c r="N184" s="564"/>
      <c r="O184" s="564"/>
      <c r="P184" s="564"/>
      <c r="Q184" s="564"/>
      <c r="R184" s="564"/>
      <c r="S184" s="564"/>
      <c r="T184" s="564"/>
      <c r="U184" s="564"/>
      <c r="V184" s="564"/>
      <c r="W184" s="564"/>
      <c r="X184" s="564"/>
      <c r="Y184" s="564"/>
      <c r="Z184" s="564"/>
      <c r="AA184" s="564"/>
      <c r="AB184" s="564"/>
      <c r="AC184" s="564"/>
      <c r="AD184" s="564"/>
      <c r="AE184" s="564"/>
      <c r="AF184" s="564"/>
      <c r="AG184" s="564"/>
      <c r="AH184" s="564"/>
      <c r="AI184" s="564"/>
      <c r="AJ184" s="564"/>
      <c r="AK184" s="564"/>
      <c r="AL184" s="564"/>
      <c r="AM184" s="564"/>
      <c r="AN184" s="564"/>
      <c r="AO184" s="564"/>
      <c r="AP184" s="564"/>
      <c r="AQ184" s="564"/>
      <c r="AR184" s="564"/>
      <c r="AS184" s="564"/>
      <c r="AT184" s="564"/>
      <c r="AU184" s="564"/>
    </row>
    <row r="185" spans="1:47">
      <c r="A185" s="563"/>
      <c r="B185" s="563"/>
      <c r="C185" s="563"/>
      <c r="D185" s="563"/>
      <c r="E185" s="563"/>
      <c r="F185" s="563"/>
      <c r="G185" s="563"/>
      <c r="H185" s="563"/>
      <c r="I185" s="563"/>
      <c r="J185" s="563"/>
      <c r="K185" s="563"/>
      <c r="L185" s="563"/>
      <c r="M185" s="564"/>
      <c r="N185" s="564"/>
      <c r="O185" s="564"/>
      <c r="P185" s="564"/>
      <c r="Q185" s="564"/>
      <c r="R185" s="564"/>
      <c r="S185" s="564"/>
      <c r="T185" s="564"/>
      <c r="U185" s="564"/>
      <c r="V185" s="564"/>
      <c r="W185" s="564"/>
      <c r="X185" s="564"/>
      <c r="Y185" s="564"/>
      <c r="Z185" s="564"/>
      <c r="AA185" s="564"/>
      <c r="AB185" s="564"/>
      <c r="AC185" s="564"/>
      <c r="AD185" s="564"/>
      <c r="AE185" s="564"/>
      <c r="AF185" s="564"/>
      <c r="AG185" s="564"/>
      <c r="AH185" s="564"/>
      <c r="AI185" s="564"/>
      <c r="AJ185" s="564"/>
      <c r="AK185" s="564"/>
      <c r="AL185" s="564"/>
      <c r="AM185" s="564"/>
      <c r="AN185" s="564"/>
      <c r="AO185" s="564"/>
      <c r="AP185" s="564"/>
      <c r="AQ185" s="564"/>
      <c r="AR185" s="564"/>
      <c r="AS185" s="564"/>
      <c r="AT185" s="564"/>
      <c r="AU185" s="564"/>
    </row>
    <row r="186" spans="1:47">
      <c r="A186" s="563"/>
      <c r="B186" s="563"/>
      <c r="C186" s="563"/>
      <c r="D186" s="563"/>
      <c r="E186" s="563"/>
      <c r="F186" s="563"/>
      <c r="G186" s="563"/>
      <c r="H186" s="563"/>
      <c r="I186" s="563"/>
      <c r="J186" s="563"/>
      <c r="K186" s="563"/>
      <c r="L186" s="563"/>
      <c r="M186" s="564"/>
      <c r="N186" s="564"/>
      <c r="O186" s="564"/>
      <c r="P186" s="564"/>
      <c r="Q186" s="564"/>
      <c r="R186" s="564"/>
      <c r="S186" s="564"/>
      <c r="T186" s="564"/>
      <c r="U186" s="564"/>
      <c r="V186" s="564"/>
      <c r="W186" s="564"/>
      <c r="X186" s="564"/>
      <c r="Y186" s="564"/>
      <c r="Z186" s="564"/>
      <c r="AA186" s="564"/>
      <c r="AB186" s="564"/>
      <c r="AC186" s="564"/>
      <c r="AD186" s="564"/>
      <c r="AE186" s="564"/>
      <c r="AF186" s="564"/>
      <c r="AG186" s="564"/>
      <c r="AH186" s="564"/>
      <c r="AI186" s="564"/>
      <c r="AJ186" s="564"/>
      <c r="AK186" s="564"/>
      <c r="AL186" s="564"/>
      <c r="AM186" s="564"/>
      <c r="AN186" s="564"/>
      <c r="AO186" s="564"/>
      <c r="AP186" s="564"/>
      <c r="AQ186" s="564"/>
      <c r="AR186" s="564"/>
      <c r="AS186" s="564"/>
      <c r="AT186" s="564"/>
      <c r="AU186" s="564"/>
    </row>
    <row r="187" spans="1:47">
      <c r="A187" s="563"/>
      <c r="B187" s="563"/>
      <c r="C187" s="563"/>
      <c r="D187" s="563"/>
      <c r="E187" s="563"/>
      <c r="F187" s="563"/>
      <c r="G187" s="563"/>
      <c r="H187" s="563"/>
      <c r="I187" s="563"/>
      <c r="J187" s="563"/>
      <c r="K187" s="563"/>
      <c r="L187" s="563"/>
      <c r="M187" s="564"/>
      <c r="N187" s="564"/>
      <c r="O187" s="564"/>
      <c r="P187" s="564"/>
      <c r="Q187" s="564"/>
      <c r="R187" s="564"/>
      <c r="S187" s="564"/>
      <c r="T187" s="564"/>
      <c r="U187" s="564"/>
      <c r="V187" s="564"/>
      <c r="W187" s="564"/>
      <c r="X187" s="564"/>
      <c r="Y187" s="564"/>
      <c r="Z187" s="564"/>
      <c r="AA187" s="564"/>
      <c r="AB187" s="564"/>
      <c r="AC187" s="564"/>
      <c r="AD187" s="564"/>
      <c r="AE187" s="564"/>
      <c r="AF187" s="564"/>
      <c r="AG187" s="564"/>
      <c r="AH187" s="564"/>
      <c r="AI187" s="564"/>
      <c r="AJ187" s="564"/>
      <c r="AK187" s="564"/>
      <c r="AL187" s="564"/>
      <c r="AM187" s="564"/>
      <c r="AN187" s="564"/>
      <c r="AO187" s="564"/>
      <c r="AP187" s="564"/>
      <c r="AQ187" s="564"/>
      <c r="AR187" s="564"/>
      <c r="AS187" s="564"/>
      <c r="AT187" s="564"/>
      <c r="AU187" s="564"/>
    </row>
    <row r="188" spans="1:47">
      <c r="A188" s="563"/>
      <c r="B188" s="563"/>
      <c r="C188" s="563"/>
      <c r="D188" s="563"/>
      <c r="E188" s="563"/>
      <c r="F188" s="563"/>
      <c r="G188" s="563"/>
      <c r="H188" s="563"/>
      <c r="I188" s="563"/>
      <c r="J188" s="563"/>
      <c r="K188" s="563"/>
      <c r="L188" s="563"/>
      <c r="M188" s="564"/>
      <c r="N188" s="564"/>
      <c r="O188" s="564"/>
      <c r="P188" s="564"/>
      <c r="Q188" s="564"/>
      <c r="R188" s="564"/>
      <c r="S188" s="564"/>
      <c r="T188" s="564"/>
      <c r="U188" s="564"/>
      <c r="V188" s="564"/>
      <c r="W188" s="564"/>
      <c r="X188" s="564"/>
      <c r="Y188" s="564"/>
      <c r="Z188" s="564"/>
      <c r="AA188" s="564"/>
      <c r="AB188" s="564"/>
      <c r="AC188" s="564"/>
      <c r="AD188" s="564"/>
      <c r="AE188" s="564"/>
      <c r="AF188" s="564"/>
      <c r="AG188" s="564"/>
      <c r="AH188" s="564"/>
      <c r="AI188" s="564"/>
      <c r="AJ188" s="564"/>
      <c r="AK188" s="564"/>
      <c r="AL188" s="564"/>
      <c r="AM188" s="564"/>
      <c r="AN188" s="564"/>
      <c r="AO188" s="564"/>
      <c r="AP188" s="564"/>
      <c r="AQ188" s="564"/>
      <c r="AR188" s="564"/>
      <c r="AS188" s="564"/>
      <c r="AT188" s="564"/>
      <c r="AU188" s="564"/>
    </row>
    <row r="189" spans="1:47">
      <c r="A189" s="563"/>
      <c r="B189" s="563"/>
      <c r="C189" s="563"/>
      <c r="D189" s="563"/>
      <c r="E189" s="563"/>
      <c r="F189" s="563"/>
      <c r="G189" s="563"/>
      <c r="H189" s="563"/>
      <c r="I189" s="563"/>
      <c r="J189" s="563"/>
      <c r="K189" s="563"/>
      <c r="L189" s="563"/>
      <c r="M189" s="564"/>
      <c r="N189" s="564"/>
      <c r="O189" s="564"/>
      <c r="P189" s="564"/>
      <c r="Q189" s="564"/>
      <c r="R189" s="564"/>
      <c r="S189" s="564"/>
      <c r="T189" s="564"/>
      <c r="U189" s="564"/>
      <c r="V189" s="564"/>
      <c r="W189" s="564"/>
      <c r="X189" s="564"/>
      <c r="Y189" s="564"/>
      <c r="Z189" s="564"/>
      <c r="AA189" s="564"/>
      <c r="AB189" s="564"/>
      <c r="AC189" s="564"/>
      <c r="AD189" s="564"/>
      <c r="AE189" s="564"/>
      <c r="AF189" s="564"/>
      <c r="AG189" s="564"/>
      <c r="AH189" s="564"/>
      <c r="AI189" s="564"/>
      <c r="AJ189" s="564"/>
      <c r="AK189" s="564"/>
      <c r="AL189" s="564"/>
      <c r="AM189" s="564"/>
      <c r="AN189" s="564"/>
      <c r="AO189" s="564"/>
      <c r="AP189" s="564"/>
      <c r="AQ189" s="564"/>
      <c r="AR189" s="564"/>
      <c r="AS189" s="564"/>
      <c r="AT189" s="564"/>
      <c r="AU189" s="564"/>
    </row>
    <row r="190" spans="1:47">
      <c r="A190" s="563"/>
      <c r="B190" s="563"/>
      <c r="C190" s="563"/>
      <c r="D190" s="563"/>
      <c r="E190" s="563"/>
      <c r="F190" s="563"/>
      <c r="G190" s="563"/>
      <c r="H190" s="563"/>
      <c r="I190" s="563"/>
      <c r="J190" s="563"/>
      <c r="K190" s="563"/>
      <c r="L190" s="563"/>
      <c r="M190" s="564"/>
      <c r="N190" s="564"/>
      <c r="O190" s="564"/>
      <c r="P190" s="564"/>
      <c r="Q190" s="564"/>
      <c r="R190" s="564"/>
      <c r="S190" s="564"/>
      <c r="T190" s="564"/>
      <c r="U190" s="564"/>
      <c r="V190" s="564"/>
      <c r="W190" s="564"/>
      <c r="X190" s="564"/>
      <c r="Y190" s="564"/>
      <c r="Z190" s="564"/>
      <c r="AA190" s="564"/>
      <c r="AB190" s="564"/>
      <c r="AC190" s="564"/>
      <c r="AD190" s="564"/>
      <c r="AE190" s="564"/>
      <c r="AF190" s="564"/>
      <c r="AG190" s="564"/>
      <c r="AH190" s="564"/>
      <c r="AI190" s="564"/>
      <c r="AJ190" s="564"/>
      <c r="AK190" s="564"/>
      <c r="AL190" s="564"/>
      <c r="AM190" s="564"/>
      <c r="AN190" s="564"/>
      <c r="AO190" s="564"/>
      <c r="AP190" s="564"/>
      <c r="AQ190" s="564"/>
      <c r="AR190" s="564"/>
      <c r="AS190" s="564"/>
      <c r="AT190" s="564"/>
      <c r="AU190" s="564"/>
    </row>
    <row r="191" spans="1:47">
      <c r="A191" s="563"/>
      <c r="B191" s="563"/>
      <c r="C191" s="563"/>
      <c r="D191" s="563"/>
      <c r="E191" s="563"/>
      <c r="F191" s="563"/>
      <c r="G191" s="563"/>
      <c r="H191" s="563"/>
      <c r="I191" s="563"/>
      <c r="J191" s="563"/>
      <c r="K191" s="563"/>
      <c r="L191" s="563"/>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4"/>
      <c r="AJ191" s="564"/>
      <c r="AK191" s="564"/>
      <c r="AL191" s="564"/>
      <c r="AM191" s="564"/>
      <c r="AN191" s="564"/>
      <c r="AO191" s="564"/>
      <c r="AP191" s="564"/>
      <c r="AQ191" s="564"/>
      <c r="AR191" s="564"/>
      <c r="AS191" s="564"/>
      <c r="AT191" s="564"/>
      <c r="AU191" s="564"/>
    </row>
    <row r="192" spans="1:47">
      <c r="A192" s="563"/>
      <c r="B192" s="563"/>
      <c r="C192" s="563"/>
      <c r="D192" s="563"/>
      <c r="E192" s="563"/>
      <c r="F192" s="563"/>
      <c r="G192" s="563"/>
      <c r="H192" s="563"/>
      <c r="I192" s="563"/>
      <c r="J192" s="563"/>
      <c r="K192" s="563"/>
      <c r="L192" s="563"/>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4"/>
      <c r="AP192" s="564"/>
      <c r="AQ192" s="564"/>
      <c r="AR192" s="564"/>
      <c r="AS192" s="564"/>
      <c r="AT192" s="564"/>
      <c r="AU192" s="564"/>
    </row>
    <row r="193" spans="1:47">
      <c r="A193" s="563"/>
      <c r="B193" s="563"/>
      <c r="C193" s="563"/>
      <c r="D193" s="563"/>
      <c r="E193" s="563"/>
      <c r="F193" s="563"/>
      <c r="G193" s="563"/>
      <c r="H193" s="563"/>
      <c r="I193" s="563"/>
      <c r="J193" s="563"/>
      <c r="K193" s="563"/>
      <c r="L193" s="563"/>
      <c r="M193" s="564"/>
      <c r="N193" s="564"/>
      <c r="O193" s="564"/>
      <c r="P193" s="564"/>
      <c r="Q193" s="564"/>
      <c r="R193" s="564"/>
      <c r="S193" s="564"/>
      <c r="T193" s="564"/>
      <c r="U193" s="564"/>
      <c r="V193" s="564"/>
      <c r="W193" s="564"/>
      <c r="X193" s="564"/>
      <c r="Y193" s="564"/>
      <c r="Z193" s="564"/>
      <c r="AA193" s="564"/>
      <c r="AB193" s="564"/>
      <c r="AC193" s="564"/>
      <c r="AD193" s="564"/>
      <c r="AE193" s="564"/>
      <c r="AF193" s="564"/>
      <c r="AG193" s="564"/>
      <c r="AH193" s="564"/>
      <c r="AI193" s="564"/>
      <c r="AJ193" s="564"/>
      <c r="AK193" s="564"/>
      <c r="AL193" s="564"/>
      <c r="AM193" s="564"/>
      <c r="AN193" s="564"/>
      <c r="AO193" s="564"/>
      <c r="AP193" s="564"/>
      <c r="AQ193" s="564"/>
      <c r="AR193" s="564"/>
      <c r="AS193" s="564"/>
      <c r="AT193" s="564"/>
      <c r="AU193" s="564"/>
    </row>
    <row r="194" spans="1:47">
      <c r="A194" s="563"/>
      <c r="B194" s="563"/>
      <c r="C194" s="563"/>
      <c r="D194" s="563"/>
      <c r="E194" s="563"/>
      <c r="F194" s="563"/>
      <c r="G194" s="563"/>
      <c r="H194" s="563"/>
      <c r="I194" s="563"/>
      <c r="J194" s="563"/>
      <c r="K194" s="563"/>
      <c r="L194" s="563"/>
      <c r="M194" s="564"/>
      <c r="N194" s="564"/>
      <c r="O194" s="564"/>
      <c r="P194" s="564"/>
      <c r="Q194" s="564"/>
      <c r="R194" s="564"/>
      <c r="S194" s="564"/>
      <c r="T194" s="564"/>
      <c r="U194" s="564"/>
      <c r="V194" s="564"/>
      <c r="W194" s="564"/>
      <c r="X194" s="564"/>
      <c r="Y194" s="564"/>
      <c r="Z194" s="564"/>
      <c r="AA194" s="564"/>
      <c r="AB194" s="564"/>
      <c r="AC194" s="564"/>
      <c r="AD194" s="564"/>
      <c r="AE194" s="564"/>
      <c r="AF194" s="564"/>
      <c r="AG194" s="564"/>
      <c r="AH194" s="564"/>
      <c r="AI194" s="564"/>
      <c r="AJ194" s="564"/>
      <c r="AK194" s="564"/>
      <c r="AL194" s="564"/>
      <c r="AM194" s="564"/>
      <c r="AN194" s="564"/>
      <c r="AO194" s="564"/>
      <c r="AP194" s="564"/>
      <c r="AQ194" s="564"/>
      <c r="AR194" s="564"/>
      <c r="AS194" s="564"/>
      <c r="AT194" s="564"/>
      <c r="AU194" s="564"/>
    </row>
    <row r="195" spans="1:47">
      <c r="A195" s="563"/>
      <c r="B195" s="563"/>
      <c r="C195" s="563"/>
      <c r="D195" s="563"/>
      <c r="E195" s="563"/>
      <c r="F195" s="563"/>
      <c r="G195" s="563"/>
      <c r="H195" s="563"/>
      <c r="I195" s="563"/>
      <c r="J195" s="563"/>
      <c r="K195" s="563"/>
      <c r="L195" s="563"/>
      <c r="M195" s="564"/>
      <c r="N195" s="564"/>
      <c r="O195" s="564"/>
      <c r="P195" s="564"/>
      <c r="Q195" s="564"/>
      <c r="R195" s="564"/>
      <c r="S195" s="564"/>
      <c r="T195" s="564"/>
      <c r="U195" s="564"/>
      <c r="V195" s="564"/>
      <c r="W195" s="564"/>
      <c r="X195" s="564"/>
      <c r="Y195" s="564"/>
      <c r="Z195" s="564"/>
      <c r="AA195" s="564"/>
      <c r="AB195" s="564"/>
      <c r="AC195" s="564"/>
      <c r="AD195" s="564"/>
      <c r="AE195" s="564"/>
      <c r="AF195" s="564"/>
      <c r="AG195" s="564"/>
      <c r="AH195" s="564"/>
      <c r="AI195" s="564"/>
      <c r="AJ195" s="564"/>
      <c r="AK195" s="564"/>
      <c r="AL195" s="564"/>
      <c r="AM195" s="564"/>
      <c r="AN195" s="564"/>
      <c r="AO195" s="564"/>
      <c r="AP195" s="564"/>
      <c r="AQ195" s="564"/>
      <c r="AR195" s="564"/>
      <c r="AS195" s="564"/>
      <c r="AT195" s="564"/>
      <c r="AU195" s="564"/>
    </row>
    <row r="196" spans="1:47">
      <c r="A196" s="563"/>
      <c r="B196" s="563"/>
      <c r="C196" s="563"/>
      <c r="D196" s="563"/>
      <c r="E196" s="563"/>
      <c r="F196" s="563"/>
      <c r="G196" s="563"/>
      <c r="H196" s="563"/>
      <c r="I196" s="563"/>
      <c r="J196" s="563"/>
      <c r="K196" s="563"/>
      <c r="L196" s="563"/>
      <c r="M196" s="564"/>
      <c r="N196" s="564"/>
      <c r="O196" s="564"/>
      <c r="P196" s="564"/>
      <c r="Q196" s="564"/>
      <c r="R196" s="564"/>
      <c r="S196" s="564"/>
      <c r="T196" s="564"/>
      <c r="U196" s="564"/>
      <c r="V196" s="564"/>
      <c r="W196" s="564"/>
      <c r="X196" s="564"/>
      <c r="Y196" s="564"/>
      <c r="Z196" s="564"/>
      <c r="AA196" s="564"/>
      <c r="AB196" s="564"/>
      <c r="AC196" s="564"/>
      <c r="AD196" s="564"/>
      <c r="AE196" s="564"/>
      <c r="AF196" s="564"/>
      <c r="AG196" s="564"/>
      <c r="AH196" s="564"/>
      <c r="AI196" s="564"/>
      <c r="AJ196" s="564"/>
      <c r="AK196" s="564"/>
      <c r="AL196" s="564"/>
      <c r="AM196" s="564"/>
      <c r="AN196" s="564"/>
      <c r="AO196" s="564"/>
      <c r="AP196" s="564"/>
      <c r="AQ196" s="564"/>
      <c r="AR196" s="564"/>
      <c r="AS196" s="564"/>
      <c r="AT196" s="564"/>
      <c r="AU196" s="564"/>
    </row>
    <row r="197" spans="1:47">
      <c r="A197" s="563"/>
      <c r="B197" s="563"/>
      <c r="C197" s="563"/>
      <c r="D197" s="563"/>
      <c r="E197" s="563"/>
      <c r="F197" s="563"/>
      <c r="G197" s="563"/>
      <c r="H197" s="563"/>
      <c r="I197" s="563"/>
      <c r="J197" s="563"/>
      <c r="K197" s="563"/>
      <c r="L197" s="563"/>
      <c r="M197" s="564"/>
      <c r="N197" s="564"/>
      <c r="O197" s="564"/>
      <c r="P197" s="564"/>
      <c r="Q197" s="564"/>
      <c r="R197" s="564"/>
      <c r="S197" s="564"/>
      <c r="T197" s="564"/>
      <c r="U197" s="564"/>
      <c r="V197" s="564"/>
      <c r="W197" s="564"/>
      <c r="X197" s="564"/>
      <c r="Y197" s="564"/>
      <c r="Z197" s="564"/>
      <c r="AA197" s="564"/>
      <c r="AB197" s="564"/>
      <c r="AC197" s="564"/>
      <c r="AD197" s="564"/>
      <c r="AE197" s="564"/>
      <c r="AF197" s="564"/>
      <c r="AG197" s="564"/>
      <c r="AH197" s="564"/>
      <c r="AI197" s="564"/>
      <c r="AJ197" s="564"/>
      <c r="AK197" s="564"/>
      <c r="AL197" s="564"/>
      <c r="AM197" s="564"/>
      <c r="AN197" s="564"/>
      <c r="AO197" s="564"/>
      <c r="AP197" s="564"/>
      <c r="AQ197" s="564"/>
      <c r="AR197" s="564"/>
      <c r="AS197" s="564"/>
      <c r="AT197" s="564"/>
      <c r="AU197" s="564"/>
    </row>
    <row r="198" spans="1:47">
      <c r="A198" s="563"/>
      <c r="B198" s="563"/>
      <c r="C198" s="563"/>
      <c r="D198" s="563"/>
      <c r="E198" s="563"/>
      <c r="F198" s="563"/>
      <c r="G198" s="563"/>
      <c r="H198" s="563"/>
      <c r="I198" s="563"/>
      <c r="J198" s="563"/>
      <c r="K198" s="563"/>
      <c r="L198" s="563"/>
      <c r="M198" s="564"/>
      <c r="N198" s="564"/>
      <c r="O198" s="564"/>
      <c r="P198" s="564"/>
      <c r="Q198" s="564"/>
      <c r="R198" s="564"/>
      <c r="S198" s="564"/>
      <c r="T198" s="564"/>
      <c r="U198" s="564"/>
      <c r="V198" s="564"/>
      <c r="W198" s="564"/>
      <c r="X198" s="564"/>
      <c r="Y198" s="564"/>
      <c r="Z198" s="564"/>
      <c r="AA198" s="564"/>
      <c r="AB198" s="564"/>
      <c r="AC198" s="564"/>
      <c r="AD198" s="564"/>
      <c r="AE198" s="564"/>
      <c r="AF198" s="564"/>
      <c r="AG198" s="564"/>
      <c r="AH198" s="564"/>
      <c r="AI198" s="564"/>
      <c r="AJ198" s="564"/>
      <c r="AK198" s="564"/>
      <c r="AL198" s="564"/>
      <c r="AM198" s="564"/>
      <c r="AN198" s="564"/>
      <c r="AO198" s="564"/>
      <c r="AP198" s="564"/>
      <c r="AQ198" s="564"/>
      <c r="AR198" s="564"/>
      <c r="AS198" s="564"/>
      <c r="AT198" s="564"/>
      <c r="AU198" s="564"/>
    </row>
    <row r="199" spans="1:47">
      <c r="A199" s="563"/>
      <c r="B199" s="563"/>
      <c r="C199" s="563"/>
      <c r="D199" s="563"/>
      <c r="E199" s="563"/>
      <c r="F199" s="563"/>
      <c r="G199" s="563"/>
      <c r="H199" s="563"/>
      <c r="I199" s="563"/>
      <c r="J199" s="563"/>
      <c r="K199" s="563"/>
      <c r="L199" s="563"/>
      <c r="M199" s="564"/>
      <c r="N199" s="564"/>
      <c r="O199" s="564"/>
      <c r="P199" s="564"/>
      <c r="Q199" s="564"/>
      <c r="R199" s="564"/>
      <c r="S199" s="564"/>
      <c r="T199" s="564"/>
      <c r="U199" s="564"/>
      <c r="V199" s="564"/>
      <c r="W199" s="564"/>
      <c r="X199" s="564"/>
      <c r="Y199" s="564"/>
      <c r="Z199" s="564"/>
      <c r="AA199" s="564"/>
      <c r="AB199" s="564"/>
      <c r="AC199" s="564"/>
      <c r="AD199" s="564"/>
      <c r="AE199" s="564"/>
      <c r="AF199" s="564"/>
      <c r="AG199" s="564"/>
      <c r="AH199" s="564"/>
      <c r="AI199" s="564"/>
      <c r="AJ199" s="564"/>
      <c r="AK199" s="564"/>
      <c r="AL199" s="564"/>
      <c r="AM199" s="564"/>
      <c r="AN199" s="564"/>
      <c r="AO199" s="564"/>
      <c r="AP199" s="564"/>
      <c r="AQ199" s="564"/>
      <c r="AR199" s="564"/>
      <c r="AS199" s="564"/>
      <c r="AT199" s="564"/>
      <c r="AU199" s="564"/>
    </row>
    <row r="200" spans="1:47">
      <c r="A200" s="563"/>
      <c r="B200" s="563"/>
      <c r="C200" s="563"/>
      <c r="D200" s="563"/>
      <c r="E200" s="563"/>
      <c r="F200" s="563"/>
      <c r="G200" s="563"/>
      <c r="H200" s="563"/>
      <c r="I200" s="563"/>
      <c r="J200" s="563"/>
      <c r="K200" s="563"/>
      <c r="L200" s="563"/>
      <c r="M200" s="564"/>
      <c r="N200" s="564"/>
      <c r="O200" s="564"/>
      <c r="P200" s="564"/>
      <c r="Q200" s="564"/>
      <c r="R200" s="564"/>
      <c r="S200" s="564"/>
      <c r="T200" s="564"/>
      <c r="U200" s="564"/>
      <c r="V200" s="564"/>
      <c r="W200" s="564"/>
      <c r="X200" s="564"/>
      <c r="Y200" s="564"/>
      <c r="Z200" s="564"/>
      <c r="AA200" s="564"/>
      <c r="AB200" s="564"/>
      <c r="AC200" s="564"/>
      <c r="AD200" s="564"/>
      <c r="AE200" s="564"/>
      <c r="AF200" s="564"/>
      <c r="AG200" s="564"/>
      <c r="AH200" s="564"/>
      <c r="AI200" s="564"/>
      <c r="AJ200" s="564"/>
      <c r="AK200" s="564"/>
      <c r="AL200" s="564"/>
      <c r="AM200" s="564"/>
      <c r="AN200" s="564"/>
      <c r="AO200" s="564"/>
      <c r="AP200" s="564"/>
      <c r="AQ200" s="564"/>
      <c r="AR200" s="564"/>
      <c r="AS200" s="564"/>
      <c r="AT200" s="564"/>
      <c r="AU200" s="564"/>
    </row>
    <row r="201" spans="1:47">
      <c r="A201" s="563"/>
      <c r="B201" s="563"/>
      <c r="C201" s="563"/>
      <c r="D201" s="563"/>
      <c r="E201" s="563"/>
      <c r="F201" s="563"/>
      <c r="G201" s="563"/>
      <c r="H201" s="563"/>
      <c r="I201" s="563"/>
      <c r="J201" s="563"/>
      <c r="K201" s="563"/>
      <c r="L201" s="563"/>
      <c r="M201" s="564"/>
      <c r="N201" s="564"/>
      <c r="O201" s="564"/>
      <c r="P201" s="564"/>
      <c r="Q201" s="564"/>
      <c r="R201" s="564"/>
      <c r="S201" s="564"/>
      <c r="T201" s="564"/>
      <c r="U201" s="564"/>
      <c r="V201" s="564"/>
      <c r="W201" s="564"/>
      <c r="X201" s="564"/>
      <c r="Y201" s="564"/>
      <c r="Z201" s="564"/>
      <c r="AA201" s="564"/>
      <c r="AB201" s="564"/>
      <c r="AC201" s="564"/>
      <c r="AD201" s="564"/>
      <c r="AE201" s="564"/>
      <c r="AF201" s="564"/>
      <c r="AG201" s="564"/>
      <c r="AH201" s="564"/>
      <c r="AI201" s="564"/>
      <c r="AJ201" s="564"/>
      <c r="AK201" s="564"/>
      <c r="AL201" s="564"/>
      <c r="AM201" s="564"/>
      <c r="AN201" s="564"/>
      <c r="AO201" s="564"/>
      <c r="AP201" s="564"/>
      <c r="AQ201" s="564"/>
      <c r="AR201" s="564"/>
      <c r="AS201" s="564"/>
      <c r="AT201" s="564"/>
      <c r="AU201" s="564"/>
    </row>
    <row r="202" spans="1:47">
      <c r="A202" s="563"/>
      <c r="B202" s="563"/>
      <c r="C202" s="563"/>
      <c r="D202" s="563"/>
      <c r="E202" s="563"/>
      <c r="F202" s="563"/>
      <c r="G202" s="563"/>
      <c r="H202" s="563"/>
      <c r="I202" s="563"/>
      <c r="J202" s="563"/>
      <c r="K202" s="563"/>
      <c r="L202" s="563"/>
      <c r="M202" s="564"/>
      <c r="N202" s="564"/>
      <c r="O202" s="564"/>
      <c r="P202" s="564"/>
      <c r="Q202" s="564"/>
      <c r="R202" s="564"/>
      <c r="S202" s="564"/>
      <c r="T202" s="564"/>
      <c r="U202" s="564"/>
      <c r="V202" s="564"/>
      <c r="W202" s="564"/>
      <c r="X202" s="564"/>
      <c r="Y202" s="564"/>
      <c r="Z202" s="564"/>
      <c r="AA202" s="564"/>
      <c r="AB202" s="564"/>
      <c r="AC202" s="564"/>
      <c r="AD202" s="564"/>
      <c r="AE202" s="564"/>
      <c r="AF202" s="564"/>
      <c r="AG202" s="564"/>
      <c r="AH202" s="564"/>
      <c r="AI202" s="564"/>
      <c r="AJ202" s="564"/>
      <c r="AK202" s="564"/>
      <c r="AL202" s="564"/>
      <c r="AM202" s="564"/>
      <c r="AN202" s="564"/>
      <c r="AO202" s="564"/>
      <c r="AP202" s="564"/>
      <c r="AQ202" s="564"/>
      <c r="AR202" s="564"/>
      <c r="AS202" s="564"/>
      <c r="AT202" s="564"/>
      <c r="AU202" s="564"/>
    </row>
    <row r="203" spans="1:47">
      <c r="A203" s="563"/>
      <c r="B203" s="563"/>
      <c r="C203" s="563"/>
      <c r="D203" s="563"/>
      <c r="E203" s="563"/>
      <c r="F203" s="563"/>
      <c r="G203" s="563"/>
      <c r="H203" s="563"/>
      <c r="I203" s="563"/>
      <c r="J203" s="563"/>
      <c r="K203" s="563"/>
      <c r="L203" s="563"/>
      <c r="M203" s="564"/>
      <c r="N203" s="564"/>
      <c r="O203" s="564"/>
      <c r="P203" s="564"/>
      <c r="Q203" s="564"/>
      <c r="R203" s="564"/>
      <c r="S203" s="564"/>
      <c r="T203" s="564"/>
      <c r="U203" s="564"/>
      <c r="V203" s="564"/>
      <c r="W203" s="564"/>
      <c r="X203" s="564"/>
      <c r="Y203" s="564"/>
      <c r="Z203" s="564"/>
      <c r="AA203" s="564"/>
      <c r="AB203" s="564"/>
      <c r="AC203" s="564"/>
      <c r="AD203" s="564"/>
      <c r="AE203" s="564"/>
      <c r="AF203" s="564"/>
      <c r="AG203" s="564"/>
      <c r="AH203" s="564"/>
      <c r="AI203" s="564"/>
      <c r="AJ203" s="564"/>
      <c r="AK203" s="564"/>
      <c r="AL203" s="564"/>
      <c r="AM203" s="564"/>
      <c r="AN203" s="564"/>
      <c r="AO203" s="564"/>
      <c r="AP203" s="564"/>
      <c r="AQ203" s="564"/>
      <c r="AR203" s="564"/>
      <c r="AS203" s="564"/>
      <c r="AT203" s="564"/>
      <c r="AU203" s="564"/>
    </row>
    <row r="204" spans="1:47">
      <c r="A204" s="563"/>
      <c r="B204" s="563"/>
      <c r="C204" s="563"/>
      <c r="D204" s="563"/>
      <c r="E204" s="563"/>
      <c r="F204" s="563"/>
      <c r="G204" s="563"/>
      <c r="H204" s="563"/>
      <c r="I204" s="563"/>
      <c r="J204" s="563"/>
      <c r="K204" s="563"/>
      <c r="L204" s="563"/>
      <c r="M204" s="564"/>
      <c r="N204" s="564"/>
      <c r="O204" s="564"/>
      <c r="P204" s="564"/>
      <c r="Q204" s="564"/>
      <c r="R204" s="564"/>
      <c r="S204" s="564"/>
      <c r="T204" s="564"/>
      <c r="U204" s="564"/>
      <c r="V204" s="564"/>
      <c r="W204" s="564"/>
      <c r="X204" s="564"/>
      <c r="Y204" s="564"/>
      <c r="Z204" s="564"/>
      <c r="AA204" s="564"/>
      <c r="AB204" s="564"/>
      <c r="AC204" s="564"/>
      <c r="AD204" s="564"/>
      <c r="AE204" s="564"/>
      <c r="AF204" s="564"/>
      <c r="AG204" s="564"/>
      <c r="AH204" s="564"/>
      <c r="AI204" s="564"/>
      <c r="AJ204" s="564"/>
      <c r="AK204" s="564"/>
      <c r="AL204" s="564"/>
      <c r="AM204" s="564"/>
      <c r="AN204" s="564"/>
      <c r="AO204" s="564"/>
      <c r="AP204" s="564"/>
      <c r="AQ204" s="564"/>
      <c r="AR204" s="564"/>
      <c r="AS204" s="564"/>
      <c r="AT204" s="564"/>
      <c r="AU204" s="564"/>
    </row>
    <row r="205" spans="1:47">
      <c r="A205" s="563"/>
      <c r="B205" s="563"/>
      <c r="C205" s="563"/>
      <c r="D205" s="563"/>
      <c r="E205" s="563"/>
      <c r="F205" s="563"/>
      <c r="G205" s="563"/>
      <c r="H205" s="563"/>
      <c r="I205" s="563"/>
      <c r="J205" s="563"/>
      <c r="K205" s="563"/>
      <c r="L205" s="563"/>
      <c r="M205" s="564"/>
      <c r="N205" s="564"/>
      <c r="O205" s="564"/>
      <c r="P205" s="564"/>
      <c r="Q205" s="564"/>
      <c r="R205" s="564"/>
      <c r="S205" s="564"/>
      <c r="T205" s="564"/>
      <c r="U205" s="564"/>
      <c r="V205" s="564"/>
      <c r="W205" s="564"/>
      <c r="X205" s="564"/>
      <c r="Y205" s="564"/>
      <c r="Z205" s="564"/>
      <c r="AA205" s="564"/>
      <c r="AB205" s="564"/>
      <c r="AC205" s="564"/>
      <c r="AD205" s="564"/>
      <c r="AE205" s="564"/>
      <c r="AF205" s="564"/>
      <c r="AG205" s="564"/>
      <c r="AH205" s="564"/>
      <c r="AI205" s="564"/>
      <c r="AJ205" s="564"/>
      <c r="AK205" s="564"/>
      <c r="AL205" s="564"/>
      <c r="AM205" s="564"/>
      <c r="AN205" s="564"/>
      <c r="AO205" s="564"/>
      <c r="AP205" s="564"/>
      <c r="AQ205" s="564"/>
      <c r="AR205" s="564"/>
      <c r="AS205" s="564"/>
      <c r="AT205" s="564"/>
      <c r="AU205" s="564"/>
    </row>
    <row r="206" spans="1:47">
      <c r="A206" s="563"/>
      <c r="B206" s="563"/>
      <c r="C206" s="563"/>
      <c r="D206" s="563"/>
      <c r="E206" s="563"/>
      <c r="F206" s="563"/>
      <c r="G206" s="563"/>
      <c r="H206" s="563"/>
      <c r="I206" s="563"/>
      <c r="J206" s="563"/>
      <c r="K206" s="563"/>
      <c r="L206" s="563"/>
      <c r="M206" s="564"/>
      <c r="N206" s="564"/>
      <c r="O206" s="564"/>
      <c r="P206" s="564"/>
      <c r="Q206" s="564"/>
      <c r="R206" s="564"/>
      <c r="S206" s="564"/>
      <c r="T206" s="564"/>
      <c r="U206" s="564"/>
      <c r="V206" s="564"/>
      <c r="W206" s="564"/>
      <c r="X206" s="564"/>
      <c r="Y206" s="564"/>
      <c r="Z206" s="564"/>
      <c r="AA206" s="564"/>
      <c r="AB206" s="564"/>
      <c r="AC206" s="564"/>
      <c r="AD206" s="564"/>
      <c r="AE206" s="564"/>
      <c r="AF206" s="564"/>
      <c r="AG206" s="564"/>
      <c r="AH206" s="564"/>
      <c r="AI206" s="564"/>
      <c r="AJ206" s="564"/>
      <c r="AK206" s="564"/>
      <c r="AL206" s="564"/>
      <c r="AM206" s="564"/>
      <c r="AN206" s="564"/>
      <c r="AO206" s="564"/>
      <c r="AP206" s="564"/>
      <c r="AQ206" s="564"/>
      <c r="AR206" s="564"/>
      <c r="AS206" s="564"/>
      <c r="AT206" s="564"/>
      <c r="AU206" s="564"/>
    </row>
    <row r="207" spans="1:47">
      <c r="A207" s="563"/>
      <c r="B207" s="563"/>
      <c r="C207" s="563"/>
      <c r="D207" s="563"/>
      <c r="E207" s="563"/>
      <c r="F207" s="563"/>
      <c r="G207" s="563"/>
      <c r="H207" s="563"/>
      <c r="I207" s="563"/>
      <c r="J207" s="563"/>
      <c r="K207" s="563"/>
      <c r="L207" s="563"/>
      <c r="M207" s="564"/>
      <c r="N207" s="564"/>
      <c r="O207" s="564"/>
      <c r="P207" s="564"/>
      <c r="Q207" s="564"/>
      <c r="R207" s="564"/>
      <c r="S207" s="564"/>
      <c r="T207" s="564"/>
      <c r="U207" s="564"/>
      <c r="V207" s="564"/>
      <c r="W207" s="564"/>
      <c r="X207" s="564"/>
      <c r="Y207" s="564"/>
      <c r="Z207" s="564"/>
      <c r="AA207" s="564"/>
      <c r="AB207" s="564"/>
      <c r="AC207" s="564"/>
      <c r="AD207" s="564"/>
      <c r="AE207" s="564"/>
      <c r="AF207" s="564"/>
      <c r="AG207" s="564"/>
      <c r="AH207" s="564"/>
      <c r="AI207" s="564"/>
      <c r="AJ207" s="564"/>
      <c r="AK207" s="564"/>
      <c r="AL207" s="564"/>
      <c r="AM207" s="564"/>
      <c r="AN207" s="564"/>
      <c r="AO207" s="564"/>
      <c r="AP207" s="564"/>
      <c r="AQ207" s="564"/>
      <c r="AR207" s="564"/>
      <c r="AS207" s="564"/>
      <c r="AT207" s="564"/>
      <c r="AU207" s="564"/>
    </row>
    <row r="208" spans="1:47">
      <c r="A208" s="563"/>
      <c r="B208" s="563"/>
      <c r="C208" s="563"/>
      <c r="D208" s="563"/>
      <c r="E208" s="563"/>
      <c r="F208" s="563"/>
      <c r="G208" s="563"/>
      <c r="H208" s="563"/>
      <c r="I208" s="563"/>
      <c r="J208" s="563"/>
      <c r="K208" s="563"/>
      <c r="L208" s="563"/>
      <c r="M208" s="564"/>
      <c r="N208" s="564"/>
      <c r="O208" s="564"/>
      <c r="P208" s="564"/>
      <c r="Q208" s="564"/>
      <c r="R208" s="564"/>
      <c r="S208" s="564"/>
      <c r="T208" s="564"/>
      <c r="U208" s="564"/>
      <c r="V208" s="564"/>
      <c r="W208" s="564"/>
      <c r="X208" s="564"/>
      <c r="Y208" s="564"/>
      <c r="Z208" s="564"/>
      <c r="AA208" s="564"/>
      <c r="AB208" s="564"/>
      <c r="AC208" s="564"/>
      <c r="AD208" s="564"/>
      <c r="AE208" s="564"/>
      <c r="AF208" s="564"/>
      <c r="AG208" s="564"/>
      <c r="AH208" s="564"/>
      <c r="AI208" s="564"/>
      <c r="AJ208" s="564"/>
      <c r="AK208" s="564"/>
      <c r="AL208" s="564"/>
      <c r="AM208" s="564"/>
      <c r="AN208" s="564"/>
      <c r="AO208" s="564"/>
      <c r="AP208" s="564"/>
      <c r="AQ208" s="564"/>
      <c r="AR208" s="564"/>
      <c r="AS208" s="564"/>
      <c r="AT208" s="564"/>
      <c r="AU208" s="564"/>
    </row>
    <row r="209" spans="1:47">
      <c r="A209" s="563"/>
      <c r="B209" s="563"/>
      <c r="C209" s="563"/>
      <c r="D209" s="563"/>
      <c r="E209" s="563"/>
      <c r="F209" s="563"/>
      <c r="G209" s="563"/>
      <c r="H209" s="563"/>
      <c r="I209" s="563"/>
      <c r="J209" s="563"/>
      <c r="K209" s="563"/>
      <c r="L209" s="563"/>
      <c r="M209" s="564"/>
      <c r="N209" s="564"/>
      <c r="O209" s="564"/>
      <c r="P209" s="564"/>
      <c r="Q209" s="564"/>
      <c r="R209" s="564"/>
      <c r="S209" s="564"/>
      <c r="T209" s="564"/>
      <c r="U209" s="564"/>
      <c r="V209" s="564"/>
      <c r="W209" s="564"/>
      <c r="X209" s="564"/>
      <c r="Y209" s="564"/>
      <c r="Z209" s="564"/>
      <c r="AA209" s="564"/>
      <c r="AB209" s="564"/>
      <c r="AC209" s="564"/>
      <c r="AD209" s="564"/>
      <c r="AE209" s="564"/>
      <c r="AF209" s="564"/>
      <c r="AG209" s="564"/>
      <c r="AH209" s="564"/>
      <c r="AI209" s="564"/>
      <c r="AJ209" s="564"/>
      <c r="AK209" s="564"/>
      <c r="AL209" s="564"/>
      <c r="AM209" s="564"/>
      <c r="AN209" s="564"/>
      <c r="AO209" s="564"/>
      <c r="AP209" s="564"/>
      <c r="AQ209" s="564"/>
      <c r="AR209" s="564"/>
      <c r="AS209" s="564"/>
      <c r="AT209" s="564"/>
      <c r="AU209" s="564"/>
    </row>
    <row r="210" spans="1:47">
      <c r="A210" s="563"/>
      <c r="B210" s="563"/>
      <c r="C210" s="563"/>
      <c r="D210" s="563"/>
      <c r="E210" s="563"/>
      <c r="F210" s="563"/>
      <c r="G210" s="563"/>
      <c r="H210" s="563"/>
      <c r="I210" s="563"/>
      <c r="J210" s="563"/>
      <c r="K210" s="563"/>
      <c r="L210" s="563"/>
      <c r="M210" s="564"/>
      <c r="N210" s="564"/>
      <c r="O210" s="564"/>
      <c r="P210" s="564"/>
      <c r="Q210" s="564"/>
      <c r="R210" s="564"/>
      <c r="S210" s="564"/>
      <c r="T210" s="564"/>
      <c r="U210" s="564"/>
      <c r="V210" s="564"/>
      <c r="W210" s="564"/>
      <c r="X210" s="564"/>
      <c r="Y210" s="564"/>
      <c r="Z210" s="564"/>
      <c r="AA210" s="564"/>
      <c r="AB210" s="564"/>
      <c r="AC210" s="564"/>
      <c r="AD210" s="564"/>
      <c r="AE210" s="564"/>
      <c r="AF210" s="564"/>
      <c r="AG210" s="564"/>
      <c r="AH210" s="564"/>
      <c r="AI210" s="564"/>
      <c r="AJ210" s="564"/>
      <c r="AK210" s="564"/>
      <c r="AL210" s="564"/>
      <c r="AM210" s="564"/>
      <c r="AN210" s="564"/>
      <c r="AO210" s="564"/>
      <c r="AP210" s="564"/>
      <c r="AQ210" s="564"/>
      <c r="AR210" s="564"/>
      <c r="AS210" s="564"/>
      <c r="AT210" s="564"/>
      <c r="AU210" s="564"/>
    </row>
    <row r="211" spans="1:47">
      <c r="A211" s="563"/>
      <c r="B211" s="563"/>
      <c r="C211" s="563"/>
      <c r="D211" s="563"/>
      <c r="E211" s="563"/>
      <c r="F211" s="563"/>
      <c r="G211" s="563"/>
      <c r="H211" s="563"/>
      <c r="I211" s="563"/>
      <c r="J211" s="563"/>
      <c r="K211" s="563"/>
      <c r="L211" s="563"/>
      <c r="M211" s="564"/>
      <c r="N211" s="564"/>
      <c r="O211" s="564"/>
      <c r="P211" s="564"/>
      <c r="Q211" s="564"/>
      <c r="R211" s="564"/>
      <c r="S211" s="564"/>
      <c r="T211" s="564"/>
      <c r="U211" s="564"/>
      <c r="V211" s="564"/>
      <c r="W211" s="564"/>
      <c r="X211" s="564"/>
      <c r="Y211" s="564"/>
      <c r="Z211" s="564"/>
      <c r="AA211" s="564"/>
      <c r="AB211" s="564"/>
      <c r="AC211" s="564"/>
      <c r="AD211" s="564"/>
      <c r="AE211" s="564"/>
      <c r="AF211" s="564"/>
      <c r="AG211" s="564"/>
      <c r="AH211" s="564"/>
      <c r="AI211" s="564"/>
      <c r="AJ211" s="564"/>
      <c r="AK211" s="564"/>
      <c r="AL211" s="564"/>
      <c r="AM211" s="564"/>
      <c r="AN211" s="564"/>
      <c r="AO211" s="564"/>
      <c r="AP211" s="564"/>
      <c r="AQ211" s="564"/>
      <c r="AR211" s="564"/>
      <c r="AS211" s="564"/>
      <c r="AT211" s="564"/>
      <c r="AU211" s="564"/>
    </row>
    <row r="212" spans="1:47">
      <c r="A212" s="563"/>
      <c r="B212" s="563"/>
      <c r="C212" s="563"/>
      <c r="D212" s="563"/>
      <c r="E212" s="563"/>
      <c r="F212" s="563"/>
      <c r="G212" s="563"/>
      <c r="H212" s="563"/>
      <c r="I212" s="563"/>
      <c r="J212" s="563"/>
      <c r="K212" s="563"/>
      <c r="L212" s="563"/>
      <c r="M212" s="564"/>
      <c r="N212" s="564"/>
      <c r="O212" s="564"/>
      <c r="P212" s="564"/>
      <c r="Q212" s="564"/>
      <c r="R212" s="564"/>
      <c r="S212" s="564"/>
      <c r="T212" s="564"/>
      <c r="U212" s="564"/>
      <c r="V212" s="564"/>
      <c r="W212" s="564"/>
      <c r="X212" s="564"/>
      <c r="Y212" s="564"/>
      <c r="Z212" s="564"/>
      <c r="AA212" s="564"/>
      <c r="AB212" s="564"/>
      <c r="AC212" s="564"/>
      <c r="AD212" s="564"/>
      <c r="AE212" s="564"/>
      <c r="AF212" s="564"/>
      <c r="AG212" s="564"/>
      <c r="AH212" s="564"/>
      <c r="AI212" s="564"/>
      <c r="AJ212" s="564"/>
      <c r="AK212" s="564"/>
      <c r="AL212" s="564"/>
      <c r="AM212" s="564"/>
      <c r="AN212" s="564"/>
      <c r="AO212" s="564"/>
      <c r="AP212" s="564"/>
      <c r="AQ212" s="564"/>
      <c r="AR212" s="564"/>
      <c r="AS212" s="564"/>
      <c r="AT212" s="564"/>
      <c r="AU212" s="564"/>
    </row>
    <row r="213" spans="1:47">
      <c r="A213" s="563"/>
      <c r="B213" s="563"/>
      <c r="C213" s="563"/>
      <c r="D213" s="563"/>
      <c r="E213" s="563"/>
      <c r="F213" s="563"/>
      <c r="G213" s="563"/>
      <c r="H213" s="563"/>
      <c r="I213" s="563"/>
      <c r="J213" s="563"/>
      <c r="K213" s="563"/>
      <c r="L213" s="563"/>
      <c r="M213" s="564"/>
      <c r="N213" s="564"/>
      <c r="O213" s="564"/>
      <c r="P213" s="564"/>
      <c r="Q213" s="564"/>
      <c r="R213" s="564"/>
      <c r="S213" s="564"/>
      <c r="T213" s="564"/>
      <c r="U213" s="564"/>
      <c r="V213" s="564"/>
      <c r="W213" s="564"/>
      <c r="X213" s="564"/>
      <c r="Y213" s="564"/>
      <c r="Z213" s="564"/>
      <c r="AA213" s="564"/>
      <c r="AB213" s="564"/>
      <c r="AC213" s="564"/>
      <c r="AD213" s="564"/>
      <c r="AE213" s="564"/>
      <c r="AF213" s="564"/>
      <c r="AG213" s="564"/>
      <c r="AH213" s="564"/>
      <c r="AI213" s="564"/>
      <c r="AJ213" s="564"/>
      <c r="AK213" s="564"/>
      <c r="AL213" s="564"/>
      <c r="AM213" s="564"/>
      <c r="AN213" s="564"/>
      <c r="AO213" s="564"/>
      <c r="AP213" s="564"/>
      <c r="AQ213" s="564"/>
      <c r="AR213" s="564"/>
      <c r="AS213" s="564"/>
      <c r="AT213" s="564"/>
      <c r="AU213" s="564"/>
    </row>
    <row r="214" spans="1:47">
      <c r="A214" s="563"/>
      <c r="B214" s="563"/>
      <c r="C214" s="563"/>
      <c r="D214" s="563"/>
      <c r="E214" s="563"/>
      <c r="F214" s="563"/>
      <c r="G214" s="563"/>
      <c r="H214" s="563"/>
      <c r="I214" s="563"/>
      <c r="J214" s="563"/>
      <c r="K214" s="563"/>
      <c r="L214" s="563"/>
      <c r="M214" s="564"/>
      <c r="N214" s="564"/>
      <c r="O214" s="564"/>
      <c r="P214" s="564"/>
      <c r="Q214" s="564"/>
      <c r="R214" s="564"/>
      <c r="S214" s="564"/>
      <c r="T214" s="564"/>
      <c r="U214" s="564"/>
      <c r="V214" s="564"/>
      <c r="W214" s="564"/>
      <c r="X214" s="564"/>
      <c r="Y214" s="564"/>
      <c r="Z214" s="564"/>
      <c r="AA214" s="564"/>
      <c r="AB214" s="564"/>
      <c r="AC214" s="564"/>
      <c r="AD214" s="564"/>
      <c r="AE214" s="564"/>
      <c r="AF214" s="564"/>
      <c r="AG214" s="564"/>
      <c r="AH214" s="564"/>
      <c r="AI214" s="564"/>
      <c r="AJ214" s="564"/>
      <c r="AK214" s="564"/>
      <c r="AL214" s="564"/>
      <c r="AM214" s="564"/>
      <c r="AN214" s="564"/>
      <c r="AO214" s="564"/>
      <c r="AP214" s="564"/>
      <c r="AQ214" s="564"/>
      <c r="AR214" s="564"/>
      <c r="AS214" s="564"/>
      <c r="AT214" s="564"/>
      <c r="AU214" s="564"/>
    </row>
    <row r="215" spans="1:47">
      <c r="A215" s="563"/>
      <c r="B215" s="563"/>
      <c r="C215" s="563"/>
      <c r="D215" s="563"/>
      <c r="E215" s="563"/>
      <c r="F215" s="563"/>
      <c r="G215" s="563"/>
      <c r="H215" s="563"/>
      <c r="I215" s="563"/>
      <c r="J215" s="563"/>
      <c r="K215" s="563"/>
      <c r="L215" s="563"/>
      <c r="M215" s="564"/>
      <c r="N215" s="564"/>
      <c r="O215" s="564"/>
      <c r="P215" s="564"/>
      <c r="Q215" s="564"/>
      <c r="R215" s="564"/>
      <c r="S215" s="564"/>
      <c r="T215" s="564"/>
      <c r="U215" s="564"/>
      <c r="V215" s="564"/>
      <c r="W215" s="564"/>
      <c r="X215" s="564"/>
      <c r="Y215" s="564"/>
      <c r="Z215" s="564"/>
      <c r="AA215" s="564"/>
      <c r="AB215" s="564"/>
      <c r="AC215" s="564"/>
      <c r="AD215" s="564"/>
      <c r="AE215" s="564"/>
      <c r="AF215" s="564"/>
      <c r="AG215" s="564"/>
      <c r="AH215" s="564"/>
      <c r="AI215" s="564"/>
      <c r="AJ215" s="564"/>
      <c r="AK215" s="564"/>
      <c r="AL215" s="564"/>
      <c r="AM215" s="564"/>
      <c r="AN215" s="564"/>
      <c r="AO215" s="564"/>
      <c r="AP215" s="564"/>
      <c r="AQ215" s="564"/>
      <c r="AR215" s="564"/>
      <c r="AS215" s="564"/>
      <c r="AT215" s="564"/>
      <c r="AU215" s="564"/>
    </row>
    <row r="216" spans="1:47">
      <c r="A216" s="563"/>
      <c r="B216" s="563"/>
      <c r="C216" s="563"/>
      <c r="D216" s="563"/>
      <c r="E216" s="563"/>
      <c r="F216" s="563"/>
      <c r="G216" s="563"/>
      <c r="H216" s="563"/>
      <c r="I216" s="563"/>
      <c r="J216" s="563"/>
      <c r="K216" s="563"/>
      <c r="L216" s="563"/>
      <c r="M216" s="564"/>
      <c r="N216" s="564"/>
      <c r="O216" s="564"/>
      <c r="P216" s="564"/>
      <c r="Q216" s="564"/>
      <c r="R216" s="564"/>
      <c r="S216" s="564"/>
      <c r="T216" s="564"/>
      <c r="U216" s="564"/>
      <c r="V216" s="564"/>
      <c r="W216" s="564"/>
      <c r="X216" s="564"/>
      <c r="Y216" s="564"/>
      <c r="Z216" s="564"/>
      <c r="AA216" s="564"/>
      <c r="AB216" s="564"/>
      <c r="AC216" s="564"/>
      <c r="AD216" s="564"/>
      <c r="AE216" s="564"/>
      <c r="AF216" s="564"/>
      <c r="AG216" s="564"/>
      <c r="AH216" s="564"/>
      <c r="AI216" s="564"/>
      <c r="AJ216" s="564"/>
      <c r="AK216" s="564"/>
      <c r="AL216" s="564"/>
      <c r="AM216" s="564"/>
      <c r="AN216" s="564"/>
      <c r="AO216" s="564"/>
      <c r="AP216" s="564"/>
      <c r="AQ216" s="564"/>
      <c r="AR216" s="564"/>
      <c r="AS216" s="564"/>
      <c r="AT216" s="564"/>
      <c r="AU216" s="564"/>
    </row>
    <row r="217" spans="1:47">
      <c r="A217" s="563"/>
      <c r="B217" s="563"/>
      <c r="C217" s="563"/>
      <c r="D217" s="563"/>
      <c r="E217" s="563"/>
      <c r="F217" s="563"/>
      <c r="G217" s="563"/>
      <c r="H217" s="563"/>
      <c r="I217" s="563"/>
      <c r="J217" s="563"/>
      <c r="K217" s="563"/>
      <c r="L217" s="563"/>
      <c r="M217" s="564"/>
      <c r="N217" s="564"/>
      <c r="O217" s="564"/>
      <c r="P217" s="564"/>
      <c r="Q217" s="564"/>
      <c r="R217" s="564"/>
      <c r="S217" s="564"/>
      <c r="T217" s="564"/>
      <c r="U217" s="564"/>
      <c r="V217" s="564"/>
      <c r="W217" s="564"/>
      <c r="X217" s="564"/>
      <c r="Y217" s="564"/>
      <c r="Z217" s="564"/>
      <c r="AA217" s="564"/>
      <c r="AB217" s="564"/>
      <c r="AC217" s="564"/>
      <c r="AD217" s="564"/>
      <c r="AE217" s="564"/>
      <c r="AF217" s="564"/>
      <c r="AG217" s="564"/>
      <c r="AH217" s="564"/>
      <c r="AI217" s="564"/>
      <c r="AJ217" s="564"/>
      <c r="AK217" s="564"/>
      <c r="AL217" s="564"/>
      <c r="AM217" s="564"/>
      <c r="AN217" s="564"/>
      <c r="AO217" s="564"/>
      <c r="AP217" s="564"/>
      <c r="AQ217" s="564"/>
      <c r="AR217" s="564"/>
      <c r="AS217" s="564"/>
      <c r="AT217" s="564"/>
      <c r="AU217" s="564"/>
    </row>
    <row r="218" spans="1:47">
      <c r="A218" s="563"/>
      <c r="B218" s="563"/>
      <c r="C218" s="563"/>
      <c r="D218" s="563"/>
      <c r="E218" s="563"/>
      <c r="F218" s="563"/>
      <c r="G218" s="563"/>
      <c r="H218" s="563"/>
      <c r="I218" s="563"/>
      <c r="J218" s="563"/>
      <c r="K218" s="563"/>
      <c r="L218" s="563"/>
      <c r="M218" s="564"/>
      <c r="N218" s="564"/>
      <c r="O218" s="564"/>
      <c r="P218" s="564"/>
      <c r="Q218" s="564"/>
      <c r="R218" s="564"/>
      <c r="S218" s="564"/>
      <c r="T218" s="564"/>
      <c r="U218" s="564"/>
      <c r="V218" s="564"/>
      <c r="W218" s="564"/>
      <c r="X218" s="564"/>
      <c r="Y218" s="564"/>
      <c r="Z218" s="564"/>
      <c r="AA218" s="564"/>
      <c r="AB218" s="564"/>
      <c r="AC218" s="564"/>
      <c r="AD218" s="564"/>
      <c r="AE218" s="564"/>
      <c r="AF218" s="564"/>
      <c r="AG218" s="564"/>
      <c r="AH218" s="564"/>
      <c r="AI218" s="564"/>
      <c r="AJ218" s="564"/>
      <c r="AK218" s="564"/>
      <c r="AL218" s="564"/>
      <c r="AM218" s="564"/>
      <c r="AN218" s="564"/>
      <c r="AO218" s="564"/>
      <c r="AP218" s="564"/>
      <c r="AQ218" s="564"/>
      <c r="AR218" s="564"/>
      <c r="AS218" s="564"/>
      <c r="AT218" s="564"/>
      <c r="AU218" s="564"/>
    </row>
    <row r="219" spans="1:47">
      <c r="A219" s="563"/>
      <c r="B219" s="563"/>
      <c r="C219" s="563"/>
      <c r="D219" s="563"/>
      <c r="E219" s="563"/>
      <c r="F219" s="563"/>
      <c r="G219" s="563"/>
      <c r="H219" s="563"/>
      <c r="I219" s="563"/>
      <c r="J219" s="563"/>
      <c r="K219" s="563"/>
      <c r="L219" s="563"/>
      <c r="M219" s="564"/>
      <c r="N219" s="564"/>
      <c r="O219" s="564"/>
      <c r="P219" s="564"/>
      <c r="Q219" s="564"/>
      <c r="R219" s="564"/>
      <c r="S219" s="564"/>
      <c r="T219" s="564"/>
      <c r="U219" s="564"/>
      <c r="V219" s="564"/>
      <c r="W219" s="564"/>
      <c r="X219" s="564"/>
      <c r="Y219" s="564"/>
      <c r="Z219" s="564"/>
      <c r="AA219" s="564"/>
      <c r="AB219" s="564"/>
      <c r="AC219" s="564"/>
      <c r="AD219" s="564"/>
      <c r="AE219" s="564"/>
      <c r="AF219" s="564"/>
      <c r="AG219" s="564"/>
      <c r="AH219" s="564"/>
      <c r="AI219" s="564"/>
      <c r="AJ219" s="564"/>
      <c r="AK219" s="564"/>
      <c r="AL219" s="564"/>
      <c r="AM219" s="564"/>
      <c r="AN219" s="564"/>
      <c r="AO219" s="564"/>
      <c r="AP219" s="564"/>
      <c r="AQ219" s="564"/>
      <c r="AR219" s="564"/>
      <c r="AS219" s="564"/>
      <c r="AT219" s="564"/>
      <c r="AU219" s="564"/>
    </row>
    <row r="220" spans="1:47">
      <c r="A220" s="563"/>
      <c r="B220" s="563"/>
      <c r="C220" s="563"/>
      <c r="D220" s="563"/>
      <c r="E220" s="563"/>
      <c r="F220" s="563"/>
      <c r="G220" s="563"/>
      <c r="H220" s="563"/>
      <c r="I220" s="563"/>
      <c r="J220" s="563"/>
      <c r="K220" s="563"/>
      <c r="L220" s="563"/>
      <c r="M220" s="564"/>
      <c r="N220" s="564"/>
      <c r="O220" s="564"/>
      <c r="P220" s="564"/>
      <c r="Q220" s="564"/>
      <c r="R220" s="564"/>
      <c r="S220" s="564"/>
      <c r="T220" s="564"/>
      <c r="U220" s="564"/>
      <c r="V220" s="564"/>
      <c r="W220" s="564"/>
      <c r="X220" s="564"/>
      <c r="Y220" s="564"/>
      <c r="Z220" s="564"/>
      <c r="AA220" s="564"/>
      <c r="AB220" s="564"/>
      <c r="AC220" s="564"/>
      <c r="AD220" s="564"/>
      <c r="AE220" s="564"/>
      <c r="AF220" s="564"/>
      <c r="AG220" s="564"/>
      <c r="AH220" s="564"/>
      <c r="AI220" s="564"/>
      <c r="AJ220" s="564"/>
      <c r="AK220" s="564"/>
      <c r="AL220" s="564"/>
      <c r="AM220" s="564"/>
      <c r="AN220" s="564"/>
      <c r="AO220" s="564"/>
      <c r="AP220" s="564"/>
      <c r="AQ220" s="564"/>
      <c r="AR220" s="564"/>
      <c r="AS220" s="564"/>
      <c r="AT220" s="564"/>
      <c r="AU220" s="564"/>
    </row>
    <row r="221" spans="1:47">
      <c r="A221" s="563"/>
      <c r="B221" s="563"/>
      <c r="C221" s="563"/>
      <c r="D221" s="563"/>
      <c r="E221" s="563"/>
      <c r="F221" s="563"/>
      <c r="G221" s="563"/>
      <c r="H221" s="563"/>
      <c r="I221" s="563"/>
      <c r="J221" s="563"/>
      <c r="K221" s="563"/>
      <c r="L221" s="563"/>
      <c r="M221" s="564"/>
      <c r="N221" s="564"/>
      <c r="O221" s="564"/>
      <c r="P221" s="564"/>
      <c r="Q221" s="564"/>
      <c r="R221" s="564"/>
      <c r="S221" s="564"/>
      <c r="T221" s="564"/>
      <c r="U221" s="564"/>
      <c r="V221" s="564"/>
      <c r="W221" s="564"/>
      <c r="X221" s="564"/>
      <c r="Y221" s="564"/>
      <c r="Z221" s="564"/>
      <c r="AA221" s="564"/>
      <c r="AB221" s="564"/>
      <c r="AC221" s="564"/>
      <c r="AD221" s="564"/>
      <c r="AE221" s="564"/>
      <c r="AF221" s="564"/>
      <c r="AG221" s="564"/>
      <c r="AH221" s="564"/>
      <c r="AI221" s="564"/>
      <c r="AJ221" s="564"/>
      <c r="AK221" s="564"/>
      <c r="AL221" s="564"/>
      <c r="AM221" s="564"/>
      <c r="AN221" s="564"/>
      <c r="AO221" s="564"/>
      <c r="AP221" s="564"/>
      <c r="AQ221" s="564"/>
      <c r="AR221" s="564"/>
      <c r="AS221" s="564"/>
      <c r="AT221" s="564"/>
      <c r="AU221" s="564"/>
    </row>
    <row r="222" spans="1:47">
      <c r="A222" s="563"/>
      <c r="B222" s="563"/>
      <c r="C222" s="563"/>
      <c r="D222" s="563"/>
      <c r="E222" s="563"/>
      <c r="F222" s="563"/>
      <c r="G222" s="563"/>
      <c r="H222" s="563"/>
      <c r="I222" s="563"/>
      <c r="J222" s="563"/>
      <c r="K222" s="563"/>
      <c r="L222" s="563"/>
      <c r="M222" s="564"/>
      <c r="N222" s="564"/>
      <c r="O222" s="564"/>
      <c r="P222" s="564"/>
      <c r="Q222" s="564"/>
      <c r="R222" s="564"/>
      <c r="S222" s="564"/>
      <c r="T222" s="564"/>
      <c r="U222" s="564"/>
      <c r="V222" s="564"/>
      <c r="W222" s="564"/>
      <c r="X222" s="564"/>
      <c r="Y222" s="564"/>
      <c r="Z222" s="564"/>
      <c r="AA222" s="564"/>
      <c r="AB222" s="564"/>
      <c r="AC222" s="564"/>
      <c r="AD222" s="564"/>
      <c r="AE222" s="564"/>
      <c r="AF222" s="564"/>
      <c r="AG222" s="564"/>
      <c r="AH222" s="564"/>
      <c r="AI222" s="564"/>
      <c r="AJ222" s="564"/>
      <c r="AK222" s="564"/>
      <c r="AL222" s="564"/>
      <c r="AM222" s="564"/>
      <c r="AN222" s="564"/>
      <c r="AO222" s="564"/>
      <c r="AP222" s="564"/>
      <c r="AQ222" s="564"/>
      <c r="AR222" s="564"/>
      <c r="AS222" s="564"/>
      <c r="AT222" s="564"/>
      <c r="AU222" s="564"/>
    </row>
    <row r="223" spans="1:47">
      <c r="A223" s="563"/>
      <c r="B223" s="563"/>
      <c r="C223" s="563"/>
      <c r="D223" s="563"/>
      <c r="E223" s="563"/>
      <c r="F223" s="563"/>
      <c r="G223" s="563"/>
      <c r="H223" s="563"/>
      <c r="I223" s="563"/>
      <c r="J223" s="563"/>
      <c r="K223" s="563"/>
      <c r="L223" s="563"/>
      <c r="M223" s="564"/>
      <c r="N223" s="564"/>
      <c r="O223" s="564"/>
      <c r="P223" s="564"/>
      <c r="Q223" s="564"/>
      <c r="R223" s="564"/>
      <c r="S223" s="564"/>
      <c r="T223" s="564"/>
      <c r="U223" s="564"/>
      <c r="V223" s="564"/>
      <c r="W223" s="564"/>
      <c r="X223" s="564"/>
      <c r="Y223" s="564"/>
      <c r="Z223" s="564"/>
      <c r="AA223" s="564"/>
      <c r="AB223" s="564"/>
      <c r="AC223" s="564"/>
      <c r="AD223" s="564"/>
      <c r="AE223" s="564"/>
      <c r="AF223" s="564"/>
      <c r="AG223" s="564"/>
      <c r="AH223" s="564"/>
      <c r="AI223" s="564"/>
      <c r="AJ223" s="564"/>
      <c r="AK223" s="564"/>
      <c r="AL223" s="564"/>
      <c r="AM223" s="564"/>
      <c r="AN223" s="564"/>
      <c r="AO223" s="564"/>
      <c r="AP223" s="564"/>
      <c r="AQ223" s="564"/>
      <c r="AR223" s="564"/>
      <c r="AS223" s="564"/>
      <c r="AT223" s="564"/>
      <c r="AU223" s="564"/>
    </row>
    <row r="224" spans="1:47">
      <c r="A224" s="563"/>
      <c r="B224" s="563"/>
      <c r="C224" s="563"/>
      <c r="D224" s="563"/>
      <c r="E224" s="563"/>
      <c r="F224" s="563"/>
      <c r="G224" s="563"/>
      <c r="H224" s="563"/>
      <c r="I224" s="563"/>
      <c r="J224" s="563"/>
      <c r="K224" s="563"/>
      <c r="L224" s="563"/>
      <c r="M224" s="564"/>
      <c r="N224" s="564"/>
      <c r="O224" s="564"/>
      <c r="P224" s="564"/>
      <c r="Q224" s="564"/>
      <c r="R224" s="564"/>
      <c r="S224" s="564"/>
      <c r="T224" s="564"/>
      <c r="U224" s="564"/>
      <c r="V224" s="564"/>
      <c r="W224" s="564"/>
      <c r="X224" s="564"/>
      <c r="Y224" s="564"/>
      <c r="Z224" s="564"/>
      <c r="AA224" s="564"/>
      <c r="AB224" s="564"/>
      <c r="AC224" s="564"/>
      <c r="AD224" s="564"/>
      <c r="AE224" s="564"/>
      <c r="AF224" s="564"/>
      <c r="AG224" s="564"/>
      <c r="AH224" s="564"/>
      <c r="AI224" s="564"/>
      <c r="AJ224" s="564"/>
      <c r="AK224" s="564"/>
      <c r="AL224" s="564"/>
      <c r="AM224" s="564"/>
      <c r="AN224" s="564"/>
      <c r="AO224" s="564"/>
      <c r="AP224" s="564"/>
      <c r="AQ224" s="564"/>
      <c r="AR224" s="564"/>
      <c r="AS224" s="564"/>
      <c r="AT224" s="564"/>
      <c r="AU224" s="564"/>
    </row>
    <row r="225" spans="1:47">
      <c r="A225" s="563"/>
      <c r="B225" s="563"/>
      <c r="C225" s="563"/>
      <c r="D225" s="563"/>
      <c r="E225" s="563"/>
      <c r="F225" s="563"/>
      <c r="G225" s="563"/>
      <c r="H225" s="563"/>
      <c r="I225" s="563"/>
      <c r="J225" s="563"/>
      <c r="K225" s="563"/>
      <c r="L225" s="563"/>
      <c r="M225" s="564"/>
      <c r="N225" s="564"/>
      <c r="O225" s="564"/>
      <c r="P225" s="564"/>
      <c r="Q225" s="564"/>
      <c r="R225" s="564"/>
      <c r="S225" s="564"/>
      <c r="T225" s="564"/>
      <c r="U225" s="564"/>
      <c r="V225" s="564"/>
      <c r="W225" s="564"/>
      <c r="X225" s="564"/>
      <c r="Y225" s="564"/>
      <c r="Z225" s="564"/>
      <c r="AA225" s="564"/>
      <c r="AB225" s="564"/>
      <c r="AC225" s="564"/>
      <c r="AD225" s="564"/>
      <c r="AE225" s="564"/>
      <c r="AF225" s="564"/>
      <c r="AG225" s="564"/>
      <c r="AH225" s="564"/>
      <c r="AI225" s="564"/>
      <c r="AJ225" s="564"/>
      <c r="AK225" s="564"/>
      <c r="AL225" s="564"/>
      <c r="AM225" s="564"/>
      <c r="AN225" s="564"/>
      <c r="AO225" s="564"/>
      <c r="AP225" s="564"/>
      <c r="AQ225" s="564"/>
      <c r="AR225" s="564"/>
      <c r="AS225" s="564"/>
      <c r="AT225" s="564"/>
      <c r="AU225" s="564"/>
    </row>
    <row r="226" spans="1:47">
      <c r="A226" s="563"/>
      <c r="B226" s="563"/>
      <c r="C226" s="563"/>
      <c r="D226" s="563"/>
      <c r="E226" s="563"/>
      <c r="F226" s="563"/>
      <c r="G226" s="563"/>
      <c r="H226" s="563"/>
      <c r="I226" s="563"/>
      <c r="J226" s="563"/>
      <c r="K226" s="563"/>
      <c r="L226" s="563"/>
      <c r="M226" s="564"/>
      <c r="N226" s="564"/>
      <c r="O226" s="564"/>
      <c r="P226" s="564"/>
      <c r="Q226" s="564"/>
      <c r="R226" s="564"/>
      <c r="S226" s="564"/>
      <c r="T226" s="564"/>
      <c r="U226" s="564"/>
      <c r="V226" s="564"/>
      <c r="W226" s="564"/>
      <c r="X226" s="564"/>
      <c r="Y226" s="564"/>
      <c r="Z226" s="564"/>
      <c r="AA226" s="564"/>
      <c r="AB226" s="564"/>
      <c r="AC226" s="564"/>
      <c r="AD226" s="564"/>
      <c r="AE226" s="564"/>
      <c r="AF226" s="564"/>
      <c r="AG226" s="564"/>
      <c r="AH226" s="564"/>
      <c r="AI226" s="564"/>
      <c r="AJ226" s="564"/>
      <c r="AK226" s="564"/>
      <c r="AL226" s="564"/>
      <c r="AM226" s="564"/>
      <c r="AN226" s="564"/>
      <c r="AO226" s="564"/>
      <c r="AP226" s="564"/>
      <c r="AQ226" s="564"/>
      <c r="AR226" s="564"/>
      <c r="AS226" s="564"/>
      <c r="AT226" s="564"/>
      <c r="AU226" s="564"/>
    </row>
    <row r="227" spans="1:47">
      <c r="A227" s="563"/>
      <c r="B227" s="563"/>
      <c r="C227" s="563"/>
      <c r="D227" s="563"/>
      <c r="E227" s="563"/>
      <c r="F227" s="563"/>
      <c r="G227" s="563"/>
      <c r="H227" s="563"/>
      <c r="I227" s="563"/>
      <c r="J227" s="563"/>
      <c r="K227" s="563"/>
      <c r="L227" s="563"/>
      <c r="M227" s="564"/>
      <c r="N227" s="564"/>
      <c r="O227" s="564"/>
      <c r="P227" s="564"/>
      <c r="Q227" s="564"/>
      <c r="R227" s="564"/>
      <c r="S227" s="564"/>
      <c r="T227" s="564"/>
      <c r="U227" s="564"/>
      <c r="V227" s="564"/>
      <c r="W227" s="564"/>
      <c r="X227" s="564"/>
      <c r="Y227" s="564"/>
      <c r="Z227" s="564"/>
      <c r="AA227" s="564"/>
      <c r="AB227" s="564"/>
      <c r="AC227" s="564"/>
      <c r="AD227" s="564"/>
      <c r="AE227" s="564"/>
      <c r="AF227" s="564"/>
      <c r="AG227" s="564"/>
      <c r="AH227" s="564"/>
      <c r="AI227" s="564"/>
      <c r="AJ227" s="564"/>
      <c r="AK227" s="564"/>
      <c r="AL227" s="564"/>
      <c r="AM227" s="564"/>
      <c r="AN227" s="564"/>
      <c r="AO227" s="564"/>
      <c r="AP227" s="564"/>
      <c r="AQ227" s="564"/>
      <c r="AR227" s="564"/>
      <c r="AS227" s="564"/>
      <c r="AT227" s="564"/>
      <c r="AU227" s="564"/>
    </row>
    <row r="228" spans="1:47">
      <c r="A228" s="563"/>
      <c r="B228" s="563"/>
      <c r="C228" s="563"/>
      <c r="D228" s="563"/>
      <c r="E228" s="563"/>
      <c r="F228" s="563"/>
      <c r="G228" s="563"/>
      <c r="H228" s="563"/>
      <c r="I228" s="563"/>
      <c r="J228" s="563"/>
      <c r="K228" s="563"/>
      <c r="L228" s="563"/>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64"/>
      <c r="AL228" s="564"/>
      <c r="AM228" s="564"/>
      <c r="AN228" s="564"/>
      <c r="AO228" s="564"/>
      <c r="AP228" s="564"/>
      <c r="AQ228" s="564"/>
      <c r="AR228" s="564"/>
      <c r="AS228" s="564"/>
      <c r="AT228" s="564"/>
      <c r="AU228" s="564"/>
    </row>
    <row r="229" spans="1:47">
      <c r="A229" s="563"/>
      <c r="B229" s="563"/>
      <c r="C229" s="563"/>
      <c r="D229" s="563"/>
      <c r="E229" s="563"/>
      <c r="F229" s="563"/>
      <c r="G229" s="563"/>
      <c r="H229" s="563"/>
      <c r="I229" s="563"/>
      <c r="J229" s="563"/>
      <c r="K229" s="563"/>
      <c r="L229" s="563"/>
      <c r="M229" s="564"/>
      <c r="N229" s="564"/>
      <c r="O229" s="564"/>
      <c r="P229" s="564"/>
      <c r="Q229" s="564"/>
      <c r="R229" s="564"/>
      <c r="S229" s="564"/>
      <c r="T229" s="564"/>
      <c r="U229" s="564"/>
      <c r="V229" s="564"/>
      <c r="W229" s="564"/>
      <c r="X229" s="564"/>
      <c r="Y229" s="564"/>
      <c r="Z229" s="564"/>
      <c r="AA229" s="564"/>
      <c r="AB229" s="564"/>
      <c r="AC229" s="564"/>
      <c r="AD229" s="564"/>
      <c r="AE229" s="564"/>
      <c r="AF229" s="564"/>
      <c r="AG229" s="564"/>
      <c r="AH229" s="564"/>
      <c r="AI229" s="564"/>
      <c r="AJ229" s="564"/>
      <c r="AK229" s="564"/>
      <c r="AL229" s="564"/>
      <c r="AM229" s="564"/>
      <c r="AN229" s="564"/>
      <c r="AO229" s="564"/>
      <c r="AP229" s="564"/>
      <c r="AQ229" s="564"/>
      <c r="AR229" s="564"/>
      <c r="AS229" s="564"/>
      <c r="AT229" s="564"/>
      <c r="AU229" s="564"/>
    </row>
    <row r="230" spans="1:47">
      <c r="A230" s="563"/>
      <c r="B230" s="563"/>
      <c r="C230" s="563"/>
      <c r="D230" s="563"/>
      <c r="E230" s="563"/>
      <c r="F230" s="563"/>
      <c r="G230" s="563"/>
      <c r="H230" s="563"/>
      <c r="I230" s="563"/>
      <c r="J230" s="563"/>
      <c r="K230" s="563"/>
      <c r="L230" s="563"/>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4"/>
      <c r="AL230" s="564"/>
      <c r="AM230" s="564"/>
      <c r="AN230" s="564"/>
      <c r="AO230" s="564"/>
      <c r="AP230" s="564"/>
      <c r="AQ230" s="564"/>
      <c r="AR230" s="564"/>
      <c r="AS230" s="564"/>
      <c r="AT230" s="564"/>
      <c r="AU230" s="564"/>
    </row>
    <row r="231" spans="1:47">
      <c r="A231" s="563"/>
      <c r="B231" s="563"/>
      <c r="C231" s="563"/>
      <c r="D231" s="563"/>
      <c r="E231" s="563"/>
      <c r="F231" s="563"/>
      <c r="G231" s="563"/>
      <c r="H231" s="563"/>
      <c r="I231" s="563"/>
      <c r="J231" s="563"/>
      <c r="K231" s="563"/>
      <c r="L231" s="563"/>
      <c r="M231" s="564"/>
      <c r="N231" s="564"/>
      <c r="O231" s="564"/>
      <c r="P231" s="564"/>
      <c r="Q231" s="564"/>
      <c r="R231" s="564"/>
      <c r="S231" s="564"/>
      <c r="T231" s="564"/>
      <c r="U231" s="564"/>
      <c r="V231" s="564"/>
      <c r="W231" s="564"/>
      <c r="X231" s="564"/>
      <c r="Y231" s="564"/>
      <c r="Z231" s="564"/>
      <c r="AA231" s="564"/>
      <c r="AB231" s="564"/>
      <c r="AC231" s="564"/>
      <c r="AD231" s="564"/>
      <c r="AE231" s="564"/>
      <c r="AF231" s="564"/>
      <c r="AG231" s="564"/>
      <c r="AH231" s="564"/>
      <c r="AI231" s="564"/>
      <c r="AJ231" s="564"/>
      <c r="AK231" s="564"/>
      <c r="AL231" s="564"/>
      <c r="AM231" s="564"/>
      <c r="AN231" s="564"/>
      <c r="AO231" s="564"/>
      <c r="AP231" s="564"/>
      <c r="AQ231" s="564"/>
      <c r="AR231" s="564"/>
      <c r="AS231" s="564"/>
      <c r="AT231" s="564"/>
      <c r="AU231" s="564"/>
    </row>
    <row r="232" spans="1:47">
      <c r="A232" s="563"/>
      <c r="B232" s="563"/>
      <c r="C232" s="563"/>
      <c r="D232" s="563"/>
      <c r="E232" s="563"/>
      <c r="F232" s="563"/>
      <c r="G232" s="563"/>
      <c r="H232" s="563"/>
      <c r="I232" s="563"/>
      <c r="J232" s="563"/>
      <c r="K232" s="563"/>
      <c r="L232" s="563"/>
      <c r="M232" s="564"/>
      <c r="N232" s="564"/>
      <c r="O232" s="564"/>
      <c r="P232" s="564"/>
      <c r="Q232" s="564"/>
      <c r="R232" s="564"/>
      <c r="S232" s="564"/>
      <c r="T232" s="564"/>
      <c r="U232" s="564"/>
      <c r="V232" s="564"/>
      <c r="W232" s="564"/>
      <c r="X232" s="564"/>
      <c r="Y232" s="564"/>
      <c r="Z232" s="564"/>
      <c r="AA232" s="564"/>
      <c r="AB232" s="564"/>
      <c r="AC232" s="564"/>
      <c r="AD232" s="564"/>
      <c r="AE232" s="564"/>
      <c r="AF232" s="564"/>
      <c r="AG232" s="564"/>
      <c r="AH232" s="564"/>
      <c r="AI232" s="564"/>
      <c r="AJ232" s="564"/>
      <c r="AK232" s="564"/>
      <c r="AL232" s="564"/>
      <c r="AM232" s="564"/>
      <c r="AN232" s="564"/>
      <c r="AO232" s="564"/>
      <c r="AP232" s="564"/>
      <c r="AQ232" s="564"/>
      <c r="AR232" s="564"/>
      <c r="AS232" s="564"/>
      <c r="AT232" s="564"/>
      <c r="AU232" s="564"/>
    </row>
    <row r="233" spans="1:47">
      <c r="A233" s="563"/>
      <c r="B233" s="563"/>
      <c r="C233" s="563"/>
      <c r="D233" s="563"/>
      <c r="E233" s="563"/>
      <c r="F233" s="563"/>
      <c r="G233" s="563"/>
      <c r="H233" s="563"/>
      <c r="I233" s="563"/>
      <c r="J233" s="563"/>
      <c r="K233" s="563"/>
      <c r="L233" s="563"/>
      <c r="M233" s="564"/>
      <c r="N233" s="564"/>
      <c r="O233" s="564"/>
      <c r="P233" s="564"/>
      <c r="Q233" s="564"/>
      <c r="R233" s="564"/>
      <c r="S233" s="564"/>
      <c r="T233" s="564"/>
      <c r="U233" s="564"/>
      <c r="V233" s="564"/>
      <c r="W233" s="564"/>
      <c r="X233" s="564"/>
      <c r="Y233" s="564"/>
      <c r="Z233" s="564"/>
      <c r="AA233" s="564"/>
      <c r="AB233" s="564"/>
      <c r="AC233" s="564"/>
      <c r="AD233" s="564"/>
      <c r="AE233" s="564"/>
      <c r="AF233" s="564"/>
      <c r="AG233" s="564"/>
      <c r="AH233" s="564"/>
      <c r="AI233" s="564"/>
      <c r="AJ233" s="564"/>
      <c r="AK233" s="564"/>
      <c r="AL233" s="564"/>
      <c r="AM233" s="564"/>
      <c r="AN233" s="564"/>
      <c r="AO233" s="564"/>
      <c r="AP233" s="564"/>
      <c r="AQ233" s="564"/>
      <c r="AR233" s="564"/>
      <c r="AS233" s="564"/>
      <c r="AT233" s="564"/>
      <c r="AU233" s="564"/>
    </row>
    <row r="234" spans="1:47">
      <c r="A234" s="563"/>
      <c r="B234" s="563"/>
      <c r="C234" s="563"/>
      <c r="D234" s="563"/>
      <c r="E234" s="563"/>
      <c r="F234" s="563"/>
      <c r="G234" s="563"/>
      <c r="H234" s="563"/>
      <c r="I234" s="563"/>
      <c r="J234" s="563"/>
      <c r="K234" s="563"/>
      <c r="L234" s="563"/>
      <c r="M234" s="564"/>
      <c r="N234" s="564"/>
      <c r="O234" s="564"/>
      <c r="P234" s="564"/>
      <c r="Q234" s="564"/>
      <c r="R234" s="564"/>
      <c r="S234" s="564"/>
      <c r="T234" s="564"/>
      <c r="U234" s="564"/>
      <c r="V234" s="564"/>
      <c r="W234" s="564"/>
      <c r="X234" s="564"/>
      <c r="Y234" s="564"/>
      <c r="Z234" s="564"/>
      <c r="AA234" s="564"/>
      <c r="AB234" s="564"/>
      <c r="AC234" s="564"/>
      <c r="AD234" s="564"/>
      <c r="AE234" s="564"/>
      <c r="AF234" s="564"/>
      <c r="AG234" s="564"/>
      <c r="AH234" s="564"/>
      <c r="AI234" s="564"/>
      <c r="AJ234" s="564"/>
      <c r="AK234" s="564"/>
      <c r="AL234" s="564"/>
      <c r="AM234" s="564"/>
      <c r="AN234" s="564"/>
      <c r="AO234" s="564"/>
      <c r="AP234" s="564"/>
      <c r="AQ234" s="564"/>
      <c r="AR234" s="564"/>
      <c r="AS234" s="564"/>
      <c r="AT234" s="564"/>
      <c r="AU234" s="564"/>
    </row>
    <row r="235" spans="1:47">
      <c r="A235" s="563"/>
      <c r="B235" s="563"/>
      <c r="C235" s="563"/>
      <c r="D235" s="563"/>
      <c r="E235" s="563"/>
      <c r="F235" s="563"/>
      <c r="G235" s="563"/>
      <c r="H235" s="563"/>
      <c r="I235" s="563"/>
      <c r="J235" s="563"/>
      <c r="K235" s="563"/>
      <c r="L235" s="563"/>
      <c r="M235" s="564"/>
      <c r="N235" s="564"/>
      <c r="O235" s="564"/>
      <c r="P235" s="564"/>
      <c r="Q235" s="564"/>
      <c r="R235" s="564"/>
      <c r="S235" s="564"/>
      <c r="T235" s="564"/>
      <c r="U235" s="564"/>
      <c r="V235" s="564"/>
      <c r="W235" s="564"/>
      <c r="X235" s="564"/>
      <c r="Y235" s="564"/>
      <c r="Z235" s="564"/>
      <c r="AA235" s="564"/>
      <c r="AB235" s="564"/>
      <c r="AC235" s="564"/>
      <c r="AD235" s="564"/>
      <c r="AE235" s="564"/>
      <c r="AF235" s="564"/>
      <c r="AG235" s="564"/>
      <c r="AH235" s="564"/>
      <c r="AI235" s="564"/>
      <c r="AJ235" s="564"/>
      <c r="AK235" s="564"/>
      <c r="AL235" s="564"/>
      <c r="AM235" s="564"/>
      <c r="AN235" s="564"/>
      <c r="AO235" s="564"/>
      <c r="AP235" s="564"/>
      <c r="AQ235" s="564"/>
      <c r="AR235" s="564"/>
      <c r="AS235" s="564"/>
      <c r="AT235" s="564"/>
      <c r="AU235" s="564"/>
    </row>
    <row r="236" spans="1:47">
      <c r="A236" s="563"/>
      <c r="B236" s="563"/>
      <c r="C236" s="563"/>
      <c r="D236" s="563"/>
      <c r="E236" s="563"/>
      <c r="F236" s="563"/>
      <c r="G236" s="563"/>
      <c r="H236" s="563"/>
      <c r="I236" s="563"/>
      <c r="J236" s="563"/>
      <c r="K236" s="563"/>
      <c r="L236" s="563"/>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4"/>
      <c r="AL236" s="564"/>
      <c r="AM236" s="564"/>
      <c r="AN236" s="564"/>
      <c r="AO236" s="564"/>
      <c r="AP236" s="564"/>
      <c r="AQ236" s="564"/>
      <c r="AR236" s="564"/>
      <c r="AS236" s="564"/>
      <c r="AT236" s="564"/>
      <c r="AU236" s="564"/>
    </row>
    <row r="237" spans="1:47">
      <c r="A237" s="563"/>
      <c r="B237" s="563"/>
      <c r="C237" s="563"/>
      <c r="D237" s="563"/>
      <c r="E237" s="563"/>
      <c r="F237" s="563"/>
      <c r="G237" s="563"/>
      <c r="H237" s="563"/>
      <c r="I237" s="563"/>
      <c r="J237" s="563"/>
      <c r="K237" s="563"/>
      <c r="L237" s="563"/>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4"/>
      <c r="AL237" s="564"/>
      <c r="AM237" s="564"/>
      <c r="AN237" s="564"/>
      <c r="AO237" s="564"/>
      <c r="AP237" s="564"/>
      <c r="AQ237" s="564"/>
      <c r="AR237" s="564"/>
      <c r="AS237" s="564"/>
      <c r="AT237" s="564"/>
      <c r="AU237" s="564"/>
    </row>
    <row r="238" spans="1:47">
      <c r="A238" s="563"/>
      <c r="B238" s="563"/>
      <c r="C238" s="563"/>
      <c r="D238" s="563"/>
      <c r="E238" s="563"/>
      <c r="F238" s="563"/>
      <c r="G238" s="563"/>
      <c r="H238" s="563"/>
      <c r="I238" s="563"/>
      <c r="J238" s="563"/>
      <c r="K238" s="563"/>
      <c r="L238" s="563"/>
      <c r="M238" s="564"/>
      <c r="N238" s="564"/>
      <c r="O238" s="564"/>
      <c r="P238" s="564"/>
      <c r="Q238" s="564"/>
      <c r="R238" s="564"/>
      <c r="S238" s="564"/>
      <c r="T238" s="564"/>
      <c r="U238" s="564"/>
      <c r="V238" s="564"/>
      <c r="W238" s="564"/>
      <c r="X238" s="564"/>
      <c r="Y238" s="564"/>
      <c r="Z238" s="564"/>
      <c r="AA238" s="564"/>
      <c r="AB238" s="564"/>
      <c r="AC238" s="564"/>
      <c r="AD238" s="564"/>
      <c r="AE238" s="564"/>
      <c r="AF238" s="564"/>
      <c r="AG238" s="564"/>
      <c r="AH238" s="564"/>
      <c r="AI238" s="564"/>
      <c r="AJ238" s="564"/>
      <c r="AK238" s="564"/>
      <c r="AL238" s="564"/>
      <c r="AM238" s="564"/>
      <c r="AN238" s="564"/>
      <c r="AO238" s="564"/>
      <c r="AP238" s="564"/>
      <c r="AQ238" s="564"/>
      <c r="AR238" s="564"/>
      <c r="AS238" s="564"/>
      <c r="AT238" s="564"/>
      <c r="AU238" s="564"/>
    </row>
    <row r="239" spans="1:47">
      <c r="A239" s="563"/>
      <c r="B239" s="563"/>
      <c r="C239" s="563"/>
      <c r="D239" s="563"/>
      <c r="E239" s="563"/>
      <c r="F239" s="563"/>
      <c r="G239" s="563"/>
      <c r="H239" s="563"/>
      <c r="I239" s="563"/>
      <c r="J239" s="563"/>
      <c r="K239" s="563"/>
      <c r="L239" s="563"/>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4"/>
      <c r="AL239" s="564"/>
      <c r="AM239" s="564"/>
      <c r="AN239" s="564"/>
      <c r="AO239" s="564"/>
      <c r="AP239" s="564"/>
      <c r="AQ239" s="564"/>
      <c r="AR239" s="564"/>
      <c r="AS239" s="564"/>
      <c r="AT239" s="564"/>
      <c r="AU239" s="564"/>
    </row>
    <row r="240" spans="1:47">
      <c r="A240" s="563"/>
      <c r="B240" s="563"/>
      <c r="C240" s="563"/>
      <c r="D240" s="563"/>
      <c r="E240" s="563"/>
      <c r="F240" s="563"/>
      <c r="G240" s="563"/>
      <c r="H240" s="563"/>
      <c r="I240" s="563"/>
      <c r="J240" s="563"/>
      <c r="K240" s="563"/>
      <c r="L240" s="563"/>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4"/>
      <c r="AL240" s="564"/>
      <c r="AM240" s="564"/>
      <c r="AN240" s="564"/>
      <c r="AO240" s="564"/>
      <c r="AP240" s="564"/>
      <c r="AQ240" s="564"/>
      <c r="AR240" s="564"/>
      <c r="AS240" s="564"/>
      <c r="AT240" s="564"/>
      <c r="AU240" s="564"/>
    </row>
    <row r="241" spans="1:47">
      <c r="A241" s="563"/>
      <c r="B241" s="563"/>
      <c r="C241" s="563"/>
      <c r="D241" s="563"/>
      <c r="E241" s="563"/>
      <c r="F241" s="563"/>
      <c r="G241" s="563"/>
      <c r="H241" s="563"/>
      <c r="I241" s="563"/>
      <c r="J241" s="563"/>
      <c r="K241" s="563"/>
      <c r="L241" s="563"/>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4"/>
      <c r="AL241" s="564"/>
      <c r="AM241" s="564"/>
      <c r="AN241" s="564"/>
      <c r="AO241" s="564"/>
      <c r="AP241" s="564"/>
      <c r="AQ241" s="564"/>
      <c r="AR241" s="564"/>
      <c r="AS241" s="564"/>
      <c r="AT241" s="564"/>
      <c r="AU241" s="564"/>
    </row>
    <row r="242" spans="1:47">
      <c r="A242" s="563"/>
      <c r="B242" s="563"/>
      <c r="C242" s="563"/>
      <c r="D242" s="563"/>
      <c r="E242" s="563"/>
      <c r="F242" s="563"/>
      <c r="G242" s="563"/>
      <c r="H242" s="563"/>
      <c r="I242" s="563"/>
      <c r="J242" s="563"/>
      <c r="K242" s="563"/>
      <c r="L242" s="563"/>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4"/>
      <c r="AL242" s="564"/>
      <c r="AM242" s="564"/>
      <c r="AN242" s="564"/>
      <c r="AO242" s="564"/>
      <c r="AP242" s="564"/>
      <c r="AQ242" s="564"/>
      <c r="AR242" s="564"/>
      <c r="AS242" s="564"/>
      <c r="AT242" s="564"/>
      <c r="AU242" s="564"/>
    </row>
    <row r="243" spans="1:47">
      <c r="A243" s="563"/>
      <c r="B243" s="563"/>
      <c r="C243" s="563"/>
      <c r="D243" s="563"/>
      <c r="E243" s="563"/>
      <c r="F243" s="563"/>
      <c r="G243" s="563"/>
      <c r="H243" s="563"/>
      <c r="I243" s="563"/>
      <c r="J243" s="563"/>
      <c r="K243" s="563"/>
      <c r="L243" s="563"/>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4"/>
      <c r="AL243" s="564"/>
      <c r="AM243" s="564"/>
      <c r="AN243" s="564"/>
      <c r="AO243" s="564"/>
      <c r="AP243" s="564"/>
      <c r="AQ243" s="564"/>
      <c r="AR243" s="564"/>
      <c r="AS243" s="564"/>
      <c r="AT243" s="564"/>
      <c r="AU243" s="564"/>
    </row>
    <row r="244" spans="1:47">
      <c r="A244" s="563"/>
      <c r="B244" s="563"/>
      <c r="C244" s="563"/>
      <c r="D244" s="563"/>
      <c r="E244" s="563"/>
      <c r="F244" s="563"/>
      <c r="G244" s="563"/>
      <c r="H244" s="563"/>
      <c r="I244" s="563"/>
      <c r="J244" s="563"/>
      <c r="K244" s="563"/>
      <c r="L244" s="563"/>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4"/>
      <c r="AL244" s="564"/>
      <c r="AM244" s="564"/>
      <c r="AN244" s="564"/>
      <c r="AO244" s="564"/>
      <c r="AP244" s="564"/>
      <c r="AQ244" s="564"/>
      <c r="AR244" s="564"/>
      <c r="AS244" s="564"/>
      <c r="AT244" s="564"/>
      <c r="AU244" s="564"/>
    </row>
    <row r="245" spans="1:47">
      <c r="A245" s="563"/>
      <c r="B245" s="563"/>
      <c r="C245" s="563"/>
      <c r="D245" s="563"/>
      <c r="E245" s="563"/>
      <c r="F245" s="563"/>
      <c r="G245" s="563"/>
      <c r="H245" s="563"/>
      <c r="I245" s="563"/>
      <c r="J245" s="563"/>
      <c r="K245" s="563"/>
      <c r="L245" s="563"/>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4"/>
      <c r="AL245" s="564"/>
      <c r="AM245" s="564"/>
      <c r="AN245" s="564"/>
      <c r="AO245" s="564"/>
      <c r="AP245" s="564"/>
      <c r="AQ245" s="564"/>
      <c r="AR245" s="564"/>
      <c r="AS245" s="564"/>
      <c r="AT245" s="564"/>
      <c r="AU245" s="564"/>
    </row>
    <row r="246" spans="1:47">
      <c r="A246" s="563"/>
      <c r="B246" s="563"/>
      <c r="C246" s="563"/>
      <c r="D246" s="563"/>
      <c r="E246" s="563"/>
      <c r="F246" s="563"/>
      <c r="G246" s="563"/>
      <c r="H246" s="563"/>
      <c r="I246" s="563"/>
      <c r="J246" s="563"/>
      <c r="K246" s="563"/>
      <c r="L246" s="563"/>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4"/>
      <c r="AL246" s="564"/>
      <c r="AM246" s="564"/>
      <c r="AN246" s="564"/>
      <c r="AO246" s="564"/>
      <c r="AP246" s="564"/>
      <c r="AQ246" s="564"/>
      <c r="AR246" s="564"/>
      <c r="AS246" s="564"/>
      <c r="AT246" s="564"/>
      <c r="AU246" s="564"/>
    </row>
    <row r="247" spans="1:47">
      <c r="A247" s="563"/>
      <c r="B247" s="563"/>
      <c r="C247" s="563"/>
      <c r="D247" s="563"/>
      <c r="E247" s="563"/>
      <c r="F247" s="563"/>
      <c r="G247" s="563"/>
      <c r="H247" s="563"/>
      <c r="I247" s="563"/>
      <c r="J247" s="563"/>
      <c r="K247" s="563"/>
      <c r="L247" s="563"/>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4"/>
      <c r="AL247" s="564"/>
      <c r="AM247" s="564"/>
      <c r="AN247" s="564"/>
      <c r="AO247" s="564"/>
      <c r="AP247" s="564"/>
      <c r="AQ247" s="564"/>
      <c r="AR247" s="564"/>
      <c r="AS247" s="564"/>
      <c r="AT247" s="564"/>
      <c r="AU247" s="564"/>
    </row>
    <row r="248" spans="1:47">
      <c r="A248" s="563"/>
      <c r="B248" s="563"/>
      <c r="C248" s="563"/>
      <c r="D248" s="563"/>
      <c r="E248" s="563"/>
      <c r="F248" s="563"/>
      <c r="G248" s="563"/>
      <c r="H248" s="563"/>
      <c r="I248" s="563"/>
      <c r="J248" s="563"/>
      <c r="K248" s="563"/>
      <c r="L248" s="563"/>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4"/>
      <c r="AL248" s="564"/>
      <c r="AM248" s="564"/>
      <c r="AN248" s="564"/>
      <c r="AO248" s="564"/>
      <c r="AP248" s="564"/>
      <c r="AQ248" s="564"/>
      <c r="AR248" s="564"/>
      <c r="AS248" s="564"/>
      <c r="AT248" s="564"/>
      <c r="AU248" s="564"/>
    </row>
    <row r="249" spans="1:47">
      <c r="A249" s="563"/>
      <c r="B249" s="563"/>
      <c r="C249" s="563"/>
      <c r="D249" s="563"/>
      <c r="E249" s="563"/>
      <c r="F249" s="563"/>
      <c r="G249" s="563"/>
      <c r="H249" s="563"/>
      <c r="I249" s="563"/>
      <c r="J249" s="563"/>
      <c r="K249" s="563"/>
      <c r="L249" s="563"/>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4"/>
      <c r="AL249" s="564"/>
      <c r="AM249" s="564"/>
      <c r="AN249" s="564"/>
      <c r="AO249" s="564"/>
      <c r="AP249" s="564"/>
      <c r="AQ249" s="564"/>
      <c r="AR249" s="564"/>
      <c r="AS249" s="564"/>
      <c r="AT249" s="564"/>
      <c r="AU249" s="564"/>
    </row>
    <row r="250" spans="1:47">
      <c r="A250" s="563"/>
      <c r="B250" s="563"/>
      <c r="C250" s="563"/>
      <c r="D250" s="563"/>
      <c r="E250" s="563"/>
      <c r="F250" s="563"/>
      <c r="G250" s="563"/>
      <c r="H250" s="563"/>
      <c r="I250" s="563"/>
      <c r="J250" s="563"/>
      <c r="K250" s="563"/>
      <c r="L250" s="563"/>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4"/>
      <c r="AL250" s="564"/>
      <c r="AM250" s="564"/>
      <c r="AN250" s="564"/>
      <c r="AO250" s="564"/>
      <c r="AP250" s="564"/>
      <c r="AQ250" s="564"/>
      <c r="AR250" s="564"/>
      <c r="AS250" s="564"/>
      <c r="AT250" s="564"/>
      <c r="AU250" s="564"/>
    </row>
    <row r="251" spans="1:47">
      <c r="A251" s="563"/>
      <c r="B251" s="563"/>
      <c r="C251" s="563"/>
      <c r="D251" s="563"/>
      <c r="E251" s="563"/>
      <c r="F251" s="563"/>
      <c r="G251" s="563"/>
      <c r="H251" s="563"/>
      <c r="I251" s="563"/>
      <c r="J251" s="563"/>
      <c r="K251" s="563"/>
      <c r="L251" s="563"/>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4"/>
      <c r="AL251" s="564"/>
      <c r="AM251" s="564"/>
      <c r="AN251" s="564"/>
      <c r="AO251" s="564"/>
      <c r="AP251" s="564"/>
      <c r="AQ251" s="564"/>
      <c r="AR251" s="564"/>
      <c r="AS251" s="564"/>
      <c r="AT251" s="564"/>
      <c r="AU251" s="564"/>
    </row>
    <row r="252" spans="1:47">
      <c r="A252" s="563"/>
      <c r="B252" s="563"/>
      <c r="C252" s="563"/>
      <c r="D252" s="563"/>
      <c r="E252" s="563"/>
      <c r="F252" s="563"/>
      <c r="G252" s="563"/>
      <c r="H252" s="563"/>
      <c r="I252" s="563"/>
      <c r="J252" s="563"/>
      <c r="K252" s="563"/>
      <c r="L252" s="563"/>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4"/>
      <c r="AL252" s="564"/>
      <c r="AM252" s="564"/>
      <c r="AN252" s="564"/>
      <c r="AO252" s="564"/>
      <c r="AP252" s="564"/>
      <c r="AQ252" s="564"/>
      <c r="AR252" s="564"/>
      <c r="AS252" s="564"/>
      <c r="AT252" s="564"/>
      <c r="AU252" s="564"/>
    </row>
    <row r="253" spans="1:47">
      <c r="A253" s="563"/>
      <c r="B253" s="563"/>
      <c r="C253" s="563"/>
      <c r="D253" s="563"/>
      <c r="E253" s="563"/>
      <c r="F253" s="563"/>
      <c r="G253" s="563"/>
      <c r="H253" s="563"/>
      <c r="I253" s="563"/>
      <c r="J253" s="563"/>
      <c r="K253" s="563"/>
      <c r="L253" s="563"/>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4"/>
      <c r="AL253" s="564"/>
      <c r="AM253" s="564"/>
      <c r="AN253" s="564"/>
      <c r="AO253" s="564"/>
      <c r="AP253" s="564"/>
      <c r="AQ253" s="564"/>
      <c r="AR253" s="564"/>
      <c r="AS253" s="564"/>
      <c r="AT253" s="564"/>
      <c r="AU253" s="564"/>
    </row>
    <row r="254" spans="1:47">
      <c r="A254" s="563"/>
      <c r="B254" s="563"/>
      <c r="C254" s="563"/>
      <c r="D254" s="563"/>
      <c r="E254" s="563"/>
      <c r="F254" s="563"/>
      <c r="G254" s="563"/>
      <c r="H254" s="563"/>
      <c r="I254" s="563"/>
      <c r="J254" s="563"/>
      <c r="K254" s="563"/>
      <c r="L254" s="563"/>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4"/>
      <c r="AL254" s="564"/>
      <c r="AM254" s="564"/>
      <c r="AN254" s="564"/>
      <c r="AO254" s="564"/>
      <c r="AP254" s="564"/>
      <c r="AQ254" s="564"/>
      <c r="AR254" s="564"/>
      <c r="AS254" s="564"/>
      <c r="AT254" s="564"/>
      <c r="AU254" s="564"/>
    </row>
    <row r="255" spans="1:47">
      <c r="A255" s="563"/>
      <c r="B255" s="563"/>
      <c r="C255" s="563"/>
      <c r="D255" s="563"/>
      <c r="E255" s="563"/>
      <c r="F255" s="563"/>
      <c r="G255" s="563"/>
      <c r="H255" s="563"/>
      <c r="I255" s="563"/>
      <c r="J255" s="563"/>
      <c r="K255" s="563"/>
      <c r="L255" s="563"/>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4"/>
      <c r="AL255" s="564"/>
      <c r="AM255" s="564"/>
      <c r="AN255" s="564"/>
      <c r="AO255" s="564"/>
      <c r="AP255" s="564"/>
      <c r="AQ255" s="564"/>
      <c r="AR255" s="564"/>
      <c r="AS255" s="564"/>
      <c r="AT255" s="564"/>
      <c r="AU255" s="564"/>
    </row>
    <row r="256" spans="1:47">
      <c r="A256" s="563"/>
      <c r="B256" s="563"/>
      <c r="C256" s="563"/>
      <c r="D256" s="563"/>
      <c r="E256" s="563"/>
      <c r="F256" s="563"/>
      <c r="G256" s="563"/>
      <c r="H256" s="563"/>
      <c r="I256" s="563"/>
      <c r="J256" s="563"/>
      <c r="K256" s="563"/>
      <c r="L256" s="563"/>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4"/>
      <c r="AL256" s="564"/>
      <c r="AM256" s="564"/>
      <c r="AN256" s="564"/>
      <c r="AO256" s="564"/>
      <c r="AP256" s="564"/>
      <c r="AQ256" s="564"/>
      <c r="AR256" s="564"/>
      <c r="AS256" s="564"/>
      <c r="AT256" s="564"/>
      <c r="AU256" s="564"/>
    </row>
    <row r="257" spans="1:47">
      <c r="A257" s="563"/>
      <c r="B257" s="563"/>
      <c r="C257" s="563"/>
      <c r="D257" s="563"/>
      <c r="E257" s="563"/>
      <c r="F257" s="563"/>
      <c r="G257" s="563"/>
      <c r="H257" s="563"/>
      <c r="I257" s="563"/>
      <c r="J257" s="563"/>
      <c r="K257" s="563"/>
      <c r="L257" s="563"/>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4"/>
      <c r="AL257" s="564"/>
      <c r="AM257" s="564"/>
      <c r="AN257" s="564"/>
      <c r="AO257" s="564"/>
      <c r="AP257" s="564"/>
      <c r="AQ257" s="564"/>
      <c r="AR257" s="564"/>
      <c r="AS257" s="564"/>
      <c r="AT257" s="564"/>
      <c r="AU257" s="564"/>
    </row>
    <row r="258" spans="1:47">
      <c r="A258" s="563"/>
      <c r="B258" s="563"/>
      <c r="C258" s="563"/>
      <c r="D258" s="563"/>
      <c r="E258" s="563"/>
      <c r="F258" s="563"/>
      <c r="G258" s="563"/>
      <c r="H258" s="563"/>
      <c r="I258" s="563"/>
      <c r="J258" s="563"/>
      <c r="K258" s="563"/>
      <c r="L258" s="563"/>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4"/>
      <c r="AL258" s="564"/>
      <c r="AM258" s="564"/>
      <c r="AN258" s="564"/>
      <c r="AO258" s="564"/>
      <c r="AP258" s="564"/>
      <c r="AQ258" s="564"/>
      <c r="AR258" s="564"/>
      <c r="AS258" s="564"/>
      <c r="AT258" s="564"/>
      <c r="AU258" s="564"/>
    </row>
    <row r="259" spans="1:47">
      <c r="A259" s="563"/>
      <c r="B259" s="563"/>
      <c r="C259" s="563"/>
      <c r="D259" s="563"/>
      <c r="E259" s="563"/>
      <c r="F259" s="563"/>
      <c r="G259" s="563"/>
      <c r="H259" s="563"/>
      <c r="I259" s="563"/>
      <c r="J259" s="563"/>
      <c r="K259" s="563"/>
      <c r="L259" s="563"/>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4"/>
      <c r="AL259" s="564"/>
      <c r="AM259" s="564"/>
      <c r="AN259" s="564"/>
      <c r="AO259" s="564"/>
      <c r="AP259" s="564"/>
      <c r="AQ259" s="564"/>
      <c r="AR259" s="564"/>
      <c r="AS259" s="564"/>
      <c r="AT259" s="564"/>
      <c r="AU259" s="564"/>
    </row>
    <row r="260" spans="1:47">
      <c r="A260" s="563"/>
      <c r="B260" s="563"/>
      <c r="C260" s="563"/>
      <c r="D260" s="563"/>
      <c r="E260" s="563"/>
      <c r="F260" s="563"/>
      <c r="G260" s="563"/>
      <c r="H260" s="563"/>
      <c r="I260" s="563"/>
      <c r="J260" s="563"/>
      <c r="K260" s="563"/>
      <c r="L260" s="563"/>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4"/>
      <c r="AL260" s="564"/>
      <c r="AM260" s="564"/>
      <c r="AN260" s="564"/>
      <c r="AO260" s="564"/>
      <c r="AP260" s="564"/>
      <c r="AQ260" s="564"/>
      <c r="AR260" s="564"/>
      <c r="AS260" s="564"/>
      <c r="AT260" s="564"/>
      <c r="AU260" s="564"/>
    </row>
    <row r="261" spans="1:47">
      <c r="A261" s="563"/>
      <c r="B261" s="563"/>
      <c r="C261" s="563"/>
      <c r="D261" s="563"/>
      <c r="E261" s="563"/>
      <c r="F261" s="563"/>
      <c r="G261" s="563"/>
      <c r="H261" s="563"/>
      <c r="I261" s="563"/>
      <c r="J261" s="563"/>
      <c r="K261" s="563"/>
      <c r="L261" s="563"/>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4"/>
      <c r="AL261" s="564"/>
      <c r="AM261" s="564"/>
      <c r="AN261" s="564"/>
      <c r="AO261" s="564"/>
      <c r="AP261" s="564"/>
      <c r="AQ261" s="564"/>
      <c r="AR261" s="564"/>
      <c r="AS261" s="564"/>
      <c r="AT261" s="564"/>
      <c r="AU261" s="564"/>
    </row>
    <row r="262" spans="1:47">
      <c r="A262" s="563"/>
      <c r="B262" s="563"/>
      <c r="C262" s="563"/>
      <c r="D262" s="563"/>
      <c r="E262" s="563"/>
      <c r="F262" s="563"/>
      <c r="G262" s="563"/>
      <c r="H262" s="563"/>
      <c r="I262" s="563"/>
      <c r="J262" s="563"/>
      <c r="K262" s="563"/>
      <c r="L262" s="563"/>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4"/>
      <c r="AL262" s="564"/>
      <c r="AM262" s="564"/>
      <c r="AN262" s="564"/>
      <c r="AO262" s="564"/>
      <c r="AP262" s="564"/>
      <c r="AQ262" s="564"/>
      <c r="AR262" s="564"/>
      <c r="AS262" s="564"/>
      <c r="AT262" s="564"/>
      <c r="AU262" s="564"/>
    </row>
    <row r="263" spans="1:47">
      <c r="A263" s="563"/>
      <c r="B263" s="563"/>
      <c r="C263" s="563"/>
      <c r="D263" s="563"/>
      <c r="E263" s="563"/>
      <c r="F263" s="563"/>
      <c r="G263" s="563"/>
      <c r="H263" s="563"/>
      <c r="I263" s="563"/>
      <c r="J263" s="563"/>
      <c r="K263" s="563"/>
      <c r="L263" s="563"/>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4"/>
      <c r="AL263" s="564"/>
      <c r="AM263" s="564"/>
      <c r="AN263" s="564"/>
      <c r="AO263" s="564"/>
      <c r="AP263" s="564"/>
      <c r="AQ263" s="564"/>
      <c r="AR263" s="564"/>
      <c r="AS263" s="564"/>
      <c r="AT263" s="564"/>
      <c r="AU263" s="564"/>
    </row>
    <row r="264" spans="1:47">
      <c r="A264" s="563"/>
      <c r="B264" s="563"/>
      <c r="C264" s="563"/>
      <c r="D264" s="563"/>
      <c r="E264" s="563"/>
      <c r="F264" s="563"/>
      <c r="G264" s="563"/>
      <c r="H264" s="563"/>
      <c r="I264" s="563"/>
      <c r="J264" s="563"/>
      <c r="K264" s="563"/>
      <c r="L264" s="563"/>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4"/>
      <c r="AL264" s="564"/>
      <c r="AM264" s="564"/>
      <c r="AN264" s="564"/>
      <c r="AO264" s="564"/>
      <c r="AP264" s="564"/>
      <c r="AQ264" s="564"/>
      <c r="AR264" s="564"/>
      <c r="AS264" s="564"/>
      <c r="AT264" s="564"/>
      <c r="AU264" s="564"/>
    </row>
    <row r="265" spans="1:47">
      <c r="A265" s="563"/>
      <c r="B265" s="563"/>
      <c r="C265" s="563"/>
      <c r="D265" s="563"/>
      <c r="E265" s="563"/>
      <c r="F265" s="563"/>
      <c r="G265" s="563"/>
      <c r="H265" s="563"/>
      <c r="I265" s="563"/>
      <c r="J265" s="563"/>
      <c r="K265" s="563"/>
      <c r="L265" s="563"/>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4"/>
      <c r="AL265" s="564"/>
      <c r="AM265" s="564"/>
      <c r="AN265" s="564"/>
      <c r="AO265" s="564"/>
      <c r="AP265" s="564"/>
      <c r="AQ265" s="564"/>
      <c r="AR265" s="564"/>
      <c r="AS265" s="564"/>
      <c r="AT265" s="564"/>
      <c r="AU265" s="564"/>
    </row>
    <row r="266" spans="1:47">
      <c r="A266" s="563"/>
      <c r="B266" s="563"/>
      <c r="C266" s="563"/>
      <c r="D266" s="563"/>
      <c r="E266" s="563"/>
      <c r="F266" s="563"/>
      <c r="G266" s="563"/>
      <c r="H266" s="563"/>
      <c r="I266" s="563"/>
      <c r="J266" s="563"/>
      <c r="K266" s="563"/>
      <c r="L266" s="563"/>
      <c r="M266" s="564"/>
      <c r="N266" s="564"/>
      <c r="O266" s="564"/>
      <c r="P266" s="564"/>
      <c r="Q266" s="564"/>
      <c r="R266" s="564"/>
      <c r="S266" s="564"/>
      <c r="T266" s="564"/>
      <c r="U266" s="564"/>
      <c r="V266" s="564"/>
      <c r="W266" s="564"/>
      <c r="X266" s="564"/>
      <c r="Y266" s="564"/>
      <c r="Z266" s="564"/>
      <c r="AA266" s="564"/>
      <c r="AB266" s="564"/>
      <c r="AC266" s="564"/>
      <c r="AD266" s="564"/>
      <c r="AE266" s="564"/>
      <c r="AF266" s="564"/>
      <c r="AG266" s="564"/>
      <c r="AH266" s="564"/>
      <c r="AI266" s="564"/>
      <c r="AJ266" s="564"/>
      <c r="AK266" s="564"/>
      <c r="AL266" s="564"/>
      <c r="AM266" s="564"/>
      <c r="AN266" s="564"/>
      <c r="AO266" s="564"/>
      <c r="AP266" s="564"/>
      <c r="AQ266" s="564"/>
      <c r="AR266" s="564"/>
      <c r="AS266" s="564"/>
      <c r="AT266" s="564"/>
      <c r="AU266" s="564"/>
    </row>
    <row r="267" spans="1:47">
      <c r="A267" s="563"/>
      <c r="B267" s="563"/>
      <c r="C267" s="563"/>
      <c r="D267" s="563"/>
      <c r="E267" s="563"/>
      <c r="F267" s="563"/>
      <c r="G267" s="563"/>
      <c r="H267" s="563"/>
      <c r="I267" s="563"/>
      <c r="J267" s="563"/>
      <c r="K267" s="563"/>
      <c r="L267" s="563"/>
      <c r="M267" s="564"/>
      <c r="N267" s="564"/>
      <c r="O267" s="564"/>
      <c r="P267" s="564"/>
      <c r="Q267" s="564"/>
      <c r="R267" s="564"/>
      <c r="S267" s="564"/>
      <c r="T267" s="564"/>
      <c r="U267" s="564"/>
      <c r="V267" s="564"/>
      <c r="W267" s="564"/>
      <c r="X267" s="564"/>
      <c r="Y267" s="564"/>
      <c r="Z267" s="564"/>
      <c r="AA267" s="564"/>
      <c r="AB267" s="564"/>
      <c r="AC267" s="564"/>
      <c r="AD267" s="564"/>
      <c r="AE267" s="564"/>
      <c r="AF267" s="564"/>
      <c r="AG267" s="564"/>
      <c r="AH267" s="564"/>
      <c r="AI267" s="564"/>
      <c r="AJ267" s="564"/>
      <c r="AK267" s="564"/>
      <c r="AL267" s="564"/>
      <c r="AM267" s="564"/>
      <c r="AN267" s="564"/>
      <c r="AO267" s="564"/>
      <c r="AP267" s="564"/>
      <c r="AQ267" s="564"/>
      <c r="AR267" s="564"/>
      <c r="AS267" s="564"/>
      <c r="AT267" s="564"/>
      <c r="AU267" s="564"/>
    </row>
    <row r="268" spans="1:47">
      <c r="A268" s="563"/>
      <c r="B268" s="563"/>
      <c r="C268" s="563"/>
      <c r="D268" s="563"/>
      <c r="E268" s="563"/>
      <c r="F268" s="563"/>
      <c r="G268" s="563"/>
      <c r="H268" s="563"/>
      <c r="I268" s="563"/>
      <c r="J268" s="563"/>
      <c r="K268" s="563"/>
      <c r="L268" s="563"/>
      <c r="M268" s="564"/>
      <c r="N268" s="564"/>
      <c r="O268" s="564"/>
      <c r="P268" s="564"/>
      <c r="Q268" s="564"/>
      <c r="R268" s="564"/>
      <c r="S268" s="564"/>
      <c r="T268" s="564"/>
      <c r="U268" s="564"/>
      <c r="V268" s="564"/>
      <c r="W268" s="564"/>
      <c r="X268" s="564"/>
      <c r="Y268" s="564"/>
      <c r="Z268" s="564"/>
      <c r="AA268" s="564"/>
      <c r="AB268" s="564"/>
      <c r="AC268" s="564"/>
      <c r="AD268" s="564"/>
      <c r="AE268" s="564"/>
      <c r="AF268" s="564"/>
      <c r="AG268" s="564"/>
      <c r="AH268" s="564"/>
      <c r="AI268" s="564"/>
      <c r="AJ268" s="564"/>
      <c r="AK268" s="564"/>
      <c r="AL268" s="564"/>
      <c r="AM268" s="564"/>
      <c r="AN268" s="564"/>
      <c r="AO268" s="564"/>
      <c r="AP268" s="564"/>
      <c r="AQ268" s="564"/>
      <c r="AR268" s="564"/>
      <c r="AS268" s="564"/>
      <c r="AT268" s="564"/>
      <c r="AU268" s="564"/>
    </row>
    <row r="269" spans="1:47">
      <c r="A269" s="563"/>
      <c r="B269" s="563"/>
      <c r="C269" s="563"/>
      <c r="D269" s="563"/>
      <c r="E269" s="563"/>
      <c r="F269" s="563"/>
      <c r="G269" s="563"/>
      <c r="H269" s="563"/>
      <c r="I269" s="563"/>
      <c r="J269" s="563"/>
      <c r="K269" s="563"/>
      <c r="L269" s="563"/>
      <c r="M269" s="564"/>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4"/>
      <c r="AL269" s="564"/>
      <c r="AM269" s="564"/>
      <c r="AN269" s="564"/>
      <c r="AO269" s="564"/>
      <c r="AP269" s="564"/>
      <c r="AQ269" s="564"/>
      <c r="AR269" s="564"/>
      <c r="AS269" s="564"/>
      <c r="AT269" s="564"/>
      <c r="AU269" s="564"/>
    </row>
    <row r="270" spans="1:47">
      <c r="A270" s="563"/>
      <c r="B270" s="563"/>
      <c r="C270" s="563"/>
      <c r="D270" s="563"/>
      <c r="E270" s="563"/>
      <c r="F270" s="563"/>
      <c r="G270" s="563"/>
      <c r="H270" s="563"/>
      <c r="I270" s="563"/>
      <c r="J270" s="563"/>
      <c r="K270" s="563"/>
      <c r="L270" s="563"/>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4"/>
      <c r="AL270" s="564"/>
      <c r="AM270" s="564"/>
      <c r="AN270" s="564"/>
      <c r="AO270" s="564"/>
      <c r="AP270" s="564"/>
      <c r="AQ270" s="564"/>
      <c r="AR270" s="564"/>
      <c r="AS270" s="564"/>
      <c r="AT270" s="564"/>
      <c r="AU270" s="564"/>
    </row>
    <row r="271" spans="1:47">
      <c r="A271" s="563"/>
      <c r="B271" s="563"/>
      <c r="C271" s="563"/>
      <c r="D271" s="563"/>
      <c r="E271" s="563"/>
      <c r="F271" s="563"/>
      <c r="G271" s="563"/>
      <c r="H271" s="563"/>
      <c r="I271" s="563"/>
      <c r="J271" s="563"/>
      <c r="K271" s="563"/>
      <c r="L271" s="563"/>
      <c r="M271" s="564"/>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4"/>
      <c r="AL271" s="564"/>
      <c r="AM271" s="564"/>
      <c r="AN271" s="564"/>
      <c r="AO271" s="564"/>
      <c r="AP271" s="564"/>
      <c r="AQ271" s="564"/>
      <c r="AR271" s="564"/>
      <c r="AS271" s="564"/>
      <c r="AT271" s="564"/>
      <c r="AU271" s="564"/>
    </row>
    <row r="272" spans="1:47">
      <c r="A272" s="563"/>
      <c r="B272" s="563"/>
      <c r="C272" s="563"/>
      <c r="D272" s="563"/>
      <c r="E272" s="563"/>
      <c r="F272" s="563"/>
      <c r="G272" s="563"/>
      <c r="H272" s="563"/>
      <c r="I272" s="563"/>
      <c r="J272" s="563"/>
      <c r="K272" s="563"/>
      <c r="L272" s="563"/>
      <c r="M272" s="564"/>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4"/>
      <c r="AL272" s="564"/>
      <c r="AM272" s="564"/>
      <c r="AN272" s="564"/>
      <c r="AO272" s="564"/>
      <c r="AP272" s="564"/>
      <c r="AQ272" s="564"/>
      <c r="AR272" s="564"/>
      <c r="AS272" s="564"/>
      <c r="AT272" s="564"/>
      <c r="AU272" s="564"/>
    </row>
    <row r="273" spans="1:47">
      <c r="A273" s="563"/>
      <c r="B273" s="563"/>
      <c r="C273" s="563"/>
      <c r="D273" s="563"/>
      <c r="E273" s="563"/>
      <c r="F273" s="563"/>
      <c r="G273" s="563"/>
      <c r="H273" s="563"/>
      <c r="I273" s="563"/>
      <c r="J273" s="563"/>
      <c r="K273" s="563"/>
      <c r="L273" s="563"/>
      <c r="M273" s="564"/>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4"/>
      <c r="AL273" s="564"/>
      <c r="AM273" s="564"/>
      <c r="AN273" s="564"/>
      <c r="AO273" s="564"/>
      <c r="AP273" s="564"/>
      <c r="AQ273" s="564"/>
      <c r="AR273" s="564"/>
      <c r="AS273" s="564"/>
      <c r="AT273" s="564"/>
      <c r="AU273" s="564"/>
    </row>
    <row r="274" spans="1:47">
      <c r="A274" s="563"/>
      <c r="B274" s="563"/>
      <c r="C274" s="563"/>
      <c r="D274" s="563"/>
      <c r="E274" s="563"/>
      <c r="F274" s="563"/>
      <c r="G274" s="563"/>
      <c r="H274" s="563"/>
      <c r="I274" s="563"/>
      <c r="J274" s="563"/>
      <c r="K274" s="563"/>
      <c r="L274" s="563"/>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4"/>
      <c r="AL274" s="564"/>
      <c r="AM274" s="564"/>
      <c r="AN274" s="564"/>
      <c r="AO274" s="564"/>
      <c r="AP274" s="564"/>
      <c r="AQ274" s="564"/>
      <c r="AR274" s="564"/>
      <c r="AS274" s="564"/>
      <c r="AT274" s="564"/>
      <c r="AU274" s="564"/>
    </row>
    <row r="275" spans="1:47">
      <c r="A275" s="563"/>
      <c r="B275" s="563"/>
      <c r="C275" s="563"/>
      <c r="D275" s="563"/>
      <c r="E275" s="563"/>
      <c r="F275" s="563"/>
      <c r="G275" s="563"/>
      <c r="H275" s="563"/>
      <c r="I275" s="563"/>
      <c r="J275" s="563"/>
      <c r="K275" s="563"/>
      <c r="L275" s="563"/>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4"/>
      <c r="AL275" s="564"/>
      <c r="AM275" s="564"/>
      <c r="AN275" s="564"/>
      <c r="AO275" s="564"/>
      <c r="AP275" s="564"/>
      <c r="AQ275" s="564"/>
      <c r="AR275" s="564"/>
      <c r="AS275" s="564"/>
      <c r="AT275" s="564"/>
      <c r="AU275" s="564"/>
    </row>
    <row r="276" spans="1:47">
      <c r="A276" s="563"/>
      <c r="B276" s="563"/>
      <c r="C276" s="563"/>
      <c r="D276" s="563"/>
      <c r="E276" s="563"/>
      <c r="F276" s="563"/>
      <c r="G276" s="563"/>
      <c r="H276" s="563"/>
      <c r="I276" s="563"/>
      <c r="J276" s="563"/>
      <c r="K276" s="563"/>
      <c r="L276" s="563"/>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4"/>
      <c r="AL276" s="564"/>
      <c r="AM276" s="564"/>
      <c r="AN276" s="564"/>
      <c r="AO276" s="564"/>
      <c r="AP276" s="564"/>
      <c r="AQ276" s="564"/>
      <c r="AR276" s="564"/>
      <c r="AS276" s="564"/>
      <c r="AT276" s="564"/>
      <c r="AU276" s="564"/>
    </row>
    <row r="277" spans="1:47">
      <c r="A277" s="563"/>
      <c r="B277" s="563"/>
      <c r="C277" s="563"/>
      <c r="D277" s="563"/>
      <c r="E277" s="563"/>
      <c r="F277" s="563"/>
      <c r="G277" s="563"/>
      <c r="H277" s="563"/>
      <c r="I277" s="563"/>
      <c r="J277" s="563"/>
      <c r="K277" s="563"/>
      <c r="L277" s="563"/>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4"/>
      <c r="AL277" s="564"/>
      <c r="AM277" s="564"/>
      <c r="AN277" s="564"/>
      <c r="AO277" s="564"/>
      <c r="AP277" s="564"/>
      <c r="AQ277" s="564"/>
      <c r="AR277" s="564"/>
      <c r="AS277" s="564"/>
      <c r="AT277" s="564"/>
      <c r="AU277" s="564"/>
    </row>
    <row r="278" spans="1:47">
      <c r="A278" s="563"/>
      <c r="B278" s="563"/>
      <c r="C278" s="563"/>
      <c r="D278" s="563"/>
      <c r="E278" s="563"/>
      <c r="F278" s="563"/>
      <c r="G278" s="563"/>
      <c r="H278" s="563"/>
      <c r="I278" s="563"/>
      <c r="J278" s="563"/>
      <c r="K278" s="563"/>
      <c r="L278" s="563"/>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4"/>
      <c r="AL278" s="564"/>
      <c r="AM278" s="564"/>
      <c r="AN278" s="564"/>
      <c r="AO278" s="564"/>
      <c r="AP278" s="564"/>
      <c r="AQ278" s="564"/>
      <c r="AR278" s="564"/>
      <c r="AS278" s="564"/>
      <c r="AT278" s="564"/>
      <c r="AU278" s="564"/>
    </row>
    <row r="279" spans="1:47">
      <c r="A279" s="563"/>
      <c r="B279" s="563"/>
      <c r="C279" s="563"/>
      <c r="D279" s="563"/>
      <c r="E279" s="563"/>
      <c r="F279" s="563"/>
      <c r="G279" s="563"/>
      <c r="H279" s="563"/>
      <c r="I279" s="563"/>
      <c r="J279" s="563"/>
      <c r="K279" s="563"/>
      <c r="L279" s="563"/>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4"/>
      <c r="AL279" s="564"/>
      <c r="AM279" s="564"/>
      <c r="AN279" s="564"/>
      <c r="AO279" s="564"/>
      <c r="AP279" s="564"/>
      <c r="AQ279" s="564"/>
      <c r="AR279" s="564"/>
      <c r="AS279" s="564"/>
      <c r="AT279" s="564"/>
      <c r="AU279" s="564"/>
    </row>
    <row r="280" spans="1:47">
      <c r="A280" s="563"/>
      <c r="B280" s="563"/>
      <c r="C280" s="563"/>
      <c r="D280" s="563"/>
      <c r="E280" s="563"/>
      <c r="F280" s="563"/>
      <c r="G280" s="563"/>
      <c r="H280" s="563"/>
      <c r="I280" s="563"/>
      <c r="J280" s="563"/>
      <c r="K280" s="563"/>
      <c r="L280" s="563"/>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4"/>
      <c r="AL280" s="564"/>
      <c r="AM280" s="564"/>
      <c r="AN280" s="564"/>
      <c r="AO280" s="564"/>
      <c r="AP280" s="564"/>
      <c r="AQ280" s="564"/>
      <c r="AR280" s="564"/>
      <c r="AS280" s="564"/>
      <c r="AT280" s="564"/>
      <c r="AU280" s="564"/>
    </row>
    <row r="281" spans="1:47">
      <c r="A281" s="563"/>
      <c r="B281" s="563"/>
      <c r="C281" s="563"/>
      <c r="D281" s="563"/>
      <c r="E281" s="563"/>
      <c r="F281" s="563"/>
      <c r="G281" s="563"/>
      <c r="H281" s="563"/>
      <c r="I281" s="563"/>
      <c r="J281" s="563"/>
      <c r="K281" s="563"/>
      <c r="L281" s="563"/>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4"/>
      <c r="AL281" s="564"/>
      <c r="AM281" s="564"/>
      <c r="AN281" s="564"/>
      <c r="AO281" s="564"/>
      <c r="AP281" s="564"/>
      <c r="AQ281" s="564"/>
      <c r="AR281" s="564"/>
      <c r="AS281" s="564"/>
      <c r="AT281" s="564"/>
      <c r="AU281" s="564"/>
    </row>
    <row r="282" spans="1:47">
      <c r="A282" s="563"/>
      <c r="B282" s="563"/>
      <c r="C282" s="563"/>
      <c r="D282" s="563"/>
      <c r="E282" s="563"/>
      <c r="F282" s="563"/>
      <c r="G282" s="563"/>
      <c r="H282" s="563"/>
      <c r="I282" s="563"/>
      <c r="J282" s="563"/>
      <c r="K282" s="563"/>
      <c r="L282" s="563"/>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4"/>
      <c r="AL282" s="564"/>
      <c r="AM282" s="564"/>
      <c r="AN282" s="564"/>
      <c r="AO282" s="564"/>
      <c r="AP282" s="564"/>
      <c r="AQ282" s="564"/>
      <c r="AR282" s="564"/>
      <c r="AS282" s="564"/>
      <c r="AT282" s="564"/>
      <c r="AU282" s="564"/>
    </row>
    <row r="283" spans="1:47">
      <c r="A283" s="563"/>
      <c r="B283" s="563"/>
      <c r="C283" s="563"/>
      <c r="D283" s="563"/>
      <c r="E283" s="563"/>
      <c r="F283" s="563"/>
      <c r="G283" s="563"/>
      <c r="H283" s="563"/>
      <c r="I283" s="563"/>
      <c r="J283" s="563"/>
      <c r="K283" s="563"/>
      <c r="L283" s="563"/>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4"/>
      <c r="AL283" s="564"/>
      <c r="AM283" s="564"/>
      <c r="AN283" s="564"/>
      <c r="AO283" s="564"/>
      <c r="AP283" s="564"/>
      <c r="AQ283" s="564"/>
      <c r="AR283" s="564"/>
      <c r="AS283" s="564"/>
      <c r="AT283" s="564"/>
      <c r="AU283" s="564"/>
    </row>
    <row r="284" spans="1:47">
      <c r="A284" s="563"/>
      <c r="B284" s="563"/>
      <c r="C284" s="563"/>
      <c r="D284" s="563"/>
      <c r="E284" s="563"/>
      <c r="F284" s="563"/>
      <c r="G284" s="563"/>
      <c r="H284" s="563"/>
      <c r="I284" s="563"/>
      <c r="J284" s="563"/>
      <c r="K284" s="563"/>
      <c r="L284" s="563"/>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4"/>
      <c r="AL284" s="564"/>
      <c r="AM284" s="564"/>
      <c r="AN284" s="564"/>
      <c r="AO284" s="564"/>
      <c r="AP284" s="564"/>
      <c r="AQ284" s="564"/>
      <c r="AR284" s="564"/>
      <c r="AS284" s="564"/>
      <c r="AT284" s="564"/>
      <c r="AU284" s="564"/>
    </row>
    <row r="285" spans="1:47">
      <c r="A285" s="563"/>
      <c r="B285" s="563"/>
      <c r="C285" s="563"/>
      <c r="D285" s="563"/>
      <c r="E285" s="563"/>
      <c r="F285" s="563"/>
      <c r="G285" s="563"/>
      <c r="H285" s="563"/>
      <c r="I285" s="563"/>
      <c r="J285" s="563"/>
      <c r="K285" s="563"/>
      <c r="L285" s="563"/>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4"/>
      <c r="AL285" s="564"/>
      <c r="AM285" s="564"/>
      <c r="AN285" s="564"/>
      <c r="AO285" s="564"/>
      <c r="AP285" s="564"/>
      <c r="AQ285" s="564"/>
      <c r="AR285" s="564"/>
      <c r="AS285" s="564"/>
      <c r="AT285" s="564"/>
      <c r="AU285" s="564"/>
    </row>
    <row r="286" spans="1:47">
      <c r="A286" s="563"/>
      <c r="B286" s="563"/>
      <c r="C286" s="563"/>
      <c r="D286" s="563"/>
      <c r="E286" s="563"/>
      <c r="F286" s="563"/>
      <c r="G286" s="563"/>
      <c r="H286" s="563"/>
      <c r="I286" s="563"/>
      <c r="J286" s="563"/>
      <c r="K286" s="563"/>
      <c r="L286" s="563"/>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4"/>
      <c r="AL286" s="564"/>
      <c r="AM286" s="564"/>
      <c r="AN286" s="564"/>
      <c r="AO286" s="564"/>
      <c r="AP286" s="564"/>
      <c r="AQ286" s="564"/>
      <c r="AR286" s="564"/>
      <c r="AS286" s="564"/>
      <c r="AT286" s="564"/>
      <c r="AU286" s="564"/>
    </row>
    <row r="287" spans="1:47">
      <c r="A287" s="563"/>
      <c r="B287" s="563"/>
      <c r="C287" s="563"/>
      <c r="D287" s="563"/>
      <c r="E287" s="563"/>
      <c r="F287" s="563"/>
      <c r="G287" s="563"/>
      <c r="H287" s="563"/>
      <c r="I287" s="563"/>
      <c r="J287" s="563"/>
      <c r="K287" s="563"/>
      <c r="L287" s="563"/>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4"/>
      <c r="AL287" s="564"/>
      <c r="AM287" s="564"/>
      <c r="AN287" s="564"/>
      <c r="AO287" s="564"/>
      <c r="AP287" s="564"/>
      <c r="AQ287" s="564"/>
      <c r="AR287" s="564"/>
      <c r="AS287" s="564"/>
      <c r="AT287" s="564"/>
      <c r="AU287" s="564"/>
    </row>
    <row r="288" spans="1:47">
      <c r="A288" s="563"/>
      <c r="B288" s="563"/>
      <c r="C288" s="563"/>
      <c r="D288" s="563"/>
      <c r="E288" s="563"/>
      <c r="F288" s="563"/>
      <c r="G288" s="563"/>
      <c r="H288" s="563"/>
      <c r="I288" s="563"/>
      <c r="J288" s="563"/>
      <c r="K288" s="563"/>
      <c r="L288" s="563"/>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4"/>
      <c r="AL288" s="564"/>
      <c r="AM288" s="564"/>
      <c r="AN288" s="564"/>
      <c r="AO288" s="564"/>
      <c r="AP288" s="564"/>
      <c r="AQ288" s="564"/>
      <c r="AR288" s="564"/>
      <c r="AS288" s="564"/>
      <c r="AT288" s="564"/>
      <c r="AU288" s="564"/>
    </row>
    <row r="289" spans="1:47">
      <c r="A289" s="563"/>
      <c r="B289" s="563"/>
      <c r="C289" s="563"/>
      <c r="D289" s="563"/>
      <c r="E289" s="563"/>
      <c r="F289" s="563"/>
      <c r="G289" s="563"/>
      <c r="H289" s="563"/>
      <c r="I289" s="563"/>
      <c r="J289" s="563"/>
      <c r="K289" s="563"/>
      <c r="L289" s="563"/>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4"/>
      <c r="AL289" s="564"/>
      <c r="AM289" s="564"/>
      <c r="AN289" s="564"/>
      <c r="AO289" s="564"/>
      <c r="AP289" s="564"/>
      <c r="AQ289" s="564"/>
      <c r="AR289" s="564"/>
      <c r="AS289" s="564"/>
      <c r="AT289" s="564"/>
      <c r="AU289" s="564"/>
    </row>
    <row r="290" spans="1:47">
      <c r="A290" s="563"/>
      <c r="B290" s="563"/>
      <c r="C290" s="563"/>
      <c r="D290" s="563"/>
      <c r="E290" s="563"/>
      <c r="F290" s="563"/>
      <c r="G290" s="563"/>
      <c r="H290" s="563"/>
      <c r="I290" s="563"/>
      <c r="J290" s="563"/>
      <c r="K290" s="563"/>
      <c r="L290" s="563"/>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4"/>
      <c r="AL290" s="564"/>
      <c r="AM290" s="564"/>
      <c r="AN290" s="564"/>
      <c r="AO290" s="564"/>
      <c r="AP290" s="564"/>
      <c r="AQ290" s="564"/>
      <c r="AR290" s="564"/>
      <c r="AS290" s="564"/>
      <c r="AT290" s="564"/>
      <c r="AU290" s="564"/>
    </row>
    <row r="291" spans="1:47">
      <c r="A291" s="563"/>
      <c r="B291" s="563"/>
      <c r="C291" s="563"/>
      <c r="D291" s="563"/>
      <c r="E291" s="563"/>
      <c r="F291" s="563"/>
      <c r="G291" s="563"/>
      <c r="H291" s="563"/>
      <c r="I291" s="563"/>
      <c r="J291" s="563"/>
      <c r="K291" s="563"/>
      <c r="L291" s="563"/>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4"/>
      <c r="AL291" s="564"/>
      <c r="AM291" s="564"/>
      <c r="AN291" s="564"/>
      <c r="AO291" s="564"/>
      <c r="AP291" s="564"/>
      <c r="AQ291" s="564"/>
      <c r="AR291" s="564"/>
      <c r="AS291" s="564"/>
      <c r="AT291" s="564"/>
      <c r="AU291" s="564"/>
    </row>
    <row r="292" spans="1:47">
      <c r="A292" s="563"/>
      <c r="B292" s="563"/>
      <c r="C292" s="563"/>
      <c r="D292" s="563"/>
      <c r="E292" s="563"/>
      <c r="F292" s="563"/>
      <c r="G292" s="563"/>
      <c r="H292" s="563"/>
      <c r="I292" s="563"/>
      <c r="J292" s="563"/>
      <c r="K292" s="563"/>
      <c r="L292" s="563"/>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4"/>
      <c r="AL292" s="564"/>
      <c r="AM292" s="564"/>
      <c r="AN292" s="564"/>
      <c r="AO292" s="564"/>
      <c r="AP292" s="564"/>
      <c r="AQ292" s="564"/>
      <c r="AR292" s="564"/>
      <c r="AS292" s="564"/>
      <c r="AT292" s="564"/>
      <c r="AU292" s="564"/>
    </row>
    <row r="293" spans="1:47">
      <c r="A293" s="563"/>
      <c r="B293" s="563"/>
      <c r="C293" s="563"/>
      <c r="D293" s="563"/>
      <c r="E293" s="563"/>
      <c r="F293" s="563"/>
      <c r="G293" s="563"/>
      <c r="H293" s="563"/>
      <c r="I293" s="563"/>
      <c r="J293" s="563"/>
      <c r="K293" s="563"/>
      <c r="L293" s="563"/>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4"/>
      <c r="AL293" s="564"/>
      <c r="AM293" s="564"/>
      <c r="AN293" s="564"/>
      <c r="AO293" s="564"/>
      <c r="AP293" s="564"/>
      <c r="AQ293" s="564"/>
      <c r="AR293" s="564"/>
      <c r="AS293" s="564"/>
      <c r="AT293" s="564"/>
      <c r="AU293" s="564"/>
    </row>
    <row r="294" spans="1:47">
      <c r="A294" s="563"/>
      <c r="B294" s="563"/>
      <c r="C294" s="563"/>
      <c r="D294" s="563"/>
      <c r="E294" s="563"/>
      <c r="F294" s="563"/>
      <c r="G294" s="563"/>
      <c r="H294" s="563"/>
      <c r="I294" s="563"/>
      <c r="J294" s="563"/>
      <c r="K294" s="563"/>
      <c r="L294" s="563"/>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4"/>
      <c r="AL294" s="564"/>
      <c r="AM294" s="564"/>
      <c r="AN294" s="564"/>
      <c r="AO294" s="564"/>
      <c r="AP294" s="564"/>
      <c r="AQ294" s="564"/>
      <c r="AR294" s="564"/>
      <c r="AS294" s="564"/>
      <c r="AT294" s="564"/>
      <c r="AU294" s="564"/>
    </row>
    <row r="295" spans="1:47">
      <c r="A295" s="563"/>
      <c r="B295" s="563"/>
      <c r="C295" s="563"/>
      <c r="D295" s="563"/>
      <c r="E295" s="563"/>
      <c r="F295" s="563"/>
      <c r="G295" s="563"/>
      <c r="H295" s="563"/>
      <c r="I295" s="563"/>
      <c r="J295" s="563"/>
      <c r="K295" s="563"/>
      <c r="L295" s="563"/>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4"/>
      <c r="AL295" s="564"/>
      <c r="AM295" s="564"/>
      <c r="AN295" s="564"/>
      <c r="AO295" s="564"/>
      <c r="AP295" s="564"/>
      <c r="AQ295" s="564"/>
      <c r="AR295" s="564"/>
      <c r="AS295" s="564"/>
      <c r="AT295" s="564"/>
      <c r="AU295" s="564"/>
    </row>
    <row r="296" spans="1:47">
      <c r="A296" s="563"/>
      <c r="B296" s="563"/>
      <c r="C296" s="563"/>
      <c r="D296" s="563"/>
      <c r="E296" s="563"/>
      <c r="F296" s="563"/>
      <c r="G296" s="563"/>
      <c r="H296" s="563"/>
      <c r="I296" s="563"/>
      <c r="J296" s="563"/>
      <c r="K296" s="563"/>
      <c r="L296" s="563"/>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4"/>
      <c r="AL296" s="564"/>
      <c r="AM296" s="564"/>
      <c r="AN296" s="564"/>
      <c r="AO296" s="564"/>
      <c r="AP296" s="564"/>
      <c r="AQ296" s="564"/>
      <c r="AR296" s="564"/>
      <c r="AS296" s="564"/>
      <c r="AT296" s="564"/>
      <c r="AU296" s="564"/>
    </row>
    <row r="297" spans="1:47">
      <c r="A297" s="563"/>
      <c r="B297" s="563"/>
      <c r="C297" s="563"/>
      <c r="D297" s="563"/>
      <c r="E297" s="563"/>
      <c r="F297" s="563"/>
      <c r="G297" s="563"/>
      <c r="H297" s="563"/>
      <c r="I297" s="563"/>
      <c r="J297" s="563"/>
      <c r="K297" s="563"/>
      <c r="L297" s="563"/>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4"/>
      <c r="AL297" s="564"/>
      <c r="AM297" s="564"/>
      <c r="AN297" s="564"/>
      <c r="AO297" s="564"/>
      <c r="AP297" s="564"/>
      <c r="AQ297" s="564"/>
      <c r="AR297" s="564"/>
      <c r="AS297" s="564"/>
      <c r="AT297" s="564"/>
      <c r="AU297" s="564"/>
    </row>
    <row r="298" spans="1:47">
      <c r="A298" s="563"/>
      <c r="B298" s="563"/>
      <c r="C298" s="563"/>
      <c r="D298" s="563"/>
      <c r="E298" s="563"/>
      <c r="F298" s="563"/>
      <c r="G298" s="563"/>
      <c r="H298" s="563"/>
      <c r="I298" s="563"/>
      <c r="J298" s="563"/>
      <c r="K298" s="563"/>
      <c r="L298" s="563"/>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4"/>
      <c r="AL298" s="564"/>
      <c r="AM298" s="564"/>
      <c r="AN298" s="564"/>
      <c r="AO298" s="564"/>
      <c r="AP298" s="564"/>
      <c r="AQ298" s="564"/>
      <c r="AR298" s="564"/>
      <c r="AS298" s="564"/>
      <c r="AT298" s="564"/>
      <c r="AU298" s="564"/>
    </row>
    <row r="299" spans="1:47">
      <c r="A299" s="563"/>
      <c r="B299" s="563"/>
      <c r="C299" s="563"/>
      <c r="D299" s="563"/>
      <c r="E299" s="563"/>
      <c r="F299" s="563"/>
      <c r="G299" s="563"/>
      <c r="H299" s="563"/>
      <c r="I299" s="563"/>
      <c r="J299" s="563"/>
      <c r="K299" s="563"/>
      <c r="L299" s="563"/>
      <c r="M299" s="564"/>
      <c r="N299" s="564"/>
      <c r="O299" s="564"/>
      <c r="P299" s="564"/>
      <c r="Q299" s="564"/>
      <c r="R299" s="564"/>
      <c r="S299" s="564"/>
      <c r="T299" s="564"/>
      <c r="U299" s="564"/>
      <c r="V299" s="564"/>
      <c r="W299" s="564"/>
      <c r="X299" s="564"/>
      <c r="Y299" s="564"/>
      <c r="Z299" s="564"/>
      <c r="AA299" s="564"/>
      <c r="AB299" s="564"/>
      <c r="AC299" s="564"/>
      <c r="AD299" s="564"/>
      <c r="AE299" s="564"/>
      <c r="AF299" s="564"/>
      <c r="AG299" s="564"/>
      <c r="AH299" s="564"/>
      <c r="AI299" s="564"/>
      <c r="AJ299" s="564"/>
      <c r="AK299" s="564"/>
      <c r="AL299" s="564"/>
      <c r="AM299" s="564"/>
      <c r="AN299" s="564"/>
      <c r="AO299" s="564"/>
      <c r="AP299" s="564"/>
      <c r="AQ299" s="564"/>
      <c r="AR299" s="564"/>
      <c r="AS299" s="564"/>
      <c r="AT299" s="564"/>
      <c r="AU299" s="564"/>
    </row>
    <row r="300" spans="1:47">
      <c r="A300" s="563"/>
      <c r="B300" s="563"/>
      <c r="C300" s="563"/>
      <c r="D300" s="563"/>
      <c r="E300" s="563"/>
      <c r="F300" s="563"/>
      <c r="G300" s="563"/>
      <c r="H300" s="563"/>
      <c r="I300" s="563"/>
      <c r="J300" s="563"/>
      <c r="K300" s="563"/>
      <c r="L300" s="563"/>
      <c r="M300" s="564"/>
      <c r="N300" s="564"/>
      <c r="O300" s="564"/>
      <c r="P300" s="564"/>
      <c r="Q300" s="564"/>
      <c r="R300" s="564"/>
      <c r="S300" s="564"/>
      <c r="T300" s="564"/>
      <c r="U300" s="564"/>
      <c r="V300" s="564"/>
      <c r="W300" s="564"/>
      <c r="X300" s="564"/>
      <c r="Y300" s="564"/>
      <c r="Z300" s="564"/>
      <c r="AA300" s="564"/>
      <c r="AB300" s="564"/>
      <c r="AC300" s="564"/>
      <c r="AD300" s="564"/>
      <c r="AE300" s="564"/>
      <c r="AF300" s="564"/>
      <c r="AG300" s="564"/>
      <c r="AH300" s="564"/>
      <c r="AI300" s="564"/>
      <c r="AJ300" s="564"/>
      <c r="AK300" s="564"/>
      <c r="AL300" s="564"/>
      <c r="AM300" s="564"/>
      <c r="AN300" s="564"/>
      <c r="AO300" s="564"/>
      <c r="AP300" s="564"/>
      <c r="AQ300" s="564"/>
      <c r="AR300" s="564"/>
      <c r="AS300" s="564"/>
      <c r="AT300" s="564"/>
      <c r="AU300" s="564"/>
    </row>
    <row r="301" spans="1:47">
      <c r="A301" s="563"/>
      <c r="B301" s="563"/>
      <c r="C301" s="563"/>
      <c r="D301" s="563"/>
      <c r="E301" s="563"/>
      <c r="F301" s="563"/>
      <c r="G301" s="563"/>
      <c r="H301" s="563"/>
      <c r="I301" s="563"/>
      <c r="J301" s="563"/>
      <c r="K301" s="563"/>
      <c r="L301" s="563"/>
      <c r="M301" s="564"/>
      <c r="N301" s="564"/>
      <c r="O301" s="564"/>
      <c r="P301" s="564"/>
      <c r="Q301" s="564"/>
      <c r="R301" s="564"/>
      <c r="S301" s="564"/>
      <c r="T301" s="564"/>
      <c r="U301" s="564"/>
      <c r="V301" s="564"/>
      <c r="W301" s="564"/>
      <c r="X301" s="564"/>
      <c r="Y301" s="564"/>
      <c r="Z301" s="564"/>
      <c r="AA301" s="564"/>
      <c r="AB301" s="564"/>
      <c r="AC301" s="564"/>
      <c r="AD301" s="564"/>
      <c r="AE301" s="564"/>
      <c r="AF301" s="564"/>
      <c r="AG301" s="564"/>
      <c r="AH301" s="564"/>
      <c r="AI301" s="564"/>
      <c r="AJ301" s="564"/>
      <c r="AK301" s="564"/>
      <c r="AL301" s="564"/>
      <c r="AM301" s="564"/>
      <c r="AN301" s="564"/>
      <c r="AO301" s="564"/>
      <c r="AP301" s="564"/>
      <c r="AQ301" s="564"/>
      <c r="AR301" s="564"/>
      <c r="AS301" s="564"/>
      <c r="AT301" s="564"/>
      <c r="AU301" s="564"/>
    </row>
    <row r="302" spans="1:47">
      <c r="A302" s="563"/>
      <c r="B302" s="563"/>
      <c r="C302" s="563"/>
      <c r="D302" s="563"/>
      <c r="E302" s="563"/>
      <c r="F302" s="563"/>
      <c r="G302" s="563"/>
      <c r="H302" s="563"/>
      <c r="I302" s="563"/>
      <c r="J302" s="563"/>
      <c r="K302" s="563"/>
      <c r="L302" s="563"/>
      <c r="M302" s="564"/>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4"/>
      <c r="AL302" s="564"/>
      <c r="AM302" s="564"/>
      <c r="AN302" s="564"/>
      <c r="AO302" s="564"/>
      <c r="AP302" s="564"/>
      <c r="AQ302" s="564"/>
      <c r="AR302" s="564"/>
      <c r="AS302" s="564"/>
      <c r="AT302" s="564"/>
      <c r="AU302" s="564"/>
    </row>
    <row r="303" spans="1:47">
      <c r="A303" s="563"/>
      <c r="B303" s="563"/>
      <c r="C303" s="563"/>
      <c r="D303" s="563"/>
      <c r="E303" s="563"/>
      <c r="F303" s="563"/>
      <c r="G303" s="563"/>
      <c r="H303" s="563"/>
      <c r="I303" s="563"/>
      <c r="J303" s="563"/>
      <c r="K303" s="563"/>
      <c r="L303" s="563"/>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4"/>
      <c r="AL303" s="564"/>
      <c r="AM303" s="564"/>
      <c r="AN303" s="564"/>
      <c r="AO303" s="564"/>
      <c r="AP303" s="564"/>
      <c r="AQ303" s="564"/>
      <c r="AR303" s="564"/>
      <c r="AS303" s="564"/>
      <c r="AT303" s="564"/>
      <c r="AU303" s="564"/>
    </row>
    <row r="304" spans="1:47">
      <c r="A304" s="563"/>
      <c r="B304" s="563"/>
      <c r="C304" s="563"/>
      <c r="D304" s="563"/>
      <c r="E304" s="563"/>
      <c r="F304" s="563"/>
      <c r="G304" s="563"/>
      <c r="H304" s="563"/>
      <c r="I304" s="563"/>
      <c r="J304" s="563"/>
      <c r="K304" s="563"/>
      <c r="L304" s="563"/>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4"/>
      <c r="AL304" s="564"/>
      <c r="AM304" s="564"/>
      <c r="AN304" s="564"/>
      <c r="AO304" s="564"/>
      <c r="AP304" s="564"/>
      <c r="AQ304" s="564"/>
      <c r="AR304" s="564"/>
      <c r="AS304" s="564"/>
      <c r="AT304" s="564"/>
      <c r="AU304" s="564"/>
    </row>
    <row r="305" spans="1:47">
      <c r="A305" s="563"/>
      <c r="B305" s="563"/>
      <c r="C305" s="563"/>
      <c r="D305" s="563"/>
      <c r="E305" s="563"/>
      <c r="F305" s="563"/>
      <c r="G305" s="563"/>
      <c r="H305" s="563"/>
      <c r="I305" s="563"/>
      <c r="J305" s="563"/>
      <c r="K305" s="563"/>
      <c r="L305" s="563"/>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4"/>
      <c r="AL305" s="564"/>
      <c r="AM305" s="564"/>
      <c r="AN305" s="564"/>
      <c r="AO305" s="564"/>
      <c r="AP305" s="564"/>
      <c r="AQ305" s="564"/>
      <c r="AR305" s="564"/>
      <c r="AS305" s="564"/>
      <c r="AT305" s="564"/>
      <c r="AU305" s="564"/>
    </row>
    <row r="306" spans="1:47">
      <c r="A306" s="563"/>
      <c r="B306" s="563"/>
      <c r="C306" s="563"/>
      <c r="D306" s="563"/>
      <c r="E306" s="563"/>
      <c r="F306" s="563"/>
      <c r="G306" s="563"/>
      <c r="H306" s="563"/>
      <c r="I306" s="563"/>
      <c r="J306" s="563"/>
      <c r="K306" s="563"/>
      <c r="L306" s="563"/>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4"/>
      <c r="AL306" s="564"/>
      <c r="AM306" s="564"/>
      <c r="AN306" s="564"/>
      <c r="AO306" s="564"/>
      <c r="AP306" s="564"/>
      <c r="AQ306" s="564"/>
      <c r="AR306" s="564"/>
      <c r="AS306" s="564"/>
      <c r="AT306" s="564"/>
      <c r="AU306" s="564"/>
    </row>
    <row r="307" spans="1:47">
      <c r="A307" s="563"/>
      <c r="B307" s="563"/>
      <c r="C307" s="563"/>
      <c r="D307" s="563"/>
      <c r="E307" s="563"/>
      <c r="F307" s="563"/>
      <c r="G307" s="563"/>
      <c r="H307" s="563"/>
      <c r="I307" s="563"/>
      <c r="J307" s="563"/>
      <c r="K307" s="563"/>
      <c r="L307" s="563"/>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4"/>
      <c r="AL307" s="564"/>
      <c r="AM307" s="564"/>
      <c r="AN307" s="564"/>
      <c r="AO307" s="564"/>
      <c r="AP307" s="564"/>
      <c r="AQ307" s="564"/>
      <c r="AR307" s="564"/>
      <c r="AS307" s="564"/>
      <c r="AT307" s="564"/>
      <c r="AU307" s="564"/>
    </row>
    <row r="308" spans="1:47">
      <c r="A308" s="563"/>
      <c r="B308" s="563"/>
      <c r="C308" s="563"/>
      <c r="D308" s="563"/>
      <c r="E308" s="563"/>
      <c r="F308" s="563"/>
      <c r="G308" s="563"/>
      <c r="H308" s="563"/>
      <c r="I308" s="563"/>
      <c r="J308" s="563"/>
      <c r="K308" s="563"/>
      <c r="L308" s="563"/>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4"/>
      <c r="AL308" s="564"/>
      <c r="AM308" s="564"/>
      <c r="AN308" s="564"/>
      <c r="AO308" s="564"/>
      <c r="AP308" s="564"/>
      <c r="AQ308" s="564"/>
      <c r="AR308" s="564"/>
      <c r="AS308" s="564"/>
      <c r="AT308" s="564"/>
      <c r="AU308" s="564"/>
    </row>
    <row r="309" spans="1:47">
      <c r="A309" s="563"/>
      <c r="B309" s="563"/>
      <c r="C309" s="563"/>
      <c r="D309" s="563"/>
      <c r="E309" s="563"/>
      <c r="F309" s="563"/>
      <c r="G309" s="563"/>
      <c r="H309" s="563"/>
      <c r="I309" s="563"/>
      <c r="J309" s="563"/>
      <c r="K309" s="563"/>
      <c r="L309" s="563"/>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4"/>
      <c r="AL309" s="564"/>
      <c r="AM309" s="564"/>
      <c r="AN309" s="564"/>
      <c r="AO309" s="564"/>
      <c r="AP309" s="564"/>
      <c r="AQ309" s="564"/>
      <c r="AR309" s="564"/>
      <c r="AS309" s="564"/>
      <c r="AT309" s="564"/>
      <c r="AU309" s="564"/>
    </row>
    <row r="310" spans="1:47">
      <c r="A310" s="563"/>
      <c r="B310" s="563"/>
      <c r="C310" s="563"/>
      <c r="D310" s="563"/>
      <c r="E310" s="563"/>
      <c r="F310" s="563"/>
      <c r="G310" s="563"/>
      <c r="H310" s="563"/>
      <c r="I310" s="563"/>
      <c r="J310" s="563"/>
      <c r="K310" s="563"/>
      <c r="L310" s="563"/>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4"/>
      <c r="AL310" s="564"/>
      <c r="AM310" s="564"/>
      <c r="AN310" s="564"/>
      <c r="AO310" s="564"/>
      <c r="AP310" s="564"/>
      <c r="AQ310" s="564"/>
      <c r="AR310" s="564"/>
      <c r="AS310" s="564"/>
      <c r="AT310" s="564"/>
      <c r="AU310" s="564"/>
    </row>
    <row r="311" spans="1:47">
      <c r="A311" s="563"/>
      <c r="B311" s="563"/>
      <c r="C311" s="563"/>
      <c r="D311" s="563"/>
      <c r="E311" s="563"/>
      <c r="F311" s="563"/>
      <c r="G311" s="563"/>
      <c r="H311" s="563"/>
      <c r="I311" s="563"/>
      <c r="J311" s="563"/>
      <c r="K311" s="563"/>
      <c r="L311" s="563"/>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4"/>
      <c r="AL311" s="564"/>
      <c r="AM311" s="564"/>
      <c r="AN311" s="564"/>
      <c r="AO311" s="564"/>
      <c r="AP311" s="564"/>
      <c r="AQ311" s="564"/>
      <c r="AR311" s="564"/>
      <c r="AS311" s="564"/>
      <c r="AT311" s="564"/>
      <c r="AU311" s="564"/>
    </row>
    <row r="312" spans="1:47">
      <c r="A312" s="563"/>
      <c r="B312" s="563"/>
      <c r="C312" s="563"/>
      <c r="D312" s="563"/>
      <c r="E312" s="563"/>
      <c r="F312" s="563"/>
      <c r="G312" s="563"/>
      <c r="H312" s="563"/>
      <c r="I312" s="563"/>
      <c r="J312" s="563"/>
      <c r="K312" s="563"/>
      <c r="L312" s="563"/>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4"/>
      <c r="AL312" s="564"/>
      <c r="AM312" s="564"/>
      <c r="AN312" s="564"/>
      <c r="AO312" s="564"/>
      <c r="AP312" s="564"/>
      <c r="AQ312" s="564"/>
      <c r="AR312" s="564"/>
      <c r="AS312" s="564"/>
      <c r="AT312" s="564"/>
      <c r="AU312" s="564"/>
    </row>
    <row r="313" spans="1:47">
      <c r="A313" s="563"/>
      <c r="B313" s="563"/>
      <c r="C313" s="563"/>
      <c r="D313" s="563"/>
      <c r="E313" s="563"/>
      <c r="F313" s="563"/>
      <c r="G313" s="563"/>
      <c r="H313" s="563"/>
      <c r="I313" s="563"/>
      <c r="J313" s="563"/>
      <c r="K313" s="563"/>
      <c r="L313" s="563"/>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4"/>
      <c r="AL313" s="564"/>
      <c r="AM313" s="564"/>
      <c r="AN313" s="564"/>
      <c r="AO313" s="564"/>
      <c r="AP313" s="564"/>
      <c r="AQ313" s="564"/>
      <c r="AR313" s="564"/>
      <c r="AS313" s="564"/>
      <c r="AT313" s="564"/>
      <c r="AU313" s="564"/>
    </row>
    <row r="314" spans="1:47">
      <c r="A314" s="563"/>
      <c r="B314" s="563"/>
      <c r="C314" s="563"/>
      <c r="D314" s="563"/>
      <c r="E314" s="563"/>
      <c r="F314" s="563"/>
      <c r="G314" s="563"/>
      <c r="H314" s="563"/>
      <c r="I314" s="563"/>
      <c r="J314" s="563"/>
      <c r="K314" s="563"/>
      <c r="L314" s="563"/>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4"/>
      <c r="AL314" s="564"/>
      <c r="AM314" s="564"/>
      <c r="AN314" s="564"/>
      <c r="AO314" s="564"/>
      <c r="AP314" s="564"/>
      <c r="AQ314" s="564"/>
      <c r="AR314" s="564"/>
      <c r="AS314" s="564"/>
      <c r="AT314" s="564"/>
      <c r="AU314" s="564"/>
    </row>
    <row r="315" spans="1:47">
      <c r="A315" s="563"/>
      <c r="B315" s="563"/>
      <c r="C315" s="563"/>
      <c r="D315" s="563"/>
      <c r="E315" s="563"/>
      <c r="F315" s="563"/>
      <c r="G315" s="563"/>
      <c r="H315" s="563"/>
      <c r="I315" s="563"/>
      <c r="J315" s="563"/>
      <c r="K315" s="563"/>
      <c r="L315" s="563"/>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4"/>
      <c r="AL315" s="564"/>
      <c r="AM315" s="564"/>
      <c r="AN315" s="564"/>
      <c r="AO315" s="564"/>
      <c r="AP315" s="564"/>
      <c r="AQ315" s="564"/>
      <c r="AR315" s="564"/>
      <c r="AS315" s="564"/>
      <c r="AT315" s="564"/>
      <c r="AU315" s="564"/>
    </row>
    <row r="316" spans="1:47">
      <c r="A316" s="563"/>
      <c r="B316" s="563"/>
      <c r="C316" s="563"/>
      <c r="D316" s="563"/>
      <c r="E316" s="563"/>
      <c r="F316" s="563"/>
      <c r="G316" s="563"/>
      <c r="H316" s="563"/>
      <c r="I316" s="563"/>
      <c r="J316" s="563"/>
      <c r="K316" s="563"/>
      <c r="L316" s="563"/>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4"/>
      <c r="AL316" s="564"/>
      <c r="AM316" s="564"/>
      <c r="AN316" s="564"/>
      <c r="AO316" s="564"/>
      <c r="AP316" s="564"/>
      <c r="AQ316" s="564"/>
      <c r="AR316" s="564"/>
      <c r="AS316" s="564"/>
      <c r="AT316" s="564"/>
      <c r="AU316" s="564"/>
    </row>
    <row r="317" spans="1:47">
      <c r="A317" s="563"/>
      <c r="B317" s="563"/>
      <c r="C317" s="563"/>
      <c r="D317" s="563"/>
      <c r="E317" s="563"/>
      <c r="F317" s="563"/>
      <c r="G317" s="563"/>
      <c r="H317" s="563"/>
      <c r="I317" s="563"/>
      <c r="J317" s="563"/>
      <c r="K317" s="563"/>
      <c r="L317" s="563"/>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4"/>
      <c r="AL317" s="564"/>
      <c r="AM317" s="564"/>
      <c r="AN317" s="564"/>
      <c r="AO317" s="564"/>
      <c r="AP317" s="564"/>
      <c r="AQ317" s="564"/>
      <c r="AR317" s="564"/>
      <c r="AS317" s="564"/>
      <c r="AT317" s="564"/>
      <c r="AU317" s="564"/>
    </row>
    <row r="318" spans="1:47">
      <c r="A318" s="563"/>
      <c r="B318" s="563"/>
      <c r="C318" s="563"/>
      <c r="D318" s="563"/>
      <c r="E318" s="563"/>
      <c r="F318" s="563"/>
      <c r="G318" s="563"/>
      <c r="H318" s="563"/>
      <c r="I318" s="563"/>
      <c r="J318" s="563"/>
      <c r="K318" s="563"/>
      <c r="L318" s="563"/>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4"/>
      <c r="AL318" s="564"/>
      <c r="AM318" s="564"/>
      <c r="AN318" s="564"/>
      <c r="AO318" s="564"/>
      <c r="AP318" s="564"/>
      <c r="AQ318" s="564"/>
      <c r="AR318" s="564"/>
      <c r="AS318" s="564"/>
      <c r="AT318" s="564"/>
      <c r="AU318" s="564"/>
    </row>
    <row r="319" spans="1:47">
      <c r="A319" s="563"/>
      <c r="B319" s="563"/>
      <c r="C319" s="563"/>
      <c r="D319" s="563"/>
      <c r="E319" s="563"/>
      <c r="F319" s="563"/>
      <c r="G319" s="563"/>
      <c r="H319" s="563"/>
      <c r="I319" s="563"/>
      <c r="J319" s="563"/>
      <c r="K319" s="563"/>
      <c r="L319" s="563"/>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4"/>
      <c r="AL319" s="564"/>
      <c r="AM319" s="564"/>
      <c r="AN319" s="564"/>
      <c r="AO319" s="564"/>
      <c r="AP319" s="564"/>
      <c r="AQ319" s="564"/>
      <c r="AR319" s="564"/>
      <c r="AS319" s="564"/>
      <c r="AT319" s="564"/>
      <c r="AU319" s="564"/>
    </row>
    <row r="320" spans="1:47">
      <c r="A320" s="563"/>
      <c r="B320" s="563"/>
      <c r="C320" s="563"/>
      <c r="D320" s="563"/>
      <c r="E320" s="563"/>
      <c r="F320" s="563"/>
      <c r="G320" s="563"/>
      <c r="H320" s="563"/>
      <c r="I320" s="563"/>
      <c r="J320" s="563"/>
      <c r="K320" s="563"/>
      <c r="L320" s="563"/>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4"/>
      <c r="AL320" s="564"/>
      <c r="AM320" s="564"/>
      <c r="AN320" s="564"/>
      <c r="AO320" s="564"/>
      <c r="AP320" s="564"/>
      <c r="AQ320" s="564"/>
      <c r="AR320" s="564"/>
      <c r="AS320" s="564"/>
      <c r="AT320" s="564"/>
      <c r="AU320" s="564"/>
    </row>
    <row r="321" spans="1:47">
      <c r="A321" s="563"/>
      <c r="B321" s="563"/>
      <c r="C321" s="563"/>
      <c r="D321" s="563"/>
      <c r="E321" s="563"/>
      <c r="F321" s="563"/>
      <c r="G321" s="563"/>
      <c r="H321" s="563"/>
      <c r="I321" s="563"/>
      <c r="J321" s="563"/>
      <c r="K321" s="563"/>
      <c r="L321" s="563"/>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4"/>
      <c r="AL321" s="564"/>
      <c r="AM321" s="564"/>
      <c r="AN321" s="564"/>
      <c r="AO321" s="564"/>
      <c r="AP321" s="564"/>
      <c r="AQ321" s="564"/>
      <c r="AR321" s="564"/>
      <c r="AS321" s="564"/>
      <c r="AT321" s="564"/>
      <c r="AU321" s="564"/>
    </row>
    <row r="322" spans="1:47">
      <c r="A322" s="563"/>
      <c r="B322" s="563"/>
      <c r="C322" s="563"/>
      <c r="D322" s="563"/>
      <c r="E322" s="563"/>
      <c r="F322" s="563"/>
      <c r="G322" s="563"/>
      <c r="H322" s="563"/>
      <c r="I322" s="563"/>
      <c r="J322" s="563"/>
      <c r="K322" s="563"/>
      <c r="L322" s="563"/>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4"/>
      <c r="AL322" s="564"/>
      <c r="AM322" s="564"/>
      <c r="AN322" s="564"/>
      <c r="AO322" s="564"/>
      <c r="AP322" s="564"/>
      <c r="AQ322" s="564"/>
      <c r="AR322" s="564"/>
      <c r="AS322" s="564"/>
      <c r="AT322" s="564"/>
      <c r="AU322" s="564"/>
    </row>
    <row r="323" spans="1:47">
      <c r="A323" s="563"/>
      <c r="B323" s="563"/>
      <c r="C323" s="563"/>
      <c r="D323" s="563"/>
      <c r="E323" s="563"/>
      <c r="F323" s="563"/>
      <c r="G323" s="563"/>
      <c r="H323" s="563"/>
      <c r="I323" s="563"/>
      <c r="J323" s="563"/>
      <c r="K323" s="563"/>
      <c r="L323" s="563"/>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4"/>
      <c r="AL323" s="564"/>
      <c r="AM323" s="564"/>
      <c r="AN323" s="564"/>
      <c r="AO323" s="564"/>
      <c r="AP323" s="564"/>
      <c r="AQ323" s="564"/>
      <c r="AR323" s="564"/>
      <c r="AS323" s="564"/>
      <c r="AT323" s="564"/>
      <c r="AU323" s="564"/>
    </row>
    <row r="324" spans="1:47">
      <c r="A324" s="563"/>
      <c r="B324" s="563"/>
      <c r="C324" s="563"/>
      <c r="D324" s="563"/>
      <c r="E324" s="563"/>
      <c r="F324" s="563"/>
      <c r="G324" s="563"/>
      <c r="H324" s="563"/>
      <c r="I324" s="563"/>
      <c r="J324" s="563"/>
      <c r="K324" s="563"/>
      <c r="L324" s="563"/>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4"/>
      <c r="AL324" s="564"/>
      <c r="AM324" s="564"/>
      <c r="AN324" s="564"/>
      <c r="AO324" s="564"/>
      <c r="AP324" s="564"/>
      <c r="AQ324" s="564"/>
      <c r="AR324" s="564"/>
      <c r="AS324" s="564"/>
      <c r="AT324" s="564"/>
      <c r="AU324" s="564"/>
    </row>
    <row r="325" spans="1:47">
      <c r="A325" s="563"/>
      <c r="B325" s="563"/>
      <c r="C325" s="563"/>
      <c r="D325" s="563"/>
      <c r="E325" s="563"/>
      <c r="F325" s="563"/>
      <c r="G325" s="563"/>
      <c r="H325" s="563"/>
      <c r="I325" s="563"/>
      <c r="J325" s="563"/>
      <c r="K325" s="563"/>
      <c r="L325" s="563"/>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4"/>
      <c r="AL325" s="564"/>
      <c r="AM325" s="564"/>
      <c r="AN325" s="564"/>
      <c r="AO325" s="564"/>
      <c r="AP325" s="564"/>
      <c r="AQ325" s="564"/>
      <c r="AR325" s="564"/>
      <c r="AS325" s="564"/>
      <c r="AT325" s="564"/>
      <c r="AU325" s="564"/>
    </row>
    <row r="326" spans="1:47">
      <c r="A326" s="563"/>
      <c r="B326" s="563"/>
      <c r="C326" s="563"/>
      <c r="D326" s="563"/>
      <c r="E326" s="563"/>
      <c r="F326" s="563"/>
      <c r="G326" s="563"/>
      <c r="H326" s="563"/>
      <c r="I326" s="563"/>
      <c r="J326" s="563"/>
      <c r="K326" s="563"/>
      <c r="L326" s="563"/>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4"/>
      <c r="AL326" s="564"/>
      <c r="AM326" s="564"/>
      <c r="AN326" s="564"/>
      <c r="AO326" s="564"/>
      <c r="AP326" s="564"/>
      <c r="AQ326" s="564"/>
      <c r="AR326" s="564"/>
      <c r="AS326" s="564"/>
      <c r="AT326" s="564"/>
      <c r="AU326" s="564"/>
    </row>
    <row r="327" spans="1:47">
      <c r="A327" s="563"/>
      <c r="B327" s="563"/>
      <c r="C327" s="563"/>
      <c r="D327" s="563"/>
      <c r="E327" s="563"/>
      <c r="F327" s="563"/>
      <c r="G327" s="563"/>
      <c r="H327" s="563"/>
      <c r="I327" s="563"/>
      <c r="J327" s="563"/>
      <c r="K327" s="563"/>
      <c r="L327" s="563"/>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4"/>
      <c r="AL327" s="564"/>
      <c r="AM327" s="564"/>
      <c r="AN327" s="564"/>
      <c r="AO327" s="564"/>
      <c r="AP327" s="564"/>
      <c r="AQ327" s="564"/>
      <c r="AR327" s="564"/>
      <c r="AS327" s="564"/>
      <c r="AT327" s="564"/>
      <c r="AU327" s="564"/>
    </row>
    <row r="328" spans="1:47">
      <c r="A328" s="563"/>
      <c r="B328" s="563"/>
      <c r="C328" s="563"/>
      <c r="D328" s="563"/>
      <c r="E328" s="563"/>
      <c r="F328" s="563"/>
      <c r="G328" s="563"/>
      <c r="H328" s="563"/>
      <c r="I328" s="563"/>
      <c r="J328" s="563"/>
      <c r="K328" s="563"/>
      <c r="L328" s="563"/>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4"/>
      <c r="AL328" s="564"/>
      <c r="AM328" s="564"/>
      <c r="AN328" s="564"/>
      <c r="AO328" s="564"/>
      <c r="AP328" s="564"/>
      <c r="AQ328" s="564"/>
      <c r="AR328" s="564"/>
      <c r="AS328" s="564"/>
      <c r="AT328" s="564"/>
      <c r="AU328" s="564"/>
    </row>
    <row r="329" spans="1:47">
      <c r="A329" s="563"/>
      <c r="B329" s="563"/>
      <c r="C329" s="563"/>
      <c r="D329" s="563"/>
      <c r="E329" s="563"/>
      <c r="F329" s="563"/>
      <c r="G329" s="563"/>
      <c r="H329" s="563"/>
      <c r="I329" s="563"/>
      <c r="J329" s="563"/>
      <c r="K329" s="563"/>
      <c r="L329" s="563"/>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4"/>
      <c r="AL329" s="564"/>
      <c r="AM329" s="564"/>
      <c r="AN329" s="564"/>
      <c r="AO329" s="564"/>
      <c r="AP329" s="564"/>
      <c r="AQ329" s="564"/>
      <c r="AR329" s="564"/>
      <c r="AS329" s="564"/>
      <c r="AT329" s="564"/>
      <c r="AU329" s="564"/>
    </row>
    <row r="330" spans="1:47">
      <c r="A330" s="563"/>
      <c r="B330" s="563"/>
      <c r="C330" s="563"/>
      <c r="D330" s="563"/>
      <c r="E330" s="563"/>
      <c r="F330" s="563"/>
      <c r="G330" s="563"/>
      <c r="H330" s="563"/>
      <c r="I330" s="563"/>
      <c r="J330" s="563"/>
      <c r="K330" s="563"/>
      <c r="L330" s="563"/>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4"/>
      <c r="AL330" s="564"/>
      <c r="AM330" s="564"/>
      <c r="AN330" s="564"/>
      <c r="AO330" s="564"/>
      <c r="AP330" s="564"/>
      <c r="AQ330" s="564"/>
      <c r="AR330" s="564"/>
      <c r="AS330" s="564"/>
      <c r="AT330" s="564"/>
      <c r="AU330" s="564"/>
    </row>
    <row r="331" spans="1:47">
      <c r="A331" s="563"/>
      <c r="B331" s="563"/>
      <c r="C331" s="563"/>
      <c r="D331" s="563"/>
      <c r="E331" s="563"/>
      <c r="F331" s="563"/>
      <c r="G331" s="563"/>
      <c r="H331" s="563"/>
      <c r="I331" s="563"/>
      <c r="J331" s="563"/>
      <c r="K331" s="563"/>
      <c r="L331" s="563"/>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4"/>
      <c r="AL331" s="564"/>
      <c r="AM331" s="564"/>
      <c r="AN331" s="564"/>
      <c r="AO331" s="564"/>
      <c r="AP331" s="564"/>
      <c r="AQ331" s="564"/>
      <c r="AR331" s="564"/>
      <c r="AS331" s="564"/>
      <c r="AT331" s="564"/>
      <c r="AU331" s="564"/>
    </row>
    <row r="332" spans="1:47">
      <c r="A332" s="563"/>
      <c r="B332" s="563"/>
      <c r="C332" s="563"/>
      <c r="D332" s="563"/>
      <c r="E332" s="563"/>
      <c r="F332" s="563"/>
      <c r="G332" s="563"/>
      <c r="H332" s="563"/>
      <c r="I332" s="563"/>
      <c r="J332" s="563"/>
      <c r="K332" s="563"/>
      <c r="L332" s="563"/>
      <c r="M332" s="564"/>
      <c r="N332" s="564"/>
      <c r="O332" s="564"/>
      <c r="P332" s="564"/>
      <c r="Q332" s="564"/>
      <c r="R332" s="564"/>
      <c r="S332" s="564"/>
      <c r="T332" s="564"/>
      <c r="U332" s="564"/>
      <c r="V332" s="564"/>
      <c r="W332" s="564"/>
      <c r="X332" s="564"/>
      <c r="Y332" s="564"/>
      <c r="Z332" s="564"/>
      <c r="AA332" s="564"/>
      <c r="AB332" s="564"/>
      <c r="AC332" s="564"/>
      <c r="AD332" s="564"/>
      <c r="AE332" s="564"/>
      <c r="AF332" s="564"/>
      <c r="AG332" s="564"/>
      <c r="AH332" s="564"/>
      <c r="AI332" s="564"/>
      <c r="AJ332" s="564"/>
      <c r="AK332" s="564"/>
      <c r="AL332" s="564"/>
      <c r="AM332" s="564"/>
      <c r="AN332" s="564"/>
      <c r="AO332" s="564"/>
      <c r="AP332" s="564"/>
      <c r="AQ332" s="564"/>
      <c r="AR332" s="564"/>
      <c r="AS332" s="564"/>
      <c r="AT332" s="564"/>
      <c r="AU332" s="564"/>
    </row>
    <row r="333" spans="1:47">
      <c r="A333" s="563"/>
      <c r="B333" s="563"/>
      <c r="C333" s="563"/>
      <c r="D333" s="563"/>
      <c r="E333" s="563"/>
      <c r="F333" s="563"/>
      <c r="G333" s="563"/>
      <c r="H333" s="563"/>
      <c r="I333" s="563"/>
      <c r="J333" s="563"/>
      <c r="K333" s="563"/>
      <c r="L333" s="563"/>
      <c r="M333" s="564"/>
      <c r="N333" s="564"/>
      <c r="O333" s="564"/>
      <c r="P333" s="564"/>
      <c r="Q333" s="564"/>
      <c r="R333" s="564"/>
      <c r="S333" s="564"/>
      <c r="T333" s="564"/>
      <c r="U333" s="564"/>
      <c r="V333" s="564"/>
      <c r="W333" s="564"/>
      <c r="X333" s="564"/>
      <c r="Y333" s="564"/>
      <c r="Z333" s="564"/>
      <c r="AA333" s="564"/>
      <c r="AB333" s="564"/>
      <c r="AC333" s="564"/>
      <c r="AD333" s="564"/>
      <c r="AE333" s="564"/>
      <c r="AF333" s="564"/>
      <c r="AG333" s="564"/>
      <c r="AH333" s="564"/>
      <c r="AI333" s="564"/>
      <c r="AJ333" s="564"/>
      <c r="AK333" s="564"/>
      <c r="AL333" s="564"/>
      <c r="AM333" s="564"/>
      <c r="AN333" s="564"/>
      <c r="AO333" s="564"/>
      <c r="AP333" s="564"/>
      <c r="AQ333" s="564"/>
      <c r="AR333" s="564"/>
      <c r="AS333" s="564"/>
      <c r="AT333" s="564"/>
      <c r="AU333" s="564"/>
    </row>
    <row r="334" spans="1:47">
      <c r="A334" s="563"/>
      <c r="B334" s="563"/>
      <c r="C334" s="563"/>
      <c r="D334" s="563"/>
      <c r="E334" s="563"/>
      <c r="F334" s="563"/>
      <c r="G334" s="563"/>
      <c r="H334" s="563"/>
      <c r="I334" s="563"/>
      <c r="J334" s="563"/>
      <c r="K334" s="563"/>
      <c r="L334" s="563"/>
      <c r="M334" s="564"/>
      <c r="N334" s="564"/>
      <c r="O334" s="564"/>
      <c r="P334" s="564"/>
      <c r="Q334" s="564"/>
      <c r="R334" s="564"/>
      <c r="S334" s="564"/>
      <c r="T334" s="564"/>
      <c r="U334" s="564"/>
      <c r="V334" s="564"/>
      <c r="W334" s="564"/>
      <c r="X334" s="564"/>
      <c r="Y334" s="564"/>
      <c r="Z334" s="564"/>
      <c r="AA334" s="564"/>
      <c r="AB334" s="564"/>
      <c r="AC334" s="564"/>
      <c r="AD334" s="564"/>
      <c r="AE334" s="564"/>
      <c r="AF334" s="564"/>
      <c r="AG334" s="564"/>
      <c r="AH334" s="564"/>
      <c r="AI334" s="564"/>
      <c r="AJ334" s="564"/>
      <c r="AK334" s="564"/>
      <c r="AL334" s="564"/>
      <c r="AM334" s="564"/>
      <c r="AN334" s="564"/>
      <c r="AO334" s="564"/>
      <c r="AP334" s="564"/>
      <c r="AQ334" s="564"/>
      <c r="AR334" s="564"/>
      <c r="AS334" s="564"/>
      <c r="AT334" s="564"/>
      <c r="AU334" s="564"/>
    </row>
    <row r="335" spans="1:47">
      <c r="A335" s="563"/>
      <c r="B335" s="563"/>
      <c r="C335" s="563"/>
      <c r="D335" s="563"/>
      <c r="E335" s="563"/>
      <c r="F335" s="563"/>
      <c r="G335" s="563"/>
      <c r="H335" s="563"/>
      <c r="I335" s="563"/>
      <c r="J335" s="563"/>
      <c r="K335" s="563"/>
      <c r="L335" s="563"/>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4"/>
      <c r="AL335" s="564"/>
      <c r="AM335" s="564"/>
      <c r="AN335" s="564"/>
      <c r="AO335" s="564"/>
      <c r="AP335" s="564"/>
      <c r="AQ335" s="564"/>
      <c r="AR335" s="564"/>
      <c r="AS335" s="564"/>
      <c r="AT335" s="564"/>
      <c r="AU335" s="564"/>
    </row>
    <row r="336" spans="1:47">
      <c r="A336" s="563"/>
      <c r="B336" s="563"/>
      <c r="C336" s="563"/>
      <c r="D336" s="563"/>
      <c r="E336" s="563"/>
      <c r="F336" s="563"/>
      <c r="G336" s="563"/>
      <c r="H336" s="563"/>
      <c r="I336" s="563"/>
      <c r="J336" s="563"/>
      <c r="K336" s="563"/>
      <c r="L336" s="563"/>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4"/>
      <c r="AL336" s="564"/>
      <c r="AM336" s="564"/>
      <c r="AN336" s="564"/>
      <c r="AO336" s="564"/>
      <c r="AP336" s="564"/>
      <c r="AQ336" s="564"/>
      <c r="AR336" s="564"/>
      <c r="AS336" s="564"/>
      <c r="AT336" s="564"/>
      <c r="AU336" s="564"/>
    </row>
    <row r="337" spans="1:47">
      <c r="A337" s="563"/>
      <c r="B337" s="563"/>
      <c r="C337" s="563"/>
      <c r="D337" s="563"/>
      <c r="E337" s="563"/>
      <c r="F337" s="563"/>
      <c r="G337" s="563"/>
      <c r="H337" s="563"/>
      <c r="I337" s="563"/>
      <c r="J337" s="563"/>
      <c r="K337" s="563"/>
      <c r="L337" s="563"/>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4"/>
      <c r="AL337" s="564"/>
      <c r="AM337" s="564"/>
      <c r="AN337" s="564"/>
      <c r="AO337" s="564"/>
      <c r="AP337" s="564"/>
      <c r="AQ337" s="564"/>
      <c r="AR337" s="564"/>
      <c r="AS337" s="564"/>
      <c r="AT337" s="564"/>
      <c r="AU337" s="564"/>
    </row>
    <row r="338" spans="1:47">
      <c r="A338" s="563"/>
      <c r="B338" s="563"/>
      <c r="C338" s="563"/>
      <c r="D338" s="563"/>
      <c r="E338" s="563"/>
      <c r="F338" s="563"/>
      <c r="G338" s="563"/>
      <c r="H338" s="563"/>
      <c r="I338" s="563"/>
      <c r="J338" s="563"/>
      <c r="K338" s="563"/>
      <c r="L338" s="563"/>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4"/>
      <c r="AL338" s="564"/>
      <c r="AM338" s="564"/>
      <c r="AN338" s="564"/>
      <c r="AO338" s="564"/>
      <c r="AP338" s="564"/>
      <c r="AQ338" s="564"/>
      <c r="AR338" s="564"/>
      <c r="AS338" s="564"/>
      <c r="AT338" s="564"/>
      <c r="AU338" s="564"/>
    </row>
    <row r="339" spans="1:47">
      <c r="A339" s="563"/>
      <c r="B339" s="563"/>
      <c r="C339" s="563"/>
      <c r="D339" s="563"/>
      <c r="E339" s="563"/>
      <c r="F339" s="563"/>
      <c r="G339" s="563"/>
      <c r="H339" s="563"/>
      <c r="I339" s="563"/>
      <c r="J339" s="563"/>
      <c r="K339" s="563"/>
      <c r="L339" s="563"/>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4"/>
      <c r="AL339" s="564"/>
      <c r="AM339" s="564"/>
      <c r="AN339" s="564"/>
      <c r="AO339" s="564"/>
      <c r="AP339" s="564"/>
      <c r="AQ339" s="564"/>
      <c r="AR339" s="564"/>
      <c r="AS339" s="564"/>
      <c r="AT339" s="564"/>
      <c r="AU339" s="564"/>
    </row>
    <row r="340" spans="1:47">
      <c r="A340" s="563"/>
      <c r="B340" s="563"/>
      <c r="C340" s="563"/>
      <c r="D340" s="563"/>
      <c r="E340" s="563"/>
      <c r="F340" s="563"/>
      <c r="G340" s="563"/>
      <c r="H340" s="563"/>
      <c r="I340" s="563"/>
      <c r="J340" s="563"/>
      <c r="K340" s="563"/>
      <c r="L340" s="563"/>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4"/>
      <c r="AL340" s="564"/>
      <c r="AM340" s="564"/>
      <c r="AN340" s="564"/>
      <c r="AO340" s="564"/>
      <c r="AP340" s="564"/>
      <c r="AQ340" s="564"/>
      <c r="AR340" s="564"/>
      <c r="AS340" s="564"/>
      <c r="AT340" s="564"/>
      <c r="AU340" s="564"/>
    </row>
    <row r="341" spans="1:47">
      <c r="A341" s="563"/>
      <c r="B341" s="563"/>
      <c r="C341" s="563"/>
      <c r="D341" s="563"/>
      <c r="E341" s="563"/>
      <c r="F341" s="563"/>
      <c r="G341" s="563"/>
      <c r="H341" s="563"/>
      <c r="I341" s="563"/>
      <c r="J341" s="563"/>
      <c r="K341" s="563"/>
      <c r="L341" s="563"/>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4"/>
      <c r="AL341" s="564"/>
      <c r="AM341" s="564"/>
      <c r="AN341" s="564"/>
      <c r="AO341" s="564"/>
      <c r="AP341" s="564"/>
      <c r="AQ341" s="564"/>
      <c r="AR341" s="564"/>
      <c r="AS341" s="564"/>
      <c r="AT341" s="564"/>
      <c r="AU341" s="564"/>
    </row>
    <row r="342" spans="1:47">
      <c r="A342" s="563"/>
      <c r="B342" s="563"/>
      <c r="C342" s="563"/>
      <c r="D342" s="563"/>
      <c r="E342" s="563"/>
      <c r="F342" s="563"/>
      <c r="G342" s="563"/>
      <c r="H342" s="563"/>
      <c r="I342" s="563"/>
      <c r="J342" s="563"/>
      <c r="K342" s="563"/>
      <c r="L342" s="563"/>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4"/>
      <c r="AL342" s="564"/>
      <c r="AM342" s="564"/>
      <c r="AN342" s="564"/>
      <c r="AO342" s="564"/>
      <c r="AP342" s="564"/>
      <c r="AQ342" s="564"/>
      <c r="AR342" s="564"/>
      <c r="AS342" s="564"/>
      <c r="AT342" s="564"/>
      <c r="AU342" s="564"/>
    </row>
    <row r="343" spans="1:47">
      <c r="A343" s="563"/>
      <c r="B343" s="563"/>
      <c r="C343" s="563"/>
      <c r="D343" s="563"/>
      <c r="E343" s="563"/>
      <c r="F343" s="563"/>
      <c r="G343" s="563"/>
      <c r="H343" s="563"/>
      <c r="I343" s="563"/>
      <c r="J343" s="563"/>
      <c r="K343" s="563"/>
      <c r="L343" s="563"/>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4"/>
      <c r="AL343" s="564"/>
      <c r="AM343" s="564"/>
      <c r="AN343" s="564"/>
      <c r="AO343" s="564"/>
      <c r="AP343" s="564"/>
      <c r="AQ343" s="564"/>
      <c r="AR343" s="564"/>
      <c r="AS343" s="564"/>
      <c r="AT343" s="564"/>
      <c r="AU343" s="564"/>
    </row>
    <row r="344" spans="1:47">
      <c r="A344" s="563"/>
      <c r="B344" s="563"/>
      <c r="C344" s="563"/>
      <c r="D344" s="563"/>
      <c r="E344" s="563"/>
      <c r="F344" s="563"/>
      <c r="G344" s="563"/>
      <c r="H344" s="563"/>
      <c r="I344" s="563"/>
      <c r="J344" s="563"/>
      <c r="K344" s="563"/>
      <c r="L344" s="563"/>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4"/>
      <c r="AL344" s="564"/>
      <c r="AM344" s="564"/>
      <c r="AN344" s="564"/>
      <c r="AO344" s="564"/>
      <c r="AP344" s="564"/>
      <c r="AQ344" s="564"/>
      <c r="AR344" s="564"/>
      <c r="AS344" s="564"/>
      <c r="AT344" s="564"/>
      <c r="AU344" s="564"/>
    </row>
    <row r="345" spans="1:47">
      <c r="A345" s="563"/>
      <c r="B345" s="563"/>
      <c r="C345" s="563"/>
      <c r="D345" s="563"/>
      <c r="E345" s="563"/>
      <c r="F345" s="563"/>
      <c r="G345" s="563"/>
      <c r="H345" s="563"/>
      <c r="I345" s="563"/>
      <c r="J345" s="563"/>
      <c r="K345" s="563"/>
      <c r="L345" s="563"/>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4"/>
      <c r="AL345" s="564"/>
      <c r="AM345" s="564"/>
      <c r="AN345" s="564"/>
      <c r="AO345" s="564"/>
      <c r="AP345" s="564"/>
      <c r="AQ345" s="564"/>
      <c r="AR345" s="564"/>
      <c r="AS345" s="564"/>
      <c r="AT345" s="564"/>
      <c r="AU345" s="564"/>
    </row>
    <row r="346" spans="1:47">
      <c r="A346" s="563"/>
      <c r="B346" s="563"/>
      <c r="C346" s="563"/>
      <c r="D346" s="563"/>
      <c r="E346" s="563"/>
      <c r="F346" s="563"/>
      <c r="G346" s="563"/>
      <c r="H346" s="563"/>
      <c r="I346" s="563"/>
      <c r="J346" s="563"/>
      <c r="K346" s="563"/>
      <c r="L346" s="563"/>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4"/>
      <c r="AL346" s="564"/>
      <c r="AM346" s="564"/>
      <c r="AN346" s="564"/>
      <c r="AO346" s="564"/>
      <c r="AP346" s="564"/>
      <c r="AQ346" s="564"/>
      <c r="AR346" s="564"/>
      <c r="AS346" s="564"/>
      <c r="AT346" s="564"/>
      <c r="AU346" s="564"/>
    </row>
    <row r="347" spans="1:47">
      <c r="A347" s="563"/>
      <c r="B347" s="563"/>
      <c r="C347" s="563"/>
      <c r="D347" s="563"/>
      <c r="E347" s="563"/>
      <c r="F347" s="563"/>
      <c r="G347" s="563"/>
      <c r="H347" s="563"/>
      <c r="I347" s="563"/>
      <c r="J347" s="563"/>
      <c r="K347" s="563"/>
      <c r="L347" s="563"/>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4"/>
      <c r="AL347" s="564"/>
      <c r="AM347" s="564"/>
      <c r="AN347" s="564"/>
      <c r="AO347" s="564"/>
      <c r="AP347" s="564"/>
      <c r="AQ347" s="564"/>
      <c r="AR347" s="564"/>
      <c r="AS347" s="564"/>
      <c r="AT347" s="564"/>
      <c r="AU347" s="564"/>
    </row>
    <row r="348" spans="1:47">
      <c r="A348" s="563"/>
      <c r="B348" s="563"/>
      <c r="C348" s="563"/>
      <c r="D348" s="563"/>
      <c r="E348" s="563"/>
      <c r="F348" s="563"/>
      <c r="G348" s="563"/>
      <c r="H348" s="563"/>
      <c r="I348" s="563"/>
      <c r="J348" s="563"/>
      <c r="K348" s="563"/>
      <c r="L348" s="563"/>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4"/>
      <c r="AL348" s="564"/>
      <c r="AM348" s="564"/>
      <c r="AN348" s="564"/>
      <c r="AO348" s="564"/>
      <c r="AP348" s="564"/>
      <c r="AQ348" s="564"/>
      <c r="AR348" s="564"/>
      <c r="AS348" s="564"/>
      <c r="AT348" s="564"/>
      <c r="AU348" s="564"/>
    </row>
    <row r="349" spans="1:47">
      <c r="A349" s="563"/>
      <c r="B349" s="563"/>
      <c r="C349" s="563"/>
      <c r="D349" s="563"/>
      <c r="E349" s="563"/>
      <c r="F349" s="563"/>
      <c r="G349" s="563"/>
      <c r="H349" s="563"/>
      <c r="I349" s="563"/>
      <c r="J349" s="563"/>
      <c r="K349" s="563"/>
      <c r="L349" s="563"/>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4"/>
      <c r="AL349" s="564"/>
      <c r="AM349" s="564"/>
      <c r="AN349" s="564"/>
      <c r="AO349" s="564"/>
      <c r="AP349" s="564"/>
      <c r="AQ349" s="564"/>
      <c r="AR349" s="564"/>
      <c r="AS349" s="564"/>
      <c r="AT349" s="564"/>
      <c r="AU349" s="564"/>
    </row>
    <row r="350" spans="1:47">
      <c r="A350" s="563"/>
      <c r="B350" s="563"/>
      <c r="C350" s="563"/>
      <c r="D350" s="563"/>
      <c r="E350" s="563"/>
      <c r="F350" s="563"/>
      <c r="G350" s="563"/>
      <c r="H350" s="563"/>
      <c r="I350" s="563"/>
      <c r="J350" s="563"/>
      <c r="K350" s="563"/>
      <c r="L350" s="563"/>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4"/>
      <c r="AL350" s="564"/>
      <c r="AM350" s="564"/>
      <c r="AN350" s="564"/>
      <c r="AO350" s="564"/>
      <c r="AP350" s="564"/>
      <c r="AQ350" s="564"/>
      <c r="AR350" s="564"/>
      <c r="AS350" s="564"/>
      <c r="AT350" s="564"/>
      <c r="AU350" s="564"/>
    </row>
    <row r="351" spans="1:47">
      <c r="A351" s="563"/>
      <c r="B351" s="563"/>
      <c r="C351" s="563"/>
      <c r="D351" s="563"/>
      <c r="E351" s="563"/>
      <c r="F351" s="563"/>
      <c r="G351" s="563"/>
      <c r="H351" s="563"/>
      <c r="I351" s="563"/>
      <c r="J351" s="563"/>
      <c r="K351" s="563"/>
      <c r="L351" s="563"/>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4"/>
      <c r="AL351" s="564"/>
      <c r="AM351" s="564"/>
      <c r="AN351" s="564"/>
      <c r="AO351" s="564"/>
      <c r="AP351" s="564"/>
      <c r="AQ351" s="564"/>
      <c r="AR351" s="564"/>
      <c r="AS351" s="564"/>
      <c r="AT351" s="564"/>
      <c r="AU351" s="564"/>
    </row>
    <row r="352" spans="1:47">
      <c r="A352" s="563"/>
      <c r="B352" s="563"/>
      <c r="C352" s="563"/>
      <c r="D352" s="563"/>
      <c r="E352" s="563"/>
      <c r="F352" s="563"/>
      <c r="G352" s="563"/>
      <c r="H352" s="563"/>
      <c r="I352" s="563"/>
      <c r="J352" s="563"/>
      <c r="K352" s="563"/>
      <c r="L352" s="563"/>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4"/>
      <c r="AL352" s="564"/>
      <c r="AM352" s="564"/>
      <c r="AN352" s="564"/>
      <c r="AO352" s="564"/>
      <c r="AP352" s="564"/>
      <c r="AQ352" s="564"/>
      <c r="AR352" s="564"/>
      <c r="AS352" s="564"/>
      <c r="AT352" s="564"/>
      <c r="AU352" s="564"/>
    </row>
    <row r="353" spans="1:47">
      <c r="A353" s="563"/>
      <c r="B353" s="563"/>
      <c r="C353" s="563"/>
      <c r="D353" s="563"/>
      <c r="E353" s="563"/>
      <c r="F353" s="563"/>
      <c r="G353" s="563"/>
      <c r="H353" s="563"/>
      <c r="I353" s="563"/>
      <c r="J353" s="563"/>
      <c r="K353" s="563"/>
      <c r="L353" s="563"/>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4"/>
      <c r="AL353" s="564"/>
      <c r="AM353" s="564"/>
      <c r="AN353" s="564"/>
      <c r="AO353" s="564"/>
      <c r="AP353" s="564"/>
      <c r="AQ353" s="564"/>
      <c r="AR353" s="564"/>
      <c r="AS353" s="564"/>
      <c r="AT353" s="564"/>
      <c r="AU353" s="564"/>
    </row>
    <row r="354" spans="1:47">
      <c r="A354" s="563"/>
      <c r="B354" s="563"/>
      <c r="C354" s="563"/>
      <c r="D354" s="563"/>
      <c r="E354" s="563"/>
      <c r="F354" s="563"/>
      <c r="G354" s="563"/>
      <c r="H354" s="563"/>
      <c r="I354" s="563"/>
      <c r="J354" s="563"/>
      <c r="K354" s="563"/>
      <c r="L354" s="563"/>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4"/>
      <c r="AL354" s="564"/>
      <c r="AM354" s="564"/>
      <c r="AN354" s="564"/>
      <c r="AO354" s="564"/>
      <c r="AP354" s="564"/>
      <c r="AQ354" s="564"/>
      <c r="AR354" s="564"/>
      <c r="AS354" s="564"/>
      <c r="AT354" s="564"/>
      <c r="AU354" s="564"/>
    </row>
    <row r="355" spans="1:47">
      <c r="A355" s="563"/>
      <c r="B355" s="563"/>
      <c r="C355" s="563"/>
      <c r="D355" s="563"/>
      <c r="E355" s="563"/>
      <c r="F355" s="563"/>
      <c r="G355" s="563"/>
      <c r="H355" s="563"/>
      <c r="I355" s="563"/>
      <c r="J355" s="563"/>
      <c r="K355" s="563"/>
      <c r="L355" s="563"/>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4"/>
      <c r="AL355" s="564"/>
      <c r="AM355" s="564"/>
      <c r="AN355" s="564"/>
      <c r="AO355" s="564"/>
      <c r="AP355" s="564"/>
      <c r="AQ355" s="564"/>
      <c r="AR355" s="564"/>
      <c r="AS355" s="564"/>
      <c r="AT355" s="564"/>
      <c r="AU355" s="564"/>
    </row>
    <row r="356" spans="1:47">
      <c r="A356" s="563"/>
      <c r="B356" s="563"/>
      <c r="C356" s="563"/>
      <c r="D356" s="563"/>
      <c r="E356" s="563"/>
      <c r="F356" s="563"/>
      <c r="G356" s="563"/>
      <c r="H356" s="563"/>
      <c r="I356" s="563"/>
      <c r="J356" s="563"/>
      <c r="K356" s="563"/>
      <c r="L356" s="563"/>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4"/>
      <c r="AL356" s="564"/>
      <c r="AM356" s="564"/>
      <c r="AN356" s="564"/>
      <c r="AO356" s="564"/>
      <c r="AP356" s="564"/>
      <c r="AQ356" s="564"/>
      <c r="AR356" s="564"/>
      <c r="AS356" s="564"/>
      <c r="AT356" s="564"/>
      <c r="AU356" s="564"/>
    </row>
    <row r="357" spans="1:47">
      <c r="A357" s="563"/>
      <c r="B357" s="563"/>
      <c r="C357" s="563"/>
      <c r="D357" s="563"/>
      <c r="E357" s="563"/>
      <c r="F357" s="563"/>
      <c r="G357" s="563"/>
      <c r="H357" s="563"/>
      <c r="I357" s="563"/>
      <c r="J357" s="563"/>
      <c r="K357" s="563"/>
      <c r="L357" s="563"/>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4"/>
      <c r="AL357" s="564"/>
      <c r="AM357" s="564"/>
      <c r="AN357" s="564"/>
      <c r="AO357" s="564"/>
      <c r="AP357" s="564"/>
      <c r="AQ357" s="564"/>
      <c r="AR357" s="564"/>
      <c r="AS357" s="564"/>
      <c r="AT357" s="564"/>
      <c r="AU357" s="564"/>
    </row>
    <row r="358" spans="1:47">
      <c r="A358" s="563"/>
      <c r="B358" s="563"/>
      <c r="C358" s="563"/>
      <c r="D358" s="563"/>
      <c r="E358" s="563"/>
      <c r="F358" s="563"/>
      <c r="G358" s="563"/>
      <c r="H358" s="563"/>
      <c r="I358" s="563"/>
      <c r="J358" s="563"/>
      <c r="K358" s="563"/>
      <c r="L358" s="563"/>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4"/>
      <c r="AL358" s="564"/>
      <c r="AM358" s="564"/>
      <c r="AN358" s="564"/>
      <c r="AO358" s="564"/>
      <c r="AP358" s="564"/>
      <c r="AQ358" s="564"/>
      <c r="AR358" s="564"/>
      <c r="AS358" s="564"/>
      <c r="AT358" s="564"/>
      <c r="AU358" s="564"/>
    </row>
    <row r="359" spans="1:47">
      <c r="A359" s="563"/>
      <c r="B359" s="563"/>
      <c r="C359" s="563"/>
      <c r="D359" s="563"/>
      <c r="E359" s="563"/>
      <c r="F359" s="563"/>
      <c r="G359" s="563"/>
      <c r="H359" s="563"/>
      <c r="I359" s="563"/>
      <c r="J359" s="563"/>
      <c r="K359" s="563"/>
      <c r="L359" s="563"/>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4"/>
      <c r="AL359" s="564"/>
      <c r="AM359" s="564"/>
      <c r="AN359" s="564"/>
      <c r="AO359" s="564"/>
      <c r="AP359" s="564"/>
      <c r="AQ359" s="564"/>
      <c r="AR359" s="564"/>
      <c r="AS359" s="564"/>
      <c r="AT359" s="564"/>
      <c r="AU359" s="564"/>
    </row>
    <row r="360" spans="1:47">
      <c r="A360" s="563"/>
      <c r="B360" s="563"/>
      <c r="C360" s="563"/>
      <c r="D360" s="563"/>
      <c r="E360" s="563"/>
      <c r="F360" s="563"/>
      <c r="G360" s="563"/>
      <c r="H360" s="563"/>
      <c r="I360" s="563"/>
      <c r="J360" s="563"/>
      <c r="K360" s="563"/>
      <c r="L360" s="563"/>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4"/>
      <c r="AL360" s="564"/>
      <c r="AM360" s="564"/>
      <c r="AN360" s="564"/>
      <c r="AO360" s="564"/>
      <c r="AP360" s="564"/>
      <c r="AQ360" s="564"/>
      <c r="AR360" s="564"/>
      <c r="AS360" s="564"/>
      <c r="AT360" s="564"/>
      <c r="AU360" s="564"/>
    </row>
    <row r="361" spans="1:47">
      <c r="A361" s="563"/>
      <c r="B361" s="563"/>
      <c r="C361" s="563"/>
      <c r="D361" s="563"/>
      <c r="E361" s="563"/>
      <c r="F361" s="563"/>
      <c r="G361" s="563"/>
      <c r="H361" s="563"/>
      <c r="I361" s="563"/>
      <c r="J361" s="563"/>
      <c r="K361" s="563"/>
      <c r="L361" s="563"/>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4"/>
      <c r="AL361" s="564"/>
      <c r="AM361" s="564"/>
      <c r="AN361" s="564"/>
      <c r="AO361" s="564"/>
      <c r="AP361" s="564"/>
      <c r="AQ361" s="564"/>
      <c r="AR361" s="564"/>
      <c r="AS361" s="564"/>
      <c r="AT361" s="564"/>
      <c r="AU361" s="564"/>
    </row>
    <row r="362" spans="1:47">
      <c r="A362" s="563"/>
      <c r="B362" s="563"/>
      <c r="C362" s="563"/>
      <c r="D362" s="563"/>
      <c r="E362" s="563"/>
      <c r="F362" s="563"/>
      <c r="G362" s="563"/>
      <c r="H362" s="563"/>
      <c r="I362" s="563"/>
      <c r="J362" s="563"/>
      <c r="K362" s="563"/>
      <c r="L362" s="563"/>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4"/>
      <c r="AL362" s="564"/>
      <c r="AM362" s="564"/>
      <c r="AN362" s="564"/>
      <c r="AO362" s="564"/>
      <c r="AP362" s="564"/>
      <c r="AQ362" s="564"/>
      <c r="AR362" s="564"/>
      <c r="AS362" s="564"/>
      <c r="AT362" s="564"/>
      <c r="AU362" s="564"/>
    </row>
    <row r="363" spans="1:47">
      <c r="A363" s="563"/>
      <c r="B363" s="563"/>
      <c r="C363" s="563"/>
      <c r="D363" s="563"/>
      <c r="E363" s="563"/>
      <c r="F363" s="563"/>
      <c r="G363" s="563"/>
      <c r="H363" s="563"/>
      <c r="I363" s="563"/>
      <c r="J363" s="563"/>
      <c r="K363" s="563"/>
      <c r="L363" s="563"/>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4"/>
      <c r="AL363" s="564"/>
      <c r="AM363" s="564"/>
      <c r="AN363" s="564"/>
      <c r="AO363" s="564"/>
      <c r="AP363" s="564"/>
      <c r="AQ363" s="564"/>
      <c r="AR363" s="564"/>
      <c r="AS363" s="564"/>
      <c r="AT363" s="564"/>
      <c r="AU363" s="564"/>
    </row>
    <row r="364" spans="1:47">
      <c r="A364" s="563"/>
      <c r="B364" s="563"/>
      <c r="C364" s="563"/>
      <c r="D364" s="563"/>
      <c r="E364" s="563"/>
      <c r="F364" s="563"/>
      <c r="G364" s="563"/>
      <c r="H364" s="563"/>
      <c r="I364" s="563"/>
      <c r="J364" s="563"/>
      <c r="K364" s="563"/>
      <c r="L364" s="563"/>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4"/>
      <c r="AL364" s="564"/>
      <c r="AM364" s="564"/>
      <c r="AN364" s="564"/>
      <c r="AO364" s="564"/>
      <c r="AP364" s="564"/>
      <c r="AQ364" s="564"/>
      <c r="AR364" s="564"/>
      <c r="AS364" s="564"/>
      <c r="AT364" s="564"/>
      <c r="AU364" s="564"/>
    </row>
    <row r="365" spans="1:47">
      <c r="A365" s="563"/>
      <c r="B365" s="563"/>
      <c r="C365" s="563"/>
      <c r="D365" s="563"/>
      <c r="E365" s="563"/>
      <c r="F365" s="563"/>
      <c r="G365" s="563"/>
      <c r="H365" s="563"/>
      <c r="I365" s="563"/>
      <c r="J365" s="563"/>
      <c r="K365" s="563"/>
      <c r="L365" s="563"/>
      <c r="M365" s="564"/>
      <c r="N365" s="564"/>
      <c r="O365" s="564"/>
      <c r="P365" s="564"/>
      <c r="Q365" s="564"/>
      <c r="R365" s="564"/>
      <c r="S365" s="564"/>
      <c r="T365" s="564"/>
      <c r="U365" s="564"/>
      <c r="V365" s="564"/>
      <c r="W365" s="564"/>
      <c r="X365" s="564"/>
      <c r="Y365" s="564"/>
      <c r="Z365" s="564"/>
      <c r="AA365" s="564"/>
      <c r="AB365" s="564"/>
      <c r="AC365" s="564"/>
      <c r="AD365" s="564"/>
      <c r="AE365" s="564"/>
      <c r="AF365" s="564"/>
      <c r="AG365" s="564"/>
      <c r="AH365" s="564"/>
      <c r="AI365" s="564"/>
      <c r="AJ365" s="564"/>
      <c r="AK365" s="564"/>
      <c r="AL365" s="564"/>
      <c r="AM365" s="564"/>
      <c r="AN365" s="564"/>
      <c r="AO365" s="564"/>
      <c r="AP365" s="564"/>
      <c r="AQ365" s="564"/>
      <c r="AR365" s="564"/>
      <c r="AS365" s="564"/>
      <c r="AT365" s="564"/>
      <c r="AU365" s="564"/>
    </row>
    <row r="366" spans="1:47">
      <c r="A366" s="563"/>
      <c r="B366" s="563"/>
      <c r="C366" s="563"/>
      <c r="D366" s="563"/>
      <c r="E366" s="563"/>
      <c r="F366" s="563"/>
      <c r="G366" s="563"/>
      <c r="H366" s="563"/>
      <c r="I366" s="563"/>
      <c r="J366" s="563"/>
      <c r="K366" s="563"/>
      <c r="L366" s="563"/>
      <c r="M366" s="564"/>
      <c r="N366" s="564"/>
      <c r="O366" s="564"/>
      <c r="P366" s="564"/>
      <c r="Q366" s="564"/>
      <c r="R366" s="564"/>
      <c r="S366" s="564"/>
      <c r="T366" s="564"/>
      <c r="U366" s="564"/>
      <c r="V366" s="564"/>
      <c r="W366" s="564"/>
      <c r="X366" s="564"/>
      <c r="Y366" s="564"/>
      <c r="Z366" s="564"/>
      <c r="AA366" s="564"/>
      <c r="AB366" s="564"/>
      <c r="AC366" s="564"/>
      <c r="AD366" s="564"/>
      <c r="AE366" s="564"/>
      <c r="AF366" s="564"/>
      <c r="AG366" s="564"/>
      <c r="AH366" s="564"/>
      <c r="AI366" s="564"/>
      <c r="AJ366" s="564"/>
      <c r="AK366" s="564"/>
      <c r="AL366" s="564"/>
      <c r="AM366" s="564"/>
      <c r="AN366" s="564"/>
      <c r="AO366" s="564"/>
      <c r="AP366" s="564"/>
      <c r="AQ366" s="564"/>
      <c r="AR366" s="564"/>
      <c r="AS366" s="564"/>
      <c r="AT366" s="564"/>
      <c r="AU366" s="564"/>
    </row>
    <row r="367" spans="1:47">
      <c r="A367" s="563"/>
      <c r="B367" s="563"/>
      <c r="C367" s="563"/>
      <c r="D367" s="563"/>
      <c r="E367" s="563"/>
      <c r="F367" s="563"/>
      <c r="G367" s="563"/>
      <c r="H367" s="563"/>
      <c r="I367" s="563"/>
      <c r="J367" s="563"/>
      <c r="K367" s="563"/>
      <c r="L367" s="563"/>
      <c r="M367" s="564"/>
      <c r="N367" s="564"/>
      <c r="O367" s="564"/>
      <c r="P367" s="564"/>
      <c r="Q367" s="564"/>
      <c r="R367" s="564"/>
      <c r="S367" s="564"/>
      <c r="T367" s="564"/>
      <c r="U367" s="564"/>
      <c r="V367" s="564"/>
      <c r="W367" s="564"/>
      <c r="X367" s="564"/>
      <c r="Y367" s="564"/>
      <c r="Z367" s="564"/>
      <c r="AA367" s="564"/>
      <c r="AB367" s="564"/>
      <c r="AC367" s="564"/>
      <c r="AD367" s="564"/>
      <c r="AE367" s="564"/>
      <c r="AF367" s="564"/>
      <c r="AG367" s="564"/>
      <c r="AH367" s="564"/>
      <c r="AI367" s="564"/>
      <c r="AJ367" s="564"/>
      <c r="AK367" s="564"/>
      <c r="AL367" s="564"/>
      <c r="AM367" s="564"/>
      <c r="AN367" s="564"/>
      <c r="AO367" s="564"/>
      <c r="AP367" s="564"/>
      <c r="AQ367" s="564"/>
      <c r="AR367" s="564"/>
      <c r="AS367" s="564"/>
      <c r="AT367" s="564"/>
      <c r="AU367" s="564"/>
    </row>
    <row r="368" spans="1:47">
      <c r="A368" s="563"/>
      <c r="B368" s="563"/>
      <c r="C368" s="563"/>
      <c r="D368" s="563"/>
      <c r="E368" s="563"/>
      <c r="F368" s="563"/>
      <c r="G368" s="563"/>
      <c r="H368" s="563"/>
      <c r="I368" s="563"/>
      <c r="J368" s="563"/>
      <c r="K368" s="563"/>
      <c r="L368" s="563"/>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4"/>
      <c r="AL368" s="564"/>
      <c r="AM368" s="564"/>
      <c r="AN368" s="564"/>
      <c r="AO368" s="564"/>
      <c r="AP368" s="564"/>
      <c r="AQ368" s="564"/>
      <c r="AR368" s="564"/>
      <c r="AS368" s="564"/>
      <c r="AT368" s="564"/>
      <c r="AU368" s="564"/>
    </row>
    <row r="369" spans="1:47">
      <c r="A369" s="563"/>
      <c r="B369" s="563"/>
      <c r="C369" s="563"/>
      <c r="D369" s="563"/>
      <c r="E369" s="563"/>
      <c r="F369" s="563"/>
      <c r="G369" s="563"/>
      <c r="H369" s="563"/>
      <c r="I369" s="563"/>
      <c r="J369" s="563"/>
      <c r="K369" s="563"/>
      <c r="L369" s="563"/>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4"/>
      <c r="AL369" s="564"/>
      <c r="AM369" s="564"/>
      <c r="AN369" s="564"/>
      <c r="AO369" s="564"/>
      <c r="AP369" s="564"/>
      <c r="AQ369" s="564"/>
      <c r="AR369" s="564"/>
      <c r="AS369" s="564"/>
      <c r="AT369" s="564"/>
      <c r="AU369" s="564"/>
    </row>
    <row r="370" spans="1:47">
      <c r="A370" s="563"/>
      <c r="B370" s="563"/>
      <c r="C370" s="563"/>
      <c r="D370" s="563"/>
      <c r="E370" s="563"/>
      <c r="F370" s="563"/>
      <c r="G370" s="563"/>
      <c r="H370" s="563"/>
      <c r="I370" s="563"/>
      <c r="J370" s="563"/>
      <c r="K370" s="563"/>
      <c r="L370" s="563"/>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4"/>
      <c r="AL370" s="564"/>
      <c r="AM370" s="564"/>
      <c r="AN370" s="564"/>
      <c r="AO370" s="564"/>
      <c r="AP370" s="564"/>
      <c r="AQ370" s="564"/>
      <c r="AR370" s="564"/>
      <c r="AS370" s="564"/>
      <c r="AT370" s="564"/>
      <c r="AU370" s="564"/>
    </row>
    <row r="371" spans="1:47">
      <c r="A371" s="563"/>
      <c r="B371" s="563"/>
      <c r="C371" s="563"/>
      <c r="D371" s="563"/>
      <c r="E371" s="563"/>
      <c r="F371" s="563"/>
      <c r="G371" s="563"/>
      <c r="H371" s="563"/>
      <c r="I371" s="563"/>
      <c r="J371" s="563"/>
      <c r="K371" s="563"/>
      <c r="L371" s="563"/>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4"/>
      <c r="AL371" s="564"/>
      <c r="AM371" s="564"/>
      <c r="AN371" s="564"/>
      <c r="AO371" s="564"/>
      <c r="AP371" s="564"/>
      <c r="AQ371" s="564"/>
      <c r="AR371" s="564"/>
      <c r="AS371" s="564"/>
      <c r="AT371" s="564"/>
      <c r="AU371" s="564"/>
    </row>
    <row r="372" spans="1:47">
      <c r="A372" s="563"/>
      <c r="B372" s="563"/>
      <c r="C372" s="563"/>
      <c r="D372" s="563"/>
      <c r="E372" s="563"/>
      <c r="F372" s="563"/>
      <c r="G372" s="563"/>
      <c r="H372" s="563"/>
      <c r="I372" s="563"/>
      <c r="J372" s="563"/>
      <c r="K372" s="563"/>
      <c r="L372" s="563"/>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4"/>
      <c r="AL372" s="564"/>
      <c r="AM372" s="564"/>
      <c r="AN372" s="564"/>
      <c r="AO372" s="564"/>
      <c r="AP372" s="564"/>
      <c r="AQ372" s="564"/>
      <c r="AR372" s="564"/>
      <c r="AS372" s="564"/>
      <c r="AT372" s="564"/>
      <c r="AU372" s="564"/>
    </row>
    <row r="373" spans="1:47">
      <c r="A373" s="563"/>
      <c r="B373" s="563"/>
      <c r="C373" s="563"/>
      <c r="D373" s="563"/>
      <c r="E373" s="563"/>
      <c r="F373" s="563"/>
      <c r="G373" s="563"/>
      <c r="H373" s="563"/>
      <c r="I373" s="563"/>
      <c r="J373" s="563"/>
      <c r="K373" s="563"/>
      <c r="L373" s="563"/>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4"/>
      <c r="AL373" s="564"/>
      <c r="AM373" s="564"/>
      <c r="AN373" s="564"/>
      <c r="AO373" s="564"/>
      <c r="AP373" s="564"/>
      <c r="AQ373" s="564"/>
      <c r="AR373" s="564"/>
      <c r="AS373" s="564"/>
      <c r="AT373" s="564"/>
      <c r="AU373" s="564"/>
    </row>
    <row r="374" spans="1:47">
      <c r="A374" s="563"/>
      <c r="B374" s="563"/>
      <c r="C374" s="563"/>
      <c r="D374" s="563"/>
      <c r="E374" s="563"/>
      <c r="F374" s="563"/>
      <c r="G374" s="563"/>
      <c r="H374" s="563"/>
      <c r="I374" s="563"/>
      <c r="J374" s="563"/>
      <c r="K374" s="563"/>
      <c r="L374" s="563"/>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4"/>
      <c r="AL374" s="564"/>
      <c r="AM374" s="564"/>
      <c r="AN374" s="564"/>
      <c r="AO374" s="564"/>
      <c r="AP374" s="564"/>
      <c r="AQ374" s="564"/>
      <c r="AR374" s="564"/>
      <c r="AS374" s="564"/>
      <c r="AT374" s="564"/>
      <c r="AU374" s="564"/>
    </row>
    <row r="375" spans="1:47">
      <c r="A375" s="563"/>
      <c r="B375" s="563"/>
      <c r="C375" s="563"/>
      <c r="D375" s="563"/>
      <c r="E375" s="563"/>
      <c r="F375" s="563"/>
      <c r="G375" s="563"/>
      <c r="H375" s="563"/>
      <c r="I375" s="563"/>
      <c r="J375" s="563"/>
      <c r="K375" s="563"/>
      <c r="L375" s="563"/>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4"/>
      <c r="AL375" s="564"/>
      <c r="AM375" s="564"/>
      <c r="AN375" s="564"/>
      <c r="AO375" s="564"/>
      <c r="AP375" s="564"/>
      <c r="AQ375" s="564"/>
      <c r="AR375" s="564"/>
      <c r="AS375" s="564"/>
      <c r="AT375" s="564"/>
      <c r="AU375" s="564"/>
    </row>
    <row r="376" spans="1:47">
      <c r="A376" s="563"/>
      <c r="B376" s="563"/>
      <c r="C376" s="563"/>
      <c r="D376" s="563"/>
      <c r="E376" s="563"/>
      <c r="F376" s="563"/>
      <c r="G376" s="563"/>
      <c r="H376" s="563"/>
      <c r="I376" s="563"/>
      <c r="J376" s="563"/>
      <c r="K376" s="563"/>
      <c r="L376" s="563"/>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4"/>
      <c r="AL376" s="564"/>
      <c r="AM376" s="564"/>
      <c r="AN376" s="564"/>
      <c r="AO376" s="564"/>
      <c r="AP376" s="564"/>
      <c r="AQ376" s="564"/>
      <c r="AR376" s="564"/>
      <c r="AS376" s="564"/>
      <c r="AT376" s="564"/>
      <c r="AU376" s="564"/>
    </row>
    <row r="377" spans="1:47">
      <c r="A377" s="563"/>
      <c r="B377" s="563"/>
      <c r="C377" s="563"/>
      <c r="D377" s="563"/>
      <c r="E377" s="563"/>
      <c r="F377" s="563"/>
      <c r="G377" s="563"/>
      <c r="H377" s="563"/>
      <c r="I377" s="563"/>
      <c r="J377" s="563"/>
      <c r="K377" s="563"/>
      <c r="L377" s="563"/>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4"/>
      <c r="AL377" s="564"/>
      <c r="AM377" s="564"/>
      <c r="AN377" s="564"/>
      <c r="AO377" s="564"/>
      <c r="AP377" s="564"/>
      <c r="AQ377" s="564"/>
      <c r="AR377" s="564"/>
      <c r="AS377" s="564"/>
      <c r="AT377" s="564"/>
      <c r="AU377" s="564"/>
    </row>
    <row r="378" spans="1:47">
      <c r="A378" s="563"/>
      <c r="B378" s="563"/>
      <c r="C378" s="563"/>
      <c r="D378" s="563"/>
      <c r="E378" s="563"/>
      <c r="F378" s="563"/>
      <c r="G378" s="563"/>
      <c r="H378" s="563"/>
      <c r="I378" s="563"/>
      <c r="J378" s="563"/>
      <c r="K378" s="563"/>
      <c r="L378" s="563"/>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4"/>
      <c r="AL378" s="564"/>
      <c r="AM378" s="564"/>
      <c r="AN378" s="564"/>
      <c r="AO378" s="564"/>
      <c r="AP378" s="564"/>
      <c r="AQ378" s="564"/>
      <c r="AR378" s="564"/>
      <c r="AS378" s="564"/>
      <c r="AT378" s="564"/>
      <c r="AU378" s="564"/>
    </row>
    <row r="379" spans="1:47">
      <c r="A379" s="563"/>
      <c r="B379" s="563"/>
      <c r="C379" s="563"/>
      <c r="D379" s="563"/>
      <c r="E379" s="563"/>
      <c r="F379" s="563"/>
      <c r="G379" s="563"/>
      <c r="H379" s="563"/>
      <c r="I379" s="563"/>
      <c r="J379" s="563"/>
      <c r="K379" s="563"/>
      <c r="L379" s="563"/>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4"/>
      <c r="AL379" s="564"/>
      <c r="AM379" s="564"/>
      <c r="AN379" s="564"/>
      <c r="AO379" s="564"/>
      <c r="AP379" s="564"/>
      <c r="AQ379" s="564"/>
      <c r="AR379" s="564"/>
      <c r="AS379" s="564"/>
      <c r="AT379" s="564"/>
      <c r="AU379" s="564"/>
    </row>
    <row r="380" spans="1:47">
      <c r="A380" s="563"/>
      <c r="B380" s="563"/>
      <c r="C380" s="563"/>
      <c r="D380" s="563"/>
      <c r="E380" s="563"/>
      <c r="F380" s="563"/>
      <c r="G380" s="563"/>
      <c r="H380" s="563"/>
      <c r="I380" s="563"/>
      <c r="J380" s="563"/>
      <c r="K380" s="563"/>
      <c r="L380" s="563"/>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4"/>
      <c r="AL380" s="564"/>
      <c r="AM380" s="564"/>
      <c r="AN380" s="564"/>
      <c r="AO380" s="564"/>
      <c r="AP380" s="564"/>
      <c r="AQ380" s="564"/>
      <c r="AR380" s="564"/>
      <c r="AS380" s="564"/>
      <c r="AT380" s="564"/>
      <c r="AU380" s="564"/>
    </row>
    <row r="381" spans="1:47">
      <c r="A381" s="563"/>
      <c r="B381" s="563"/>
      <c r="C381" s="563"/>
      <c r="D381" s="563"/>
      <c r="E381" s="563"/>
      <c r="F381" s="563"/>
      <c r="G381" s="563"/>
      <c r="H381" s="563"/>
      <c r="I381" s="563"/>
      <c r="J381" s="563"/>
      <c r="K381" s="563"/>
      <c r="L381" s="563"/>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4"/>
      <c r="AL381" s="564"/>
      <c r="AM381" s="564"/>
      <c r="AN381" s="564"/>
      <c r="AO381" s="564"/>
      <c r="AP381" s="564"/>
      <c r="AQ381" s="564"/>
      <c r="AR381" s="564"/>
      <c r="AS381" s="564"/>
      <c r="AT381" s="564"/>
      <c r="AU381" s="564"/>
    </row>
    <row r="382" spans="1:47">
      <c r="A382" s="563"/>
      <c r="B382" s="563"/>
      <c r="C382" s="563"/>
      <c r="D382" s="563"/>
      <c r="E382" s="563"/>
      <c r="F382" s="563"/>
      <c r="G382" s="563"/>
      <c r="H382" s="563"/>
      <c r="I382" s="563"/>
      <c r="J382" s="563"/>
      <c r="K382" s="563"/>
      <c r="L382" s="563"/>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4"/>
      <c r="AL382" s="564"/>
      <c r="AM382" s="564"/>
      <c r="AN382" s="564"/>
      <c r="AO382" s="564"/>
      <c r="AP382" s="564"/>
      <c r="AQ382" s="564"/>
      <c r="AR382" s="564"/>
      <c r="AS382" s="564"/>
      <c r="AT382" s="564"/>
      <c r="AU382" s="564"/>
    </row>
    <row r="383" spans="1:47">
      <c r="A383" s="563"/>
      <c r="B383" s="563"/>
      <c r="C383" s="563"/>
      <c r="D383" s="563"/>
      <c r="E383" s="563"/>
      <c r="F383" s="563"/>
      <c r="G383" s="563"/>
      <c r="H383" s="563"/>
      <c r="I383" s="563"/>
      <c r="J383" s="563"/>
      <c r="K383" s="563"/>
      <c r="L383" s="563"/>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4"/>
      <c r="AL383" s="564"/>
      <c r="AM383" s="564"/>
      <c r="AN383" s="564"/>
      <c r="AO383" s="564"/>
      <c r="AP383" s="564"/>
      <c r="AQ383" s="564"/>
      <c r="AR383" s="564"/>
      <c r="AS383" s="564"/>
      <c r="AT383" s="564"/>
      <c r="AU383" s="564"/>
    </row>
    <row r="384" spans="1:47">
      <c r="A384" s="563"/>
      <c r="B384" s="563"/>
      <c r="C384" s="563"/>
      <c r="D384" s="563"/>
      <c r="E384" s="563"/>
      <c r="F384" s="563"/>
      <c r="G384" s="563"/>
      <c r="H384" s="563"/>
      <c r="I384" s="563"/>
      <c r="J384" s="563"/>
      <c r="K384" s="563"/>
      <c r="L384" s="563"/>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4"/>
      <c r="AL384" s="564"/>
      <c r="AM384" s="564"/>
      <c r="AN384" s="564"/>
      <c r="AO384" s="564"/>
      <c r="AP384" s="564"/>
      <c r="AQ384" s="564"/>
      <c r="AR384" s="564"/>
      <c r="AS384" s="564"/>
      <c r="AT384" s="564"/>
      <c r="AU384" s="564"/>
    </row>
    <row r="385" spans="1:47">
      <c r="A385" s="563"/>
      <c r="B385" s="563"/>
      <c r="C385" s="563"/>
      <c r="D385" s="563"/>
      <c r="E385" s="563"/>
      <c r="F385" s="563"/>
      <c r="G385" s="563"/>
      <c r="H385" s="563"/>
      <c r="I385" s="563"/>
      <c r="J385" s="563"/>
      <c r="K385" s="563"/>
      <c r="L385" s="563"/>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4"/>
      <c r="AL385" s="564"/>
      <c r="AM385" s="564"/>
      <c r="AN385" s="564"/>
      <c r="AO385" s="564"/>
      <c r="AP385" s="564"/>
      <c r="AQ385" s="564"/>
      <c r="AR385" s="564"/>
      <c r="AS385" s="564"/>
      <c r="AT385" s="564"/>
      <c r="AU385" s="564"/>
    </row>
    <row r="386" spans="1:47">
      <c r="A386" s="563"/>
      <c r="B386" s="563"/>
      <c r="C386" s="563"/>
      <c r="D386" s="563"/>
      <c r="E386" s="563"/>
      <c r="F386" s="563"/>
      <c r="G386" s="563"/>
      <c r="H386" s="563"/>
      <c r="I386" s="563"/>
      <c r="J386" s="563"/>
      <c r="K386" s="563"/>
      <c r="L386" s="563"/>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4"/>
      <c r="AL386" s="564"/>
      <c r="AM386" s="564"/>
      <c r="AN386" s="564"/>
      <c r="AO386" s="564"/>
      <c r="AP386" s="564"/>
      <c r="AQ386" s="564"/>
      <c r="AR386" s="564"/>
      <c r="AS386" s="564"/>
      <c r="AT386" s="564"/>
      <c r="AU386" s="564"/>
    </row>
    <row r="387" spans="1:47">
      <c r="A387" s="563"/>
      <c r="B387" s="563"/>
      <c r="C387" s="563"/>
      <c r="D387" s="563"/>
      <c r="E387" s="563"/>
      <c r="F387" s="563"/>
      <c r="G387" s="563"/>
      <c r="H387" s="563"/>
      <c r="I387" s="563"/>
      <c r="J387" s="563"/>
      <c r="K387" s="563"/>
      <c r="L387" s="563"/>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4"/>
      <c r="AL387" s="564"/>
      <c r="AM387" s="564"/>
      <c r="AN387" s="564"/>
      <c r="AO387" s="564"/>
      <c r="AP387" s="564"/>
      <c r="AQ387" s="564"/>
      <c r="AR387" s="564"/>
      <c r="AS387" s="564"/>
      <c r="AT387" s="564"/>
      <c r="AU387" s="564"/>
    </row>
    <row r="388" spans="1:47">
      <c r="A388" s="563"/>
      <c r="B388" s="563"/>
      <c r="C388" s="563"/>
      <c r="D388" s="563"/>
      <c r="E388" s="563"/>
      <c r="F388" s="563"/>
      <c r="G388" s="563"/>
      <c r="H388" s="563"/>
      <c r="I388" s="563"/>
      <c r="J388" s="563"/>
      <c r="K388" s="563"/>
      <c r="L388" s="563"/>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4"/>
      <c r="AL388" s="564"/>
      <c r="AM388" s="564"/>
      <c r="AN388" s="564"/>
      <c r="AO388" s="564"/>
      <c r="AP388" s="564"/>
      <c r="AQ388" s="564"/>
      <c r="AR388" s="564"/>
      <c r="AS388" s="564"/>
      <c r="AT388" s="564"/>
      <c r="AU388" s="564"/>
    </row>
    <row r="389" spans="1:47">
      <c r="A389" s="563"/>
      <c r="B389" s="563"/>
      <c r="C389" s="563"/>
      <c r="D389" s="563"/>
      <c r="E389" s="563"/>
      <c r="F389" s="563"/>
      <c r="G389" s="563"/>
      <c r="H389" s="563"/>
      <c r="I389" s="563"/>
      <c r="J389" s="563"/>
      <c r="K389" s="563"/>
      <c r="L389" s="563"/>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4"/>
      <c r="AL389" s="564"/>
      <c r="AM389" s="564"/>
      <c r="AN389" s="564"/>
      <c r="AO389" s="564"/>
      <c r="AP389" s="564"/>
      <c r="AQ389" s="564"/>
      <c r="AR389" s="564"/>
      <c r="AS389" s="564"/>
      <c r="AT389" s="564"/>
      <c r="AU389" s="564"/>
    </row>
    <row r="390" spans="1:47">
      <c r="A390" s="563"/>
      <c r="B390" s="563"/>
      <c r="C390" s="563"/>
      <c r="D390" s="563"/>
      <c r="E390" s="563"/>
      <c r="F390" s="563"/>
      <c r="G390" s="563"/>
      <c r="H390" s="563"/>
      <c r="I390" s="563"/>
      <c r="J390" s="563"/>
      <c r="K390" s="563"/>
      <c r="L390" s="563"/>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4"/>
      <c r="AL390" s="564"/>
      <c r="AM390" s="564"/>
      <c r="AN390" s="564"/>
      <c r="AO390" s="564"/>
      <c r="AP390" s="564"/>
      <c r="AQ390" s="564"/>
      <c r="AR390" s="564"/>
      <c r="AS390" s="564"/>
      <c r="AT390" s="564"/>
      <c r="AU390" s="564"/>
    </row>
    <row r="391" spans="1:47">
      <c r="A391" s="563"/>
      <c r="B391" s="563"/>
      <c r="C391" s="563"/>
      <c r="D391" s="563"/>
      <c r="E391" s="563"/>
      <c r="F391" s="563"/>
      <c r="G391" s="563"/>
      <c r="H391" s="563"/>
      <c r="I391" s="563"/>
      <c r="J391" s="563"/>
      <c r="K391" s="563"/>
      <c r="L391" s="563"/>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4"/>
      <c r="AL391" s="564"/>
      <c r="AM391" s="564"/>
      <c r="AN391" s="564"/>
      <c r="AO391" s="564"/>
      <c r="AP391" s="564"/>
      <c r="AQ391" s="564"/>
      <c r="AR391" s="564"/>
      <c r="AS391" s="564"/>
      <c r="AT391" s="564"/>
      <c r="AU391" s="564"/>
    </row>
    <row r="392" spans="1:47">
      <c r="A392" s="563"/>
      <c r="B392" s="563"/>
      <c r="C392" s="563"/>
      <c r="D392" s="563"/>
      <c r="E392" s="563"/>
      <c r="F392" s="563"/>
      <c r="G392" s="563"/>
      <c r="H392" s="563"/>
      <c r="I392" s="563"/>
      <c r="J392" s="563"/>
      <c r="K392" s="563"/>
      <c r="L392" s="563"/>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4"/>
      <c r="AL392" s="564"/>
      <c r="AM392" s="564"/>
      <c r="AN392" s="564"/>
      <c r="AO392" s="564"/>
      <c r="AP392" s="564"/>
      <c r="AQ392" s="564"/>
      <c r="AR392" s="564"/>
      <c r="AS392" s="564"/>
      <c r="AT392" s="564"/>
      <c r="AU392" s="564"/>
    </row>
    <row r="393" spans="1:47">
      <c r="A393" s="563"/>
      <c r="B393" s="563"/>
      <c r="C393" s="563"/>
      <c r="D393" s="563"/>
      <c r="E393" s="563"/>
      <c r="F393" s="563"/>
      <c r="G393" s="563"/>
      <c r="H393" s="563"/>
      <c r="I393" s="563"/>
      <c r="J393" s="563"/>
      <c r="K393" s="563"/>
      <c r="L393" s="563"/>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4"/>
      <c r="AL393" s="564"/>
      <c r="AM393" s="564"/>
      <c r="AN393" s="564"/>
      <c r="AO393" s="564"/>
      <c r="AP393" s="564"/>
      <c r="AQ393" s="564"/>
      <c r="AR393" s="564"/>
      <c r="AS393" s="564"/>
      <c r="AT393" s="564"/>
      <c r="AU393" s="564"/>
    </row>
    <row r="394" spans="1:47">
      <c r="A394" s="563"/>
      <c r="B394" s="563"/>
      <c r="C394" s="563"/>
      <c r="D394" s="563"/>
      <c r="E394" s="563"/>
      <c r="F394" s="563"/>
      <c r="G394" s="563"/>
      <c r="H394" s="563"/>
      <c r="I394" s="563"/>
      <c r="J394" s="563"/>
      <c r="K394" s="563"/>
      <c r="L394" s="563"/>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4"/>
      <c r="AL394" s="564"/>
      <c r="AM394" s="564"/>
      <c r="AN394" s="564"/>
      <c r="AO394" s="564"/>
      <c r="AP394" s="564"/>
      <c r="AQ394" s="564"/>
      <c r="AR394" s="564"/>
      <c r="AS394" s="564"/>
      <c r="AT394" s="564"/>
      <c r="AU394" s="564"/>
    </row>
    <row r="395" spans="1:47">
      <c r="A395" s="563"/>
      <c r="B395" s="563"/>
      <c r="C395" s="563"/>
      <c r="D395" s="563"/>
      <c r="E395" s="563"/>
      <c r="F395" s="563"/>
      <c r="G395" s="563"/>
      <c r="H395" s="563"/>
      <c r="I395" s="563"/>
      <c r="J395" s="563"/>
      <c r="K395" s="563"/>
      <c r="L395" s="563"/>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4"/>
      <c r="AL395" s="564"/>
      <c r="AM395" s="564"/>
      <c r="AN395" s="564"/>
      <c r="AO395" s="564"/>
      <c r="AP395" s="564"/>
      <c r="AQ395" s="564"/>
      <c r="AR395" s="564"/>
      <c r="AS395" s="564"/>
      <c r="AT395" s="564"/>
      <c r="AU395" s="564"/>
    </row>
    <row r="396" spans="1:47">
      <c r="A396" s="563"/>
      <c r="B396" s="563"/>
      <c r="C396" s="563"/>
      <c r="D396" s="563"/>
      <c r="E396" s="563"/>
      <c r="F396" s="563"/>
      <c r="G396" s="563"/>
      <c r="H396" s="563"/>
      <c r="I396" s="563"/>
      <c r="J396" s="563"/>
      <c r="K396" s="563"/>
      <c r="L396" s="563"/>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4"/>
      <c r="AL396" s="564"/>
      <c r="AM396" s="564"/>
      <c r="AN396" s="564"/>
      <c r="AO396" s="564"/>
      <c r="AP396" s="564"/>
      <c r="AQ396" s="564"/>
      <c r="AR396" s="564"/>
      <c r="AS396" s="564"/>
      <c r="AT396" s="564"/>
      <c r="AU396" s="564"/>
    </row>
    <row r="397" spans="1:47">
      <c r="A397" s="563"/>
      <c r="B397" s="563"/>
      <c r="C397" s="563"/>
      <c r="D397" s="563"/>
      <c r="E397" s="563"/>
      <c r="F397" s="563"/>
      <c r="G397" s="563"/>
      <c r="H397" s="563"/>
      <c r="I397" s="563"/>
      <c r="J397" s="563"/>
      <c r="K397" s="563"/>
      <c r="L397" s="563"/>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4"/>
      <c r="AL397" s="564"/>
      <c r="AM397" s="564"/>
      <c r="AN397" s="564"/>
      <c r="AO397" s="564"/>
      <c r="AP397" s="564"/>
      <c r="AQ397" s="564"/>
      <c r="AR397" s="564"/>
      <c r="AS397" s="564"/>
      <c r="AT397" s="564"/>
      <c r="AU397" s="564"/>
    </row>
    <row r="398" spans="1:47">
      <c r="A398" s="563"/>
      <c r="B398" s="563"/>
      <c r="C398" s="563"/>
      <c r="D398" s="563"/>
      <c r="E398" s="563"/>
      <c r="F398" s="563"/>
      <c r="G398" s="563"/>
      <c r="H398" s="563"/>
      <c r="I398" s="563"/>
      <c r="J398" s="563"/>
      <c r="K398" s="563"/>
      <c r="L398" s="563"/>
      <c r="M398" s="564"/>
      <c r="N398" s="564"/>
      <c r="O398" s="564"/>
      <c r="P398" s="564"/>
      <c r="Q398" s="564"/>
      <c r="R398" s="564"/>
      <c r="S398" s="564"/>
      <c r="T398" s="564"/>
      <c r="U398" s="564"/>
      <c r="V398" s="564"/>
      <c r="W398" s="564"/>
      <c r="X398" s="564"/>
      <c r="Y398" s="564"/>
      <c r="Z398" s="564"/>
      <c r="AA398" s="564"/>
      <c r="AB398" s="564"/>
      <c r="AC398" s="564"/>
      <c r="AD398" s="564"/>
      <c r="AE398" s="564"/>
      <c r="AF398" s="564"/>
      <c r="AG398" s="564"/>
      <c r="AH398" s="564"/>
      <c r="AI398" s="564"/>
      <c r="AJ398" s="564"/>
      <c r="AK398" s="564"/>
      <c r="AL398" s="564"/>
      <c r="AM398" s="564"/>
      <c r="AN398" s="564"/>
      <c r="AO398" s="564"/>
      <c r="AP398" s="564"/>
      <c r="AQ398" s="564"/>
      <c r="AR398" s="564"/>
      <c r="AS398" s="564"/>
      <c r="AT398" s="564"/>
      <c r="AU398" s="564"/>
    </row>
    <row r="399" spans="1:47">
      <c r="A399" s="563"/>
      <c r="B399" s="563"/>
      <c r="C399" s="563"/>
      <c r="D399" s="563"/>
      <c r="E399" s="563"/>
      <c r="F399" s="563"/>
      <c r="G399" s="563"/>
      <c r="H399" s="563"/>
      <c r="I399" s="563"/>
      <c r="J399" s="563"/>
      <c r="K399" s="563"/>
      <c r="L399" s="563"/>
      <c r="M399" s="564"/>
      <c r="N399" s="564"/>
      <c r="O399" s="564"/>
      <c r="P399" s="564"/>
      <c r="Q399" s="564"/>
      <c r="R399" s="564"/>
      <c r="S399" s="564"/>
      <c r="T399" s="564"/>
      <c r="U399" s="564"/>
      <c r="V399" s="564"/>
      <c r="W399" s="564"/>
      <c r="X399" s="564"/>
      <c r="Y399" s="564"/>
      <c r="Z399" s="564"/>
      <c r="AA399" s="564"/>
      <c r="AB399" s="564"/>
      <c r="AC399" s="564"/>
      <c r="AD399" s="564"/>
      <c r="AE399" s="564"/>
      <c r="AF399" s="564"/>
      <c r="AG399" s="564"/>
      <c r="AH399" s="564"/>
      <c r="AI399" s="564"/>
      <c r="AJ399" s="564"/>
      <c r="AK399" s="564"/>
      <c r="AL399" s="564"/>
      <c r="AM399" s="564"/>
      <c r="AN399" s="564"/>
      <c r="AO399" s="564"/>
      <c r="AP399" s="564"/>
      <c r="AQ399" s="564"/>
      <c r="AR399" s="564"/>
      <c r="AS399" s="564"/>
      <c r="AT399" s="564"/>
      <c r="AU399" s="564"/>
    </row>
    <row r="400" spans="1:47">
      <c r="A400" s="563"/>
      <c r="B400" s="563"/>
      <c r="C400" s="563"/>
      <c r="D400" s="563"/>
      <c r="E400" s="563"/>
      <c r="F400" s="563"/>
      <c r="G400" s="563"/>
      <c r="H400" s="563"/>
      <c r="I400" s="563"/>
      <c r="J400" s="563"/>
      <c r="K400" s="563"/>
      <c r="L400" s="563"/>
      <c r="M400" s="564"/>
      <c r="N400" s="564"/>
      <c r="O400" s="564"/>
      <c r="P400" s="564"/>
      <c r="Q400" s="564"/>
      <c r="R400" s="564"/>
      <c r="S400" s="564"/>
      <c r="T400" s="564"/>
      <c r="U400" s="564"/>
      <c r="V400" s="564"/>
      <c r="W400" s="564"/>
      <c r="X400" s="564"/>
      <c r="Y400" s="564"/>
      <c r="Z400" s="564"/>
      <c r="AA400" s="564"/>
      <c r="AB400" s="564"/>
      <c r="AC400" s="564"/>
      <c r="AD400" s="564"/>
      <c r="AE400" s="564"/>
      <c r="AF400" s="564"/>
      <c r="AG400" s="564"/>
      <c r="AH400" s="564"/>
      <c r="AI400" s="564"/>
      <c r="AJ400" s="564"/>
      <c r="AK400" s="564"/>
      <c r="AL400" s="564"/>
      <c r="AM400" s="564"/>
      <c r="AN400" s="564"/>
      <c r="AO400" s="564"/>
      <c r="AP400" s="564"/>
      <c r="AQ400" s="564"/>
      <c r="AR400" s="564"/>
      <c r="AS400" s="564"/>
      <c r="AT400" s="564"/>
      <c r="AU400" s="564"/>
    </row>
    <row r="401" spans="1:47">
      <c r="A401" s="563"/>
      <c r="B401" s="563"/>
      <c r="C401" s="563"/>
      <c r="D401" s="563"/>
      <c r="E401" s="563"/>
      <c r="F401" s="563"/>
      <c r="G401" s="563"/>
      <c r="H401" s="563"/>
      <c r="I401" s="563"/>
      <c r="J401" s="563"/>
      <c r="K401" s="563"/>
      <c r="L401" s="563"/>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4"/>
      <c r="AL401" s="564"/>
      <c r="AM401" s="564"/>
      <c r="AN401" s="564"/>
      <c r="AO401" s="564"/>
      <c r="AP401" s="564"/>
      <c r="AQ401" s="564"/>
      <c r="AR401" s="564"/>
      <c r="AS401" s="564"/>
      <c r="AT401" s="564"/>
      <c r="AU401" s="564"/>
    </row>
    <row r="402" spans="1:47">
      <c r="A402" s="563"/>
      <c r="B402" s="563"/>
      <c r="C402" s="563"/>
      <c r="D402" s="563"/>
      <c r="E402" s="563"/>
      <c r="F402" s="563"/>
      <c r="G402" s="563"/>
      <c r="H402" s="563"/>
      <c r="I402" s="563"/>
      <c r="J402" s="563"/>
      <c r="K402" s="563"/>
      <c r="L402" s="563"/>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4"/>
      <c r="AL402" s="564"/>
      <c r="AM402" s="564"/>
      <c r="AN402" s="564"/>
      <c r="AO402" s="564"/>
      <c r="AP402" s="564"/>
      <c r="AQ402" s="564"/>
      <c r="AR402" s="564"/>
      <c r="AS402" s="564"/>
      <c r="AT402" s="564"/>
      <c r="AU402" s="564"/>
    </row>
    <row r="403" spans="1:47">
      <c r="A403" s="563"/>
      <c r="B403" s="563"/>
      <c r="C403" s="563"/>
      <c r="D403" s="563"/>
      <c r="E403" s="563"/>
      <c r="F403" s="563"/>
      <c r="G403" s="563"/>
      <c r="H403" s="563"/>
      <c r="I403" s="563"/>
      <c r="J403" s="563"/>
      <c r="K403" s="563"/>
      <c r="L403" s="563"/>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4"/>
      <c r="AL403" s="564"/>
      <c r="AM403" s="564"/>
      <c r="AN403" s="564"/>
      <c r="AO403" s="564"/>
      <c r="AP403" s="564"/>
      <c r="AQ403" s="564"/>
      <c r="AR403" s="564"/>
      <c r="AS403" s="564"/>
      <c r="AT403" s="564"/>
      <c r="AU403" s="564"/>
    </row>
    <row r="404" spans="1:47">
      <c r="A404" s="563"/>
      <c r="B404" s="563"/>
      <c r="C404" s="563"/>
      <c r="D404" s="563"/>
      <c r="E404" s="563"/>
      <c r="F404" s="563"/>
      <c r="G404" s="563"/>
      <c r="H404" s="563"/>
      <c r="I404" s="563"/>
      <c r="J404" s="563"/>
      <c r="K404" s="563"/>
      <c r="L404" s="563"/>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4"/>
      <c r="AL404" s="564"/>
      <c r="AM404" s="564"/>
      <c r="AN404" s="564"/>
      <c r="AO404" s="564"/>
      <c r="AP404" s="564"/>
      <c r="AQ404" s="564"/>
      <c r="AR404" s="564"/>
      <c r="AS404" s="564"/>
      <c r="AT404" s="564"/>
      <c r="AU404" s="564"/>
    </row>
    <row r="405" spans="1:47">
      <c r="A405" s="563"/>
      <c r="B405" s="563"/>
      <c r="C405" s="563"/>
      <c r="D405" s="563"/>
      <c r="E405" s="563"/>
      <c r="F405" s="563"/>
      <c r="G405" s="563"/>
      <c r="H405" s="563"/>
      <c r="I405" s="563"/>
      <c r="J405" s="563"/>
      <c r="K405" s="563"/>
      <c r="L405" s="563"/>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4"/>
      <c r="AL405" s="564"/>
      <c r="AM405" s="564"/>
      <c r="AN405" s="564"/>
      <c r="AO405" s="564"/>
      <c r="AP405" s="564"/>
      <c r="AQ405" s="564"/>
      <c r="AR405" s="564"/>
      <c r="AS405" s="564"/>
      <c r="AT405" s="564"/>
      <c r="AU405" s="564"/>
    </row>
    <row r="406" spans="1:47">
      <c r="A406" s="563"/>
      <c r="B406" s="563"/>
      <c r="C406" s="563"/>
      <c r="D406" s="563"/>
      <c r="E406" s="563"/>
      <c r="F406" s="563"/>
      <c r="G406" s="563"/>
      <c r="H406" s="563"/>
      <c r="I406" s="563"/>
      <c r="J406" s="563"/>
      <c r="K406" s="563"/>
      <c r="L406" s="563"/>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4"/>
      <c r="AL406" s="564"/>
      <c r="AM406" s="564"/>
      <c r="AN406" s="564"/>
      <c r="AO406" s="564"/>
      <c r="AP406" s="564"/>
      <c r="AQ406" s="564"/>
      <c r="AR406" s="564"/>
      <c r="AS406" s="564"/>
      <c r="AT406" s="564"/>
      <c r="AU406" s="564"/>
    </row>
    <row r="407" spans="1:47">
      <c r="A407" s="563"/>
      <c r="B407" s="563"/>
      <c r="C407" s="563"/>
      <c r="D407" s="563"/>
      <c r="E407" s="563"/>
      <c r="F407" s="563"/>
      <c r="G407" s="563"/>
      <c r="H407" s="563"/>
      <c r="I407" s="563"/>
      <c r="J407" s="563"/>
      <c r="K407" s="563"/>
      <c r="L407" s="563"/>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4"/>
      <c r="AL407" s="564"/>
      <c r="AM407" s="564"/>
      <c r="AN407" s="564"/>
      <c r="AO407" s="564"/>
      <c r="AP407" s="564"/>
      <c r="AQ407" s="564"/>
      <c r="AR407" s="564"/>
      <c r="AS407" s="564"/>
      <c r="AT407" s="564"/>
      <c r="AU407" s="564"/>
    </row>
    <row r="408" spans="1:47">
      <c r="A408" s="563"/>
      <c r="B408" s="563"/>
      <c r="C408" s="563"/>
      <c r="D408" s="563"/>
      <c r="E408" s="563"/>
      <c r="F408" s="563"/>
      <c r="G408" s="563"/>
      <c r="H408" s="563"/>
      <c r="I408" s="563"/>
      <c r="J408" s="563"/>
      <c r="K408" s="563"/>
      <c r="L408" s="563"/>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4"/>
      <c r="AL408" s="564"/>
      <c r="AM408" s="564"/>
      <c r="AN408" s="564"/>
      <c r="AO408" s="564"/>
      <c r="AP408" s="564"/>
      <c r="AQ408" s="564"/>
      <c r="AR408" s="564"/>
      <c r="AS408" s="564"/>
      <c r="AT408" s="564"/>
      <c r="AU408" s="564"/>
    </row>
    <row r="409" spans="1:47">
      <c r="A409" s="563"/>
      <c r="B409" s="563"/>
      <c r="C409" s="563"/>
      <c r="D409" s="563"/>
      <c r="E409" s="563"/>
      <c r="F409" s="563"/>
      <c r="G409" s="563"/>
      <c r="H409" s="563"/>
      <c r="I409" s="563"/>
      <c r="J409" s="563"/>
      <c r="K409" s="563"/>
      <c r="L409" s="563"/>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4"/>
      <c r="AL409" s="564"/>
      <c r="AM409" s="564"/>
      <c r="AN409" s="564"/>
      <c r="AO409" s="564"/>
      <c r="AP409" s="564"/>
      <c r="AQ409" s="564"/>
      <c r="AR409" s="564"/>
      <c r="AS409" s="564"/>
      <c r="AT409" s="564"/>
      <c r="AU409" s="564"/>
    </row>
    <row r="410" spans="1:47">
      <c r="A410" s="563"/>
      <c r="B410" s="563"/>
      <c r="C410" s="563"/>
      <c r="D410" s="563"/>
      <c r="E410" s="563"/>
      <c r="F410" s="563"/>
      <c r="G410" s="563"/>
      <c r="H410" s="563"/>
      <c r="I410" s="563"/>
      <c r="J410" s="563"/>
      <c r="K410" s="563"/>
      <c r="L410" s="563"/>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4"/>
      <c r="AL410" s="564"/>
      <c r="AM410" s="564"/>
      <c r="AN410" s="564"/>
      <c r="AO410" s="564"/>
      <c r="AP410" s="564"/>
      <c r="AQ410" s="564"/>
      <c r="AR410" s="564"/>
      <c r="AS410" s="564"/>
      <c r="AT410" s="564"/>
      <c r="AU410" s="564"/>
    </row>
    <row r="411" spans="1:47">
      <c r="A411" s="563"/>
      <c r="B411" s="563"/>
      <c r="C411" s="563"/>
      <c r="D411" s="563"/>
      <c r="E411" s="563"/>
      <c r="F411" s="563"/>
      <c r="G411" s="563"/>
      <c r="H411" s="563"/>
      <c r="I411" s="563"/>
      <c r="J411" s="563"/>
      <c r="K411" s="563"/>
      <c r="L411" s="563"/>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4"/>
      <c r="AL411" s="564"/>
      <c r="AM411" s="564"/>
      <c r="AN411" s="564"/>
      <c r="AO411" s="564"/>
      <c r="AP411" s="564"/>
      <c r="AQ411" s="564"/>
      <c r="AR411" s="564"/>
      <c r="AS411" s="564"/>
      <c r="AT411" s="564"/>
      <c r="AU411" s="564"/>
    </row>
    <row r="412" spans="1:47">
      <c r="A412" s="563"/>
      <c r="B412" s="563"/>
      <c r="C412" s="563"/>
      <c r="D412" s="563"/>
      <c r="E412" s="563"/>
      <c r="F412" s="563"/>
      <c r="G412" s="563"/>
      <c r="H412" s="563"/>
      <c r="I412" s="563"/>
      <c r="J412" s="563"/>
      <c r="K412" s="563"/>
      <c r="L412" s="563"/>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4"/>
      <c r="AL412" s="564"/>
      <c r="AM412" s="564"/>
      <c r="AN412" s="564"/>
      <c r="AO412" s="564"/>
      <c r="AP412" s="564"/>
      <c r="AQ412" s="564"/>
      <c r="AR412" s="564"/>
      <c r="AS412" s="564"/>
      <c r="AT412" s="564"/>
      <c r="AU412" s="564"/>
    </row>
    <row r="413" spans="1:47">
      <c r="A413" s="563"/>
      <c r="B413" s="563"/>
      <c r="C413" s="563"/>
      <c r="D413" s="563"/>
      <c r="E413" s="563"/>
      <c r="F413" s="563"/>
      <c r="G413" s="563"/>
      <c r="H413" s="563"/>
      <c r="I413" s="563"/>
      <c r="J413" s="563"/>
      <c r="K413" s="563"/>
      <c r="L413" s="563"/>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4"/>
      <c r="AL413" s="564"/>
      <c r="AM413" s="564"/>
      <c r="AN413" s="564"/>
      <c r="AO413" s="564"/>
      <c r="AP413" s="564"/>
      <c r="AQ413" s="564"/>
      <c r="AR413" s="564"/>
      <c r="AS413" s="564"/>
      <c r="AT413" s="564"/>
      <c r="AU413" s="564"/>
    </row>
    <row r="414" spans="1:47">
      <c r="A414" s="563"/>
      <c r="B414" s="563"/>
      <c r="C414" s="563"/>
      <c r="D414" s="563"/>
      <c r="E414" s="563"/>
      <c r="F414" s="563"/>
      <c r="G414" s="563"/>
      <c r="H414" s="563"/>
      <c r="I414" s="563"/>
      <c r="J414" s="563"/>
      <c r="K414" s="563"/>
      <c r="L414" s="563"/>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4"/>
      <c r="AL414" s="564"/>
      <c r="AM414" s="564"/>
      <c r="AN414" s="564"/>
      <c r="AO414" s="564"/>
      <c r="AP414" s="564"/>
      <c r="AQ414" s="564"/>
      <c r="AR414" s="564"/>
      <c r="AS414" s="564"/>
      <c r="AT414" s="564"/>
      <c r="AU414" s="564"/>
    </row>
    <row r="415" spans="1:47">
      <c r="A415" s="563"/>
      <c r="B415" s="563"/>
      <c r="C415" s="563"/>
      <c r="D415" s="563"/>
      <c r="E415" s="563"/>
      <c r="F415" s="563"/>
      <c r="G415" s="563"/>
      <c r="H415" s="563"/>
      <c r="I415" s="563"/>
      <c r="J415" s="563"/>
      <c r="K415" s="563"/>
      <c r="L415" s="563"/>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4"/>
      <c r="AL415" s="564"/>
      <c r="AM415" s="564"/>
      <c r="AN415" s="564"/>
      <c r="AO415" s="564"/>
      <c r="AP415" s="564"/>
      <c r="AQ415" s="564"/>
      <c r="AR415" s="564"/>
      <c r="AS415" s="564"/>
      <c r="AT415" s="564"/>
      <c r="AU415" s="564"/>
    </row>
    <row r="416" spans="1:47">
      <c r="A416" s="563"/>
      <c r="B416" s="563"/>
      <c r="C416" s="563"/>
      <c r="D416" s="563"/>
      <c r="E416" s="563"/>
      <c r="F416" s="563"/>
      <c r="G416" s="563"/>
      <c r="H416" s="563"/>
      <c r="I416" s="563"/>
      <c r="J416" s="563"/>
      <c r="K416" s="563"/>
      <c r="L416" s="563"/>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4"/>
      <c r="AL416" s="564"/>
      <c r="AM416" s="564"/>
      <c r="AN416" s="564"/>
      <c r="AO416" s="564"/>
      <c r="AP416" s="564"/>
      <c r="AQ416" s="564"/>
      <c r="AR416" s="564"/>
      <c r="AS416" s="564"/>
      <c r="AT416" s="564"/>
      <c r="AU416" s="564"/>
    </row>
    <row r="417" spans="1:47">
      <c r="A417" s="563"/>
      <c r="B417" s="563"/>
      <c r="C417" s="563"/>
      <c r="D417" s="563"/>
      <c r="E417" s="563"/>
      <c r="F417" s="563"/>
      <c r="G417" s="563"/>
      <c r="H417" s="563"/>
      <c r="I417" s="563"/>
      <c r="J417" s="563"/>
      <c r="K417" s="563"/>
      <c r="L417" s="563"/>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4"/>
      <c r="AL417" s="564"/>
      <c r="AM417" s="564"/>
      <c r="AN417" s="564"/>
      <c r="AO417" s="564"/>
      <c r="AP417" s="564"/>
      <c r="AQ417" s="564"/>
      <c r="AR417" s="564"/>
      <c r="AS417" s="564"/>
      <c r="AT417" s="564"/>
      <c r="AU417" s="564"/>
    </row>
    <row r="418" spans="1:47">
      <c r="A418" s="563"/>
      <c r="B418" s="563"/>
      <c r="C418" s="563"/>
      <c r="D418" s="563"/>
      <c r="E418" s="563"/>
      <c r="F418" s="563"/>
      <c r="G418" s="563"/>
      <c r="H418" s="563"/>
      <c r="I418" s="563"/>
      <c r="J418" s="563"/>
      <c r="K418" s="563"/>
      <c r="L418" s="563"/>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4"/>
      <c r="AL418" s="564"/>
      <c r="AM418" s="564"/>
      <c r="AN418" s="564"/>
      <c r="AO418" s="564"/>
      <c r="AP418" s="564"/>
      <c r="AQ418" s="564"/>
      <c r="AR418" s="564"/>
      <c r="AS418" s="564"/>
      <c r="AT418" s="564"/>
      <c r="AU418" s="564"/>
    </row>
    <row r="419" spans="1:47">
      <c r="A419" s="563"/>
      <c r="B419" s="563"/>
      <c r="C419" s="563"/>
      <c r="D419" s="563"/>
      <c r="E419" s="563"/>
      <c r="F419" s="563"/>
      <c r="G419" s="563"/>
      <c r="H419" s="563"/>
      <c r="I419" s="563"/>
      <c r="J419" s="563"/>
      <c r="K419" s="563"/>
      <c r="L419" s="563"/>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4"/>
      <c r="AL419" s="564"/>
      <c r="AM419" s="564"/>
      <c r="AN419" s="564"/>
      <c r="AO419" s="564"/>
      <c r="AP419" s="564"/>
      <c r="AQ419" s="564"/>
      <c r="AR419" s="564"/>
      <c r="AS419" s="564"/>
      <c r="AT419" s="564"/>
      <c r="AU419" s="564"/>
    </row>
    <row r="420" spans="1:47">
      <c r="A420" s="563"/>
      <c r="B420" s="563"/>
      <c r="C420" s="563"/>
      <c r="D420" s="563"/>
      <c r="E420" s="563"/>
      <c r="F420" s="563"/>
      <c r="G420" s="563"/>
      <c r="H420" s="563"/>
      <c r="I420" s="563"/>
      <c r="J420" s="563"/>
      <c r="K420" s="563"/>
      <c r="L420" s="563"/>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4"/>
      <c r="AL420" s="564"/>
      <c r="AM420" s="564"/>
      <c r="AN420" s="564"/>
      <c r="AO420" s="564"/>
      <c r="AP420" s="564"/>
      <c r="AQ420" s="564"/>
      <c r="AR420" s="564"/>
      <c r="AS420" s="564"/>
      <c r="AT420" s="564"/>
      <c r="AU420" s="564"/>
    </row>
    <row r="421" spans="1:47">
      <c r="A421" s="563"/>
      <c r="B421" s="563"/>
      <c r="C421" s="563"/>
      <c r="D421" s="563"/>
      <c r="E421" s="563"/>
      <c r="F421" s="563"/>
      <c r="G421" s="563"/>
      <c r="H421" s="563"/>
      <c r="I421" s="563"/>
      <c r="J421" s="563"/>
      <c r="K421" s="563"/>
      <c r="L421" s="563"/>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4"/>
      <c r="AL421" s="564"/>
      <c r="AM421" s="564"/>
      <c r="AN421" s="564"/>
      <c r="AO421" s="564"/>
      <c r="AP421" s="564"/>
      <c r="AQ421" s="564"/>
      <c r="AR421" s="564"/>
      <c r="AS421" s="564"/>
      <c r="AT421" s="564"/>
      <c r="AU421" s="564"/>
    </row>
    <row r="422" spans="1:47">
      <c r="A422" s="563"/>
      <c r="B422" s="563"/>
      <c r="C422" s="563"/>
      <c r="D422" s="563"/>
      <c r="E422" s="563"/>
      <c r="F422" s="563"/>
      <c r="G422" s="563"/>
      <c r="H422" s="563"/>
      <c r="I422" s="563"/>
      <c r="J422" s="563"/>
      <c r="K422" s="563"/>
      <c r="L422" s="563"/>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4"/>
      <c r="AL422" s="564"/>
      <c r="AM422" s="564"/>
      <c r="AN422" s="564"/>
      <c r="AO422" s="564"/>
      <c r="AP422" s="564"/>
      <c r="AQ422" s="564"/>
      <c r="AR422" s="564"/>
      <c r="AS422" s="564"/>
      <c r="AT422" s="564"/>
      <c r="AU422" s="564"/>
    </row>
    <row r="423" spans="1:47">
      <c r="A423" s="563"/>
      <c r="B423" s="563"/>
      <c r="C423" s="563"/>
      <c r="D423" s="563"/>
      <c r="E423" s="563"/>
      <c r="F423" s="563"/>
      <c r="G423" s="563"/>
      <c r="H423" s="563"/>
      <c r="I423" s="563"/>
      <c r="J423" s="563"/>
      <c r="K423" s="563"/>
      <c r="L423" s="563"/>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4"/>
      <c r="AL423" s="564"/>
      <c r="AM423" s="564"/>
      <c r="AN423" s="564"/>
      <c r="AO423" s="564"/>
      <c r="AP423" s="564"/>
      <c r="AQ423" s="564"/>
      <c r="AR423" s="564"/>
      <c r="AS423" s="564"/>
      <c r="AT423" s="564"/>
      <c r="AU423" s="564"/>
    </row>
    <row r="424" spans="1:47">
      <c r="A424" s="563"/>
      <c r="B424" s="563"/>
      <c r="C424" s="563"/>
      <c r="D424" s="563"/>
      <c r="E424" s="563"/>
      <c r="F424" s="563"/>
      <c r="G424" s="563"/>
      <c r="H424" s="563"/>
      <c r="I424" s="563"/>
      <c r="J424" s="563"/>
      <c r="K424" s="563"/>
      <c r="L424" s="563"/>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4"/>
      <c r="AL424" s="564"/>
      <c r="AM424" s="564"/>
      <c r="AN424" s="564"/>
      <c r="AO424" s="564"/>
      <c r="AP424" s="564"/>
      <c r="AQ424" s="564"/>
      <c r="AR424" s="564"/>
      <c r="AS424" s="564"/>
      <c r="AT424" s="564"/>
      <c r="AU424" s="564"/>
    </row>
    <row r="425" spans="1:47">
      <c r="A425" s="563"/>
      <c r="B425" s="563"/>
      <c r="C425" s="563"/>
      <c r="D425" s="563"/>
      <c r="E425" s="563"/>
      <c r="F425" s="563"/>
      <c r="G425" s="563"/>
      <c r="H425" s="563"/>
      <c r="I425" s="563"/>
      <c r="J425" s="563"/>
      <c r="K425" s="563"/>
      <c r="L425" s="563"/>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4"/>
      <c r="AL425" s="564"/>
      <c r="AM425" s="564"/>
      <c r="AN425" s="564"/>
      <c r="AO425" s="564"/>
      <c r="AP425" s="564"/>
      <c r="AQ425" s="564"/>
      <c r="AR425" s="564"/>
      <c r="AS425" s="564"/>
      <c r="AT425" s="564"/>
      <c r="AU425" s="564"/>
    </row>
    <row r="426" spans="1:47">
      <c r="A426" s="563"/>
      <c r="B426" s="563"/>
      <c r="C426" s="563"/>
      <c r="D426" s="563"/>
      <c r="E426" s="563"/>
      <c r="F426" s="563"/>
      <c r="G426" s="563"/>
      <c r="H426" s="563"/>
      <c r="I426" s="563"/>
      <c r="J426" s="563"/>
      <c r="K426" s="563"/>
      <c r="L426" s="563"/>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4"/>
      <c r="AL426" s="564"/>
      <c r="AM426" s="564"/>
      <c r="AN426" s="564"/>
      <c r="AO426" s="564"/>
      <c r="AP426" s="564"/>
      <c r="AQ426" s="564"/>
      <c r="AR426" s="564"/>
      <c r="AS426" s="564"/>
      <c r="AT426" s="564"/>
      <c r="AU426" s="564"/>
    </row>
    <row r="427" spans="1:47">
      <c r="A427" s="563"/>
      <c r="B427" s="563"/>
      <c r="C427" s="563"/>
      <c r="D427" s="563"/>
      <c r="E427" s="563"/>
      <c r="F427" s="563"/>
      <c r="G427" s="563"/>
      <c r="H427" s="563"/>
      <c r="I427" s="563"/>
      <c r="J427" s="563"/>
      <c r="K427" s="563"/>
      <c r="L427" s="563"/>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4"/>
      <c r="AL427" s="564"/>
      <c r="AM427" s="564"/>
      <c r="AN427" s="564"/>
      <c r="AO427" s="564"/>
      <c r="AP427" s="564"/>
      <c r="AQ427" s="564"/>
      <c r="AR427" s="564"/>
      <c r="AS427" s="564"/>
      <c r="AT427" s="564"/>
      <c r="AU427" s="564"/>
    </row>
    <row r="428" spans="1:47">
      <c r="A428" s="563"/>
      <c r="B428" s="563"/>
      <c r="C428" s="563"/>
      <c r="D428" s="563"/>
      <c r="E428" s="563"/>
      <c r="F428" s="563"/>
      <c r="G428" s="563"/>
      <c r="H428" s="563"/>
      <c r="I428" s="563"/>
      <c r="J428" s="563"/>
      <c r="K428" s="563"/>
      <c r="L428" s="563"/>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4"/>
      <c r="AL428" s="564"/>
      <c r="AM428" s="564"/>
      <c r="AN428" s="564"/>
      <c r="AO428" s="564"/>
      <c r="AP428" s="564"/>
      <c r="AQ428" s="564"/>
      <c r="AR428" s="564"/>
      <c r="AS428" s="564"/>
      <c r="AT428" s="564"/>
      <c r="AU428" s="564"/>
    </row>
    <row r="429" spans="1:47">
      <c r="A429" s="563"/>
      <c r="B429" s="563"/>
      <c r="C429" s="563"/>
      <c r="D429" s="563"/>
      <c r="E429" s="563"/>
      <c r="F429" s="563"/>
      <c r="G429" s="563"/>
      <c r="H429" s="563"/>
      <c r="I429" s="563"/>
      <c r="J429" s="563"/>
      <c r="K429" s="563"/>
      <c r="L429" s="563"/>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4"/>
      <c r="AL429" s="564"/>
      <c r="AM429" s="564"/>
      <c r="AN429" s="564"/>
      <c r="AO429" s="564"/>
      <c r="AP429" s="564"/>
      <c r="AQ429" s="564"/>
      <c r="AR429" s="564"/>
      <c r="AS429" s="564"/>
      <c r="AT429" s="564"/>
      <c r="AU429" s="564"/>
    </row>
    <row r="430" spans="1:47">
      <c r="A430" s="563"/>
      <c r="B430" s="563"/>
      <c r="C430" s="563"/>
      <c r="D430" s="563"/>
      <c r="E430" s="563"/>
      <c r="F430" s="563"/>
      <c r="G430" s="563"/>
      <c r="H430" s="563"/>
      <c r="I430" s="563"/>
      <c r="J430" s="563"/>
      <c r="K430" s="563"/>
      <c r="L430" s="563"/>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4"/>
      <c r="AL430" s="564"/>
      <c r="AM430" s="564"/>
      <c r="AN430" s="564"/>
      <c r="AO430" s="564"/>
      <c r="AP430" s="564"/>
      <c r="AQ430" s="564"/>
      <c r="AR430" s="564"/>
      <c r="AS430" s="564"/>
      <c r="AT430" s="564"/>
      <c r="AU430" s="564"/>
    </row>
    <row r="431" spans="1:47">
      <c r="A431" s="563"/>
      <c r="B431" s="563"/>
      <c r="C431" s="563"/>
      <c r="D431" s="563"/>
      <c r="E431" s="563"/>
      <c r="F431" s="563"/>
      <c r="G431" s="563"/>
      <c r="H431" s="563"/>
      <c r="I431" s="563"/>
      <c r="J431" s="563"/>
      <c r="K431" s="563"/>
      <c r="L431" s="563"/>
      <c r="M431" s="564"/>
      <c r="N431" s="564"/>
      <c r="O431" s="564"/>
      <c r="P431" s="564"/>
      <c r="Q431" s="564"/>
      <c r="R431" s="564"/>
      <c r="S431" s="564"/>
      <c r="T431" s="564"/>
      <c r="U431" s="564"/>
      <c r="V431" s="564"/>
      <c r="W431" s="564"/>
      <c r="X431" s="564"/>
      <c r="Y431" s="564"/>
      <c r="Z431" s="564"/>
      <c r="AA431" s="564"/>
      <c r="AB431" s="564"/>
      <c r="AC431" s="564"/>
      <c r="AD431" s="564"/>
      <c r="AE431" s="564"/>
      <c r="AF431" s="564"/>
      <c r="AG431" s="564"/>
      <c r="AH431" s="564"/>
      <c r="AI431" s="564"/>
      <c r="AJ431" s="564"/>
      <c r="AK431" s="564"/>
      <c r="AL431" s="564"/>
      <c r="AM431" s="564"/>
      <c r="AN431" s="564"/>
      <c r="AO431" s="564"/>
      <c r="AP431" s="564"/>
      <c r="AQ431" s="564"/>
      <c r="AR431" s="564"/>
      <c r="AS431" s="564"/>
      <c r="AT431" s="564"/>
      <c r="AU431" s="564"/>
    </row>
    <row r="432" spans="1:47">
      <c r="A432" s="563"/>
      <c r="B432" s="563"/>
      <c r="C432" s="563"/>
      <c r="D432" s="563"/>
      <c r="E432" s="563"/>
      <c r="F432" s="563"/>
      <c r="G432" s="563"/>
      <c r="H432" s="563"/>
      <c r="I432" s="563"/>
      <c r="J432" s="563"/>
      <c r="K432" s="563"/>
      <c r="L432" s="563"/>
      <c r="M432" s="564"/>
      <c r="N432" s="564"/>
      <c r="O432" s="564"/>
      <c r="P432" s="564"/>
      <c r="Q432" s="564"/>
      <c r="R432" s="564"/>
      <c r="S432" s="564"/>
      <c r="T432" s="564"/>
      <c r="U432" s="564"/>
      <c r="V432" s="564"/>
      <c r="W432" s="564"/>
      <c r="X432" s="564"/>
      <c r="Y432" s="564"/>
      <c r="Z432" s="564"/>
      <c r="AA432" s="564"/>
      <c r="AB432" s="564"/>
      <c r="AC432" s="564"/>
      <c r="AD432" s="564"/>
      <c r="AE432" s="564"/>
      <c r="AF432" s="564"/>
      <c r="AG432" s="564"/>
      <c r="AH432" s="564"/>
      <c r="AI432" s="564"/>
      <c r="AJ432" s="564"/>
      <c r="AK432" s="564"/>
      <c r="AL432" s="564"/>
      <c r="AM432" s="564"/>
      <c r="AN432" s="564"/>
      <c r="AO432" s="564"/>
      <c r="AP432" s="564"/>
      <c r="AQ432" s="564"/>
      <c r="AR432" s="564"/>
      <c r="AS432" s="564"/>
      <c r="AT432" s="564"/>
      <c r="AU432" s="564"/>
    </row>
    <row r="433" spans="1:47">
      <c r="A433" s="563"/>
      <c r="B433" s="563"/>
      <c r="C433" s="563"/>
      <c r="D433" s="563"/>
      <c r="E433" s="563"/>
      <c r="F433" s="563"/>
      <c r="G433" s="563"/>
      <c r="H433" s="563"/>
      <c r="I433" s="563"/>
      <c r="J433" s="563"/>
      <c r="K433" s="563"/>
      <c r="L433" s="563"/>
      <c r="M433" s="564"/>
      <c r="N433" s="564"/>
      <c r="O433" s="564"/>
      <c r="P433" s="564"/>
      <c r="Q433" s="564"/>
      <c r="R433" s="564"/>
      <c r="S433" s="564"/>
      <c r="T433" s="564"/>
      <c r="U433" s="564"/>
      <c r="V433" s="564"/>
      <c r="W433" s="564"/>
      <c r="X433" s="564"/>
      <c r="Y433" s="564"/>
      <c r="Z433" s="564"/>
      <c r="AA433" s="564"/>
      <c r="AB433" s="564"/>
      <c r="AC433" s="564"/>
      <c r="AD433" s="564"/>
      <c r="AE433" s="564"/>
      <c r="AF433" s="564"/>
      <c r="AG433" s="564"/>
      <c r="AH433" s="564"/>
      <c r="AI433" s="564"/>
      <c r="AJ433" s="564"/>
      <c r="AK433" s="564"/>
      <c r="AL433" s="564"/>
      <c r="AM433" s="564"/>
      <c r="AN433" s="564"/>
      <c r="AO433" s="564"/>
      <c r="AP433" s="564"/>
      <c r="AQ433" s="564"/>
      <c r="AR433" s="564"/>
      <c r="AS433" s="564"/>
      <c r="AT433" s="564"/>
      <c r="AU433" s="564"/>
    </row>
    <row r="434" spans="1:47">
      <c r="A434" s="563"/>
      <c r="B434" s="563"/>
      <c r="C434" s="563"/>
      <c r="D434" s="563"/>
      <c r="E434" s="563"/>
      <c r="F434" s="563"/>
      <c r="G434" s="563"/>
      <c r="H434" s="563"/>
      <c r="I434" s="563"/>
      <c r="J434" s="563"/>
      <c r="K434" s="563"/>
      <c r="L434" s="563"/>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4"/>
      <c r="AL434" s="564"/>
      <c r="AM434" s="564"/>
      <c r="AN434" s="564"/>
      <c r="AO434" s="564"/>
      <c r="AP434" s="564"/>
      <c r="AQ434" s="564"/>
      <c r="AR434" s="564"/>
      <c r="AS434" s="564"/>
      <c r="AT434" s="564"/>
      <c r="AU434" s="564"/>
    </row>
    <row r="435" spans="1:47">
      <c r="A435" s="563"/>
      <c r="B435" s="563"/>
      <c r="C435" s="563"/>
      <c r="D435" s="563"/>
      <c r="E435" s="563"/>
      <c r="F435" s="563"/>
      <c r="G435" s="563"/>
      <c r="H435" s="563"/>
      <c r="I435" s="563"/>
      <c r="J435" s="563"/>
      <c r="K435" s="563"/>
      <c r="L435" s="563"/>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4"/>
      <c r="AL435" s="564"/>
      <c r="AM435" s="564"/>
      <c r="AN435" s="564"/>
      <c r="AO435" s="564"/>
      <c r="AP435" s="564"/>
      <c r="AQ435" s="564"/>
      <c r="AR435" s="564"/>
      <c r="AS435" s="564"/>
      <c r="AT435" s="564"/>
      <c r="AU435" s="564"/>
    </row>
    <row r="436" spans="1:47">
      <c r="A436" s="563"/>
      <c r="B436" s="563"/>
      <c r="C436" s="563"/>
      <c r="D436" s="563"/>
      <c r="E436" s="563"/>
      <c r="F436" s="563"/>
      <c r="G436" s="563"/>
      <c r="H436" s="563"/>
      <c r="I436" s="563"/>
      <c r="J436" s="563"/>
      <c r="K436" s="563"/>
      <c r="L436" s="563"/>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4"/>
      <c r="AL436" s="564"/>
      <c r="AM436" s="564"/>
      <c r="AN436" s="564"/>
      <c r="AO436" s="564"/>
      <c r="AP436" s="564"/>
      <c r="AQ436" s="564"/>
      <c r="AR436" s="564"/>
      <c r="AS436" s="564"/>
      <c r="AT436" s="564"/>
      <c r="AU436" s="564"/>
    </row>
    <row r="437" spans="1:47">
      <c r="A437" s="563"/>
      <c r="B437" s="563"/>
      <c r="C437" s="563"/>
      <c r="D437" s="563"/>
      <c r="E437" s="563"/>
      <c r="F437" s="563"/>
      <c r="G437" s="563"/>
      <c r="H437" s="563"/>
      <c r="I437" s="563"/>
      <c r="J437" s="563"/>
      <c r="K437" s="563"/>
      <c r="L437" s="563"/>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4"/>
      <c r="AL437" s="564"/>
      <c r="AM437" s="564"/>
      <c r="AN437" s="564"/>
      <c r="AO437" s="564"/>
      <c r="AP437" s="564"/>
      <c r="AQ437" s="564"/>
      <c r="AR437" s="564"/>
      <c r="AS437" s="564"/>
      <c r="AT437" s="564"/>
      <c r="AU437" s="564"/>
    </row>
    <row r="438" spans="1:47">
      <c r="A438" s="563"/>
      <c r="B438" s="563"/>
      <c r="C438" s="563"/>
      <c r="D438" s="563"/>
      <c r="E438" s="563"/>
      <c r="F438" s="563"/>
      <c r="G438" s="563"/>
      <c r="H438" s="563"/>
      <c r="I438" s="563"/>
      <c r="J438" s="563"/>
      <c r="K438" s="563"/>
      <c r="L438" s="563"/>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4"/>
      <c r="AL438" s="564"/>
      <c r="AM438" s="564"/>
      <c r="AN438" s="564"/>
      <c r="AO438" s="564"/>
      <c r="AP438" s="564"/>
      <c r="AQ438" s="564"/>
      <c r="AR438" s="564"/>
      <c r="AS438" s="564"/>
      <c r="AT438" s="564"/>
      <c r="AU438" s="564"/>
    </row>
    <row r="439" spans="1:47">
      <c r="A439" s="563"/>
      <c r="B439" s="563"/>
      <c r="C439" s="563"/>
      <c r="D439" s="563"/>
      <c r="E439" s="563"/>
      <c r="F439" s="563"/>
      <c r="G439" s="563"/>
      <c r="H439" s="563"/>
      <c r="I439" s="563"/>
      <c r="J439" s="563"/>
      <c r="K439" s="563"/>
      <c r="L439" s="563"/>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4"/>
      <c r="AL439" s="564"/>
      <c r="AM439" s="564"/>
      <c r="AN439" s="564"/>
      <c r="AO439" s="564"/>
      <c r="AP439" s="564"/>
      <c r="AQ439" s="564"/>
      <c r="AR439" s="564"/>
      <c r="AS439" s="564"/>
      <c r="AT439" s="564"/>
      <c r="AU439" s="564"/>
    </row>
    <row r="440" spans="1:47">
      <c r="A440" s="563"/>
      <c r="B440" s="563"/>
      <c r="C440" s="563"/>
      <c r="D440" s="563"/>
      <c r="E440" s="563"/>
      <c r="F440" s="563"/>
      <c r="G440" s="563"/>
      <c r="H440" s="563"/>
      <c r="I440" s="563"/>
      <c r="J440" s="563"/>
      <c r="K440" s="563"/>
      <c r="L440" s="563"/>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4"/>
      <c r="AL440" s="564"/>
      <c r="AM440" s="564"/>
      <c r="AN440" s="564"/>
      <c r="AO440" s="564"/>
      <c r="AP440" s="564"/>
      <c r="AQ440" s="564"/>
      <c r="AR440" s="564"/>
      <c r="AS440" s="564"/>
      <c r="AT440" s="564"/>
      <c r="AU440" s="564"/>
    </row>
    <row r="441" spans="1:47">
      <c r="A441" s="563"/>
      <c r="B441" s="563"/>
      <c r="C441" s="563"/>
      <c r="D441" s="563"/>
      <c r="E441" s="563"/>
      <c r="F441" s="563"/>
      <c r="G441" s="563"/>
      <c r="H441" s="563"/>
      <c r="I441" s="563"/>
      <c r="J441" s="563"/>
      <c r="K441" s="563"/>
      <c r="L441" s="563"/>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4"/>
      <c r="AL441" s="564"/>
      <c r="AM441" s="564"/>
      <c r="AN441" s="564"/>
      <c r="AO441" s="564"/>
      <c r="AP441" s="564"/>
      <c r="AQ441" s="564"/>
      <c r="AR441" s="564"/>
      <c r="AS441" s="564"/>
      <c r="AT441" s="564"/>
      <c r="AU441" s="564"/>
    </row>
    <row r="442" spans="1:47">
      <c r="A442" s="563"/>
      <c r="B442" s="563"/>
      <c r="C442" s="563"/>
      <c r="D442" s="563"/>
      <c r="E442" s="563"/>
      <c r="F442" s="563"/>
      <c r="G442" s="563"/>
      <c r="H442" s="563"/>
      <c r="I442" s="563"/>
      <c r="J442" s="563"/>
      <c r="K442" s="563"/>
      <c r="L442" s="563"/>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4"/>
      <c r="AL442" s="564"/>
      <c r="AM442" s="564"/>
      <c r="AN442" s="564"/>
      <c r="AO442" s="564"/>
      <c r="AP442" s="564"/>
      <c r="AQ442" s="564"/>
      <c r="AR442" s="564"/>
      <c r="AS442" s="564"/>
      <c r="AT442" s="564"/>
      <c r="AU442" s="564"/>
    </row>
    <row r="443" spans="1:47">
      <c r="A443" s="563"/>
      <c r="B443" s="563"/>
      <c r="C443" s="563"/>
      <c r="D443" s="563"/>
      <c r="E443" s="563"/>
      <c r="F443" s="563"/>
      <c r="G443" s="563"/>
      <c r="H443" s="563"/>
      <c r="I443" s="563"/>
      <c r="J443" s="563"/>
      <c r="K443" s="563"/>
      <c r="L443" s="563"/>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4"/>
      <c r="AL443" s="564"/>
      <c r="AM443" s="564"/>
      <c r="AN443" s="564"/>
      <c r="AO443" s="564"/>
      <c r="AP443" s="564"/>
      <c r="AQ443" s="564"/>
      <c r="AR443" s="564"/>
      <c r="AS443" s="564"/>
      <c r="AT443" s="564"/>
      <c r="AU443" s="564"/>
    </row>
    <row r="444" spans="1:47">
      <c r="A444" s="563"/>
      <c r="B444" s="563"/>
      <c r="C444" s="563"/>
      <c r="D444" s="563"/>
      <c r="E444" s="563"/>
      <c r="F444" s="563"/>
      <c r="G444" s="563"/>
      <c r="H444" s="563"/>
      <c r="I444" s="563"/>
      <c r="J444" s="563"/>
      <c r="K444" s="563"/>
      <c r="L444" s="563"/>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4"/>
      <c r="AL444" s="564"/>
      <c r="AM444" s="564"/>
      <c r="AN444" s="564"/>
      <c r="AO444" s="564"/>
      <c r="AP444" s="564"/>
      <c r="AQ444" s="564"/>
      <c r="AR444" s="564"/>
      <c r="AS444" s="564"/>
      <c r="AT444" s="564"/>
      <c r="AU444" s="564"/>
    </row>
    <row r="445" spans="1:47">
      <c r="A445" s="563"/>
      <c r="B445" s="563"/>
      <c r="C445" s="563"/>
      <c r="D445" s="563"/>
      <c r="E445" s="563"/>
      <c r="F445" s="563"/>
      <c r="G445" s="563"/>
      <c r="H445" s="563"/>
      <c r="I445" s="563"/>
      <c r="J445" s="563"/>
      <c r="K445" s="563"/>
      <c r="L445" s="563"/>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4"/>
      <c r="AL445" s="564"/>
      <c r="AM445" s="564"/>
      <c r="AN445" s="564"/>
      <c r="AO445" s="564"/>
      <c r="AP445" s="564"/>
      <c r="AQ445" s="564"/>
      <c r="AR445" s="564"/>
      <c r="AS445" s="564"/>
      <c r="AT445" s="564"/>
      <c r="AU445" s="564"/>
    </row>
    <row r="446" spans="1:47">
      <c r="A446" s="563"/>
      <c r="B446" s="563"/>
      <c r="C446" s="563"/>
      <c r="D446" s="563"/>
      <c r="E446" s="563"/>
      <c r="F446" s="563"/>
      <c r="G446" s="563"/>
      <c r="H446" s="563"/>
      <c r="I446" s="563"/>
      <c r="J446" s="563"/>
      <c r="K446" s="563"/>
      <c r="L446" s="563"/>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4"/>
      <c r="AL446" s="564"/>
      <c r="AM446" s="564"/>
      <c r="AN446" s="564"/>
      <c r="AO446" s="564"/>
      <c r="AP446" s="564"/>
      <c r="AQ446" s="564"/>
      <c r="AR446" s="564"/>
      <c r="AS446" s="564"/>
      <c r="AT446" s="564"/>
      <c r="AU446" s="564"/>
    </row>
  </sheetData>
  <sheetProtection formatCells="0" formatColumns="0" formatRows="0" insertColumns="0" insertRows="0" insertHyperlinks="0" deleteColumns="0" deleteRows="0" pivotTables="0"/>
  <mergeCells count="6">
    <mergeCell ref="B2:H2"/>
    <mergeCell ref="C6:D6"/>
    <mergeCell ref="E6:H6"/>
    <mergeCell ref="C7:D7"/>
    <mergeCell ref="E7:F7"/>
    <mergeCell ref="G7:H7"/>
  </mergeCells>
  <phoneticPr fontId="24"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sheetPr>
    <tabColor theme="3" tint="-0.249977111117893"/>
  </sheetPr>
  <dimension ref="A3:Q35"/>
  <sheetViews>
    <sheetView workbookViewId="0">
      <selection activeCell="I30" sqref="I30"/>
    </sheetView>
  </sheetViews>
  <sheetFormatPr defaultColWidth="9.140625" defaultRowHeight="15"/>
  <cols>
    <col min="1" max="1" width="39.5703125" style="1109" customWidth="1"/>
    <col min="2" max="16384" width="9.140625" style="1109"/>
  </cols>
  <sheetData>
    <row r="3" spans="1:17">
      <c r="A3" s="1109" t="s">
        <v>1069</v>
      </c>
      <c r="B3" s="1109">
        <v>2005</v>
      </c>
      <c r="C3" s="1109">
        <f>B3+1</f>
        <v>2006</v>
      </c>
      <c r="D3" s="1109">
        <f t="shared" ref="D3:P3" si="0">C3+1</f>
        <v>2007</v>
      </c>
      <c r="E3" s="1109">
        <f t="shared" si="0"/>
        <v>2008</v>
      </c>
      <c r="F3" s="1109">
        <f t="shared" si="0"/>
        <v>2009</v>
      </c>
      <c r="G3" s="1109">
        <f t="shared" si="0"/>
        <v>2010</v>
      </c>
      <c r="H3" s="1109">
        <f t="shared" si="0"/>
        <v>2011</v>
      </c>
      <c r="I3" s="1109">
        <f t="shared" si="0"/>
        <v>2012</v>
      </c>
      <c r="J3" s="1109">
        <f t="shared" si="0"/>
        <v>2013</v>
      </c>
      <c r="K3" s="1109">
        <f t="shared" si="0"/>
        <v>2014</v>
      </c>
      <c r="L3" s="1109">
        <f t="shared" si="0"/>
        <v>2015</v>
      </c>
      <c r="M3" s="1109">
        <f t="shared" si="0"/>
        <v>2016</v>
      </c>
      <c r="N3" s="1109">
        <f t="shared" si="0"/>
        <v>2017</v>
      </c>
      <c r="O3" s="1109">
        <f t="shared" si="0"/>
        <v>2018</v>
      </c>
      <c r="P3" s="1109">
        <f t="shared" si="0"/>
        <v>2019</v>
      </c>
      <c r="Q3" s="1109">
        <f>P3+1</f>
        <v>2020</v>
      </c>
    </row>
    <row r="5" spans="1:17">
      <c r="A5" s="1109" t="s">
        <v>1070</v>
      </c>
      <c r="B5" s="1109">
        <f>'Budget modified'!C162-'Budget modified'!C159-'Budget modified'!C157</f>
        <v>30.493808619263085</v>
      </c>
      <c r="C5" s="1109">
        <f>'Budget modified'!D162-'Budget modified'!D159-'Budget modified'!D157</f>
        <v>28.89008637280411</v>
      </c>
      <c r="D5" s="1109">
        <f>'Budget modified'!E162-'Budget modified'!E159-'Budget modified'!E157</f>
        <v>31.208042725888241</v>
      </c>
      <c r="E5" s="1109">
        <f>'Budget modified'!F162-'Budget modified'!F159-'Budget modified'!F157</f>
        <v>30.186889526059268</v>
      </c>
      <c r="F5" s="1109">
        <f>'Budget modified'!G162-'Budget modified'!G159-'Budget modified'!G157</f>
        <v>35.66556453582362</v>
      </c>
      <c r="G5" s="1109">
        <f>'Budget modified'!H162-'Budget modified'!H159-'Budget modified'!H157</f>
        <v>34.58212412696848</v>
      </c>
      <c r="H5" s="1109">
        <f>'Budget modified'!I162-'Budget modified'!I159-'Budget modified'!I157</f>
        <v>31.722529805015498</v>
      </c>
      <c r="I5" s="1109">
        <f>'Budget modified'!J162-'Budget modified'!J159-'Budget modified'!J157</f>
        <v>31.854398154306473</v>
      </c>
      <c r="J5" s="1109">
        <f>'Budget modified'!K162-'Budget modified'!K159-'Budget modified'!K157</f>
        <v>31.692236193936623</v>
      </c>
      <c r="K5" s="1109">
        <f>'Budget modified'!L162-'Budget modified'!L159-'Budget modified'!L157</f>
        <v>31.601352510008525</v>
      </c>
      <c r="L5" s="1109">
        <f>'Budget modified'!M162-'Budget modified'!M159-'Budget modified'!M157</f>
        <v>31.502884990872815</v>
      </c>
      <c r="M5" s="1109">
        <f>'Budget modified'!N162-'Budget modified'!N159-'Budget modified'!N157</f>
        <v>31.353728821544443</v>
      </c>
      <c r="N5" s="1109">
        <f>'Budget modified'!O162-'Budget modified'!O159-'Budget modified'!O157</f>
        <v>31.275591737179926</v>
      </c>
      <c r="O5" s="1109">
        <f>'Budget modified'!P162-'Budget modified'!P159-'Budget modified'!P157</f>
        <v>31.12254333736508</v>
      </c>
      <c r="P5" s="1109">
        <f>'Budget modified'!Q162-'Budget modified'!Q159-'Budget modified'!Q157</f>
        <v>30.976900079778947</v>
      </c>
      <c r="Q5" s="1109">
        <f>'Budget modified'!R162-'Budget modified'!R159-'Budget modified'!R157</f>
        <v>30.833736269900601</v>
      </c>
    </row>
    <row r="6" spans="1:17">
      <c r="A6" s="1109" t="s">
        <v>1071</v>
      </c>
      <c r="B6" s="1109">
        <f>'Budget modified'!C117</f>
        <v>27.202804216129017</v>
      </c>
      <c r="C6" s="1109">
        <f>'Budget modified'!D117</f>
        <v>28.685419264779085</v>
      </c>
      <c r="D6" s="1109">
        <f>'Budget modified'!E117</f>
        <v>28.670647506433184</v>
      </c>
      <c r="E6" s="1109">
        <f>'Budget modified'!F117</f>
        <v>28.991514021863413</v>
      </c>
      <c r="F6" s="1109">
        <f>'Budget modified'!G117</f>
        <v>26.672933792976195</v>
      </c>
      <c r="G6" s="1109">
        <f>'Budget modified'!H117</f>
        <v>28.168148345810973</v>
      </c>
      <c r="H6" s="1109">
        <f>'Budget modified'!I117</f>
        <v>27.785370193542821</v>
      </c>
      <c r="I6" s="1109">
        <f>'Budget modified'!J117</f>
        <v>28.097375064699346</v>
      </c>
      <c r="J6" s="1109">
        <f>'Budget modified'!K117</f>
        <v>28.127721801650981</v>
      </c>
      <c r="K6" s="1109">
        <f>'Budget modified'!L117</f>
        <v>28.25170695547374</v>
      </c>
      <c r="L6" s="1109">
        <f>'Budget modified'!M117</f>
        <v>28.464789194191745</v>
      </c>
      <c r="M6" s="1109">
        <f>'Budget modified'!N117</f>
        <v>28.414913649480791</v>
      </c>
      <c r="N6" s="1109">
        <f>'Budget modified'!O117</f>
        <v>28.246161487448997</v>
      </c>
      <c r="O6" s="1109">
        <f>'Budget modified'!P117</f>
        <v>28.132346678303101</v>
      </c>
      <c r="P6" s="1109">
        <f>'Budget modified'!Q117</f>
        <v>27.997962335889035</v>
      </c>
      <c r="Q6" s="1109">
        <f>'Budget modified'!R117</f>
        <v>27.857958701276576</v>
      </c>
    </row>
    <row r="7" spans="1:17">
      <c r="A7" s="1109" t="s">
        <v>1075</v>
      </c>
      <c r="B7" s="1109">
        <f>B6-B5</f>
        <v>-3.2910044031340675</v>
      </c>
      <c r="C7" s="1109">
        <f t="shared" ref="C7:Q7" si="1">C6-C5</f>
        <v>-0.20466710802502419</v>
      </c>
      <c r="D7" s="1109">
        <f t="shared" si="1"/>
        <v>-2.5373952194550569</v>
      </c>
      <c r="E7" s="1109">
        <f t="shared" si="1"/>
        <v>-1.1953755041958551</v>
      </c>
      <c r="F7" s="1109">
        <f t="shared" si="1"/>
        <v>-8.9926307428474246</v>
      </c>
      <c r="G7" s="1109">
        <f t="shared" si="1"/>
        <v>-6.4139757811575073</v>
      </c>
      <c r="H7" s="1109">
        <f t="shared" si="1"/>
        <v>-3.9371596114726763</v>
      </c>
      <c r="I7" s="1109">
        <f t="shared" si="1"/>
        <v>-3.7570230896071273</v>
      </c>
      <c r="J7" s="1109">
        <f t="shared" si="1"/>
        <v>-3.5645143922856413</v>
      </c>
      <c r="K7" s="1109">
        <f t="shared" si="1"/>
        <v>-3.349645554534785</v>
      </c>
      <c r="L7" s="1109">
        <f t="shared" si="1"/>
        <v>-3.0380957966810698</v>
      </c>
      <c r="M7" s="1109">
        <f t="shared" si="1"/>
        <v>-2.9388151720636522</v>
      </c>
      <c r="N7" s="1109">
        <f t="shared" si="1"/>
        <v>-3.0294302497309289</v>
      </c>
      <c r="O7" s="1109">
        <f t="shared" si="1"/>
        <v>-2.9901966590619793</v>
      </c>
      <c r="P7" s="1109">
        <f t="shared" si="1"/>
        <v>-2.9789377438899116</v>
      </c>
      <c r="Q7" s="1109">
        <f t="shared" si="1"/>
        <v>-2.9757775686240251</v>
      </c>
    </row>
    <row r="8" spans="1:17">
      <c r="A8" s="1109" t="s">
        <v>1072</v>
      </c>
      <c r="B8" s="1109">
        <f>'Budget modified'!C159+'Budget modified'!C157</f>
        <v>0</v>
      </c>
      <c r="C8" s="1109">
        <f>'Budget modified'!D159+'Budget modified'!D157</f>
        <v>0</v>
      </c>
      <c r="D8" s="1109">
        <f>'Budget modified'!E159+'Budget modified'!E157</f>
        <v>0</v>
      </c>
      <c r="E8" s="1109">
        <f>'Budget modified'!F159+'Budget modified'!F157</f>
        <v>0</v>
      </c>
      <c r="F8" s="1109">
        <f>'Budget modified'!G159+'Budget modified'!G157</f>
        <v>0</v>
      </c>
      <c r="G8" s="1109">
        <f>'Budget modified'!H159+'Budget modified'!H157</f>
        <v>0</v>
      </c>
      <c r="H8" s="1109">
        <f>'Budget modified'!I159+'Budget modified'!I157</f>
        <v>0.73698788112152758</v>
      </c>
      <c r="I8" s="1109">
        <f>'Budget modified'!J159+'Budget modified'!J157</f>
        <v>1.5080225678807597</v>
      </c>
      <c r="J8" s="1109">
        <f>'Budget modified'!K159+'Budget modified'!K157</f>
        <v>1.7680745877234318</v>
      </c>
      <c r="K8" s="1109">
        <f>'Budget modified'!L159+'Budget modified'!L157</f>
        <v>2.0149094331526038</v>
      </c>
      <c r="L8" s="1109">
        <f>'Budget modified'!M159+'Budget modified'!M157</f>
        <v>2.1671290856597056</v>
      </c>
      <c r="M8" s="1109">
        <f>'Budget modified'!N159+'Budget modified'!N157</f>
        <v>2.3255734536918147</v>
      </c>
      <c r="N8" s="1109">
        <f>'Budget modified'!O159+'Budget modified'!O157</f>
        <v>2.3137184871146932</v>
      </c>
      <c r="O8" s="1109">
        <f>'Budget modified'!P159+'Budget modified'!P157</f>
        <v>2.2966150864939805</v>
      </c>
      <c r="P8" s="1109">
        <f>'Budget modified'!Q159+'Budget modified'!Q157</f>
        <v>2.311969695077186</v>
      </c>
      <c r="Q8" s="1109">
        <f>'Budget modified'!R159+'Budget modified'!R157</f>
        <v>2.3024331848347583</v>
      </c>
    </row>
    <row r="9" spans="1:17" ht="15.75" customHeight="1">
      <c r="A9" s="1109" t="s">
        <v>1073</v>
      </c>
      <c r="B9" s="1109">
        <v>0</v>
      </c>
      <c r="C9" s="1109">
        <v>0</v>
      </c>
      <c r="D9" s="1109">
        <v>0</v>
      </c>
      <c r="E9" s="1109">
        <v>0</v>
      </c>
      <c r="F9" s="1109">
        <v>0</v>
      </c>
      <c r="G9" s="1109">
        <v>0</v>
      </c>
      <c r="H9" s="1109">
        <f>H10+H11</f>
        <v>0.91307992412022676</v>
      </c>
      <c r="I9" s="1109">
        <f t="shared" ref="I9:Q9" si="2">I10+I11</f>
        <v>1.0612927873185392</v>
      </c>
      <c r="J9" s="1109">
        <f t="shared" si="2"/>
        <v>1.2137850294500891</v>
      </c>
      <c r="K9" s="1109">
        <f t="shared" si="2"/>
        <v>1.3670071061583644</v>
      </c>
      <c r="L9" s="1109">
        <f t="shared" si="2"/>
        <v>1.5206416411854831</v>
      </c>
      <c r="M9" s="1109">
        <f t="shared" si="2"/>
        <v>1.653788506227069</v>
      </c>
      <c r="N9" s="1109">
        <f t="shared" si="2"/>
        <v>1.7869511055938627</v>
      </c>
      <c r="O9" s="1109">
        <f t="shared" si="2"/>
        <v>1.9296647550483748</v>
      </c>
      <c r="P9" s="1109">
        <f t="shared" si="2"/>
        <v>2.0726326774919763</v>
      </c>
      <c r="Q9" s="1109">
        <f t="shared" si="2"/>
        <v>2.21585995838445</v>
      </c>
    </row>
    <row r="10" spans="1:17" ht="15.75" customHeight="1">
      <c r="A10" s="1109" t="s">
        <v>1074</v>
      </c>
      <c r="H10" s="1109">
        <f>0.1*'Budget modified'!I106</f>
        <v>0.78307992412022676</v>
      </c>
      <c r="I10" s="1109">
        <f>0.1*'Budget modified'!J106</f>
        <v>0.80129278731853926</v>
      </c>
      <c r="J10" s="1109">
        <f>0.1*'Budget modified'!K106</f>
        <v>0.82378502945008902</v>
      </c>
      <c r="K10" s="1109">
        <f>0.1*'Budget modified'!L106</f>
        <v>0.84700710615836439</v>
      </c>
      <c r="L10" s="1109">
        <f>0.1*'Budget modified'!M106</f>
        <v>0.87064164118548304</v>
      </c>
      <c r="M10" s="1109">
        <f>0.1*'Budget modified'!N106</f>
        <v>0.87378850622706894</v>
      </c>
      <c r="N10" s="1109">
        <f>0.1*'Budget modified'!O106</f>
        <v>0.8769511055938628</v>
      </c>
      <c r="O10" s="1109">
        <f>0.1*'Budget modified'!P106</f>
        <v>0.88966475504837461</v>
      </c>
      <c r="P10" s="1109">
        <f>0.1*'Budget modified'!Q106</f>
        <v>0.90263267749197651</v>
      </c>
      <c r="Q10" s="1109">
        <f>0.1*'Budget modified'!R106</f>
        <v>0.91585995838445045</v>
      </c>
    </row>
    <row r="11" spans="1:17" ht="15.75" customHeight="1">
      <c r="A11" s="1109" t="s">
        <v>1077</v>
      </c>
      <c r="H11" s="1109">
        <f>0.1*1.3</f>
        <v>0.13</v>
      </c>
      <c r="I11" s="1109">
        <f>H11+0.1*1.3</f>
        <v>0.26</v>
      </c>
      <c r="J11" s="1109">
        <f t="shared" ref="J11:P11" si="3">I11+0.1*1.3</f>
        <v>0.39</v>
      </c>
      <c r="K11" s="1109">
        <f t="shared" si="3"/>
        <v>0.52</v>
      </c>
      <c r="L11" s="1109">
        <f t="shared" si="3"/>
        <v>0.65</v>
      </c>
      <c r="M11" s="1109">
        <f t="shared" si="3"/>
        <v>0.78</v>
      </c>
      <c r="N11" s="1109">
        <f t="shared" si="3"/>
        <v>0.91</v>
      </c>
      <c r="O11" s="1109">
        <f t="shared" si="3"/>
        <v>1.04</v>
      </c>
      <c r="P11" s="1109">
        <f t="shared" si="3"/>
        <v>1.17</v>
      </c>
      <c r="Q11" s="1109">
        <f>P11+0.1*1.3</f>
        <v>1.2999999999999998</v>
      </c>
    </row>
    <row r="12" spans="1:17">
      <c r="A12" s="1109" t="s">
        <v>1076</v>
      </c>
      <c r="B12" s="1109">
        <f>B6+B9-B5-B8</f>
        <v>-3.2910044031340675</v>
      </c>
      <c r="C12" s="1109">
        <f t="shared" ref="C12:Q12" si="4">C6+C9-C5-C8</f>
        <v>-0.20466710802502419</v>
      </c>
      <c r="D12" s="1109">
        <f t="shared" si="4"/>
        <v>-2.5373952194550569</v>
      </c>
      <c r="E12" s="1109">
        <f t="shared" si="4"/>
        <v>-1.1953755041958551</v>
      </c>
      <c r="F12" s="1109">
        <f t="shared" si="4"/>
        <v>-8.9926307428474246</v>
      </c>
      <c r="G12" s="1109">
        <f t="shared" si="4"/>
        <v>-6.4139757811575073</v>
      </c>
      <c r="H12" s="1109">
        <f t="shared" si="4"/>
        <v>-3.7610675684739787</v>
      </c>
      <c r="I12" s="1109">
        <f t="shared" si="4"/>
        <v>-4.2037528701693478</v>
      </c>
      <c r="J12" s="1109">
        <f t="shared" si="4"/>
        <v>-4.1188039505589833</v>
      </c>
      <c r="K12" s="1109">
        <f t="shared" si="4"/>
        <v>-3.997547881529024</v>
      </c>
      <c r="L12" s="1109">
        <f t="shared" si="4"/>
        <v>-3.6845832411552908</v>
      </c>
      <c r="M12" s="1109">
        <f t="shared" si="4"/>
        <v>-3.6106001195283972</v>
      </c>
      <c r="N12" s="1109">
        <f t="shared" si="4"/>
        <v>-3.5561976312517611</v>
      </c>
      <c r="O12" s="1109">
        <f t="shared" si="4"/>
        <v>-3.357146990507585</v>
      </c>
      <c r="P12" s="1109">
        <f t="shared" si="4"/>
        <v>-3.2182747614751199</v>
      </c>
      <c r="Q12" s="1109">
        <f t="shared" si="4"/>
        <v>-3.0623507950743343</v>
      </c>
    </row>
    <row r="14" spans="1:17">
      <c r="B14" s="1109">
        <f>B3</f>
        <v>2005</v>
      </c>
      <c r="C14" s="1109">
        <f t="shared" ref="C14:Q14" si="5">C3</f>
        <v>2006</v>
      </c>
      <c r="D14" s="1109">
        <f t="shared" si="5"/>
        <v>2007</v>
      </c>
      <c r="E14" s="1109">
        <f t="shared" si="5"/>
        <v>2008</v>
      </c>
      <c r="F14" s="1109">
        <f t="shared" si="5"/>
        <v>2009</v>
      </c>
      <c r="G14" s="1109">
        <f t="shared" si="5"/>
        <v>2010</v>
      </c>
      <c r="H14" s="1109">
        <f t="shared" si="5"/>
        <v>2011</v>
      </c>
      <c r="I14" s="1109">
        <f t="shared" si="5"/>
        <v>2012</v>
      </c>
      <c r="J14" s="1109">
        <f t="shared" si="5"/>
        <v>2013</v>
      </c>
      <c r="K14" s="1109">
        <f t="shared" si="5"/>
        <v>2014</v>
      </c>
      <c r="L14" s="1109">
        <f t="shared" si="5"/>
        <v>2015</v>
      </c>
      <c r="M14" s="1109">
        <f t="shared" si="5"/>
        <v>2016</v>
      </c>
      <c r="N14" s="1109">
        <f t="shared" si="5"/>
        <v>2017</v>
      </c>
      <c r="O14" s="1109">
        <f t="shared" si="5"/>
        <v>2018</v>
      </c>
      <c r="P14" s="1109">
        <f t="shared" si="5"/>
        <v>2019</v>
      </c>
      <c r="Q14" s="1109">
        <f t="shared" si="5"/>
        <v>2020</v>
      </c>
    </row>
    <row r="15" spans="1:17">
      <c r="A15" s="1109" t="str">
        <f t="shared" ref="A15:B17" si="6">A7</f>
        <v>Deficit base scenario</v>
      </c>
      <c r="B15" s="1109">
        <f t="shared" si="6"/>
        <v>-3.2910044031340675</v>
      </c>
      <c r="C15" s="1109">
        <f t="shared" ref="C15:Q15" si="7">C7</f>
        <v>-0.20466710802502419</v>
      </c>
      <c r="D15" s="1109">
        <f t="shared" si="7"/>
        <v>-2.5373952194550569</v>
      </c>
      <c r="E15" s="1109">
        <f t="shared" si="7"/>
        <v>-1.1953755041958551</v>
      </c>
      <c r="F15" s="1109">
        <f t="shared" si="7"/>
        <v>-8.9926307428474246</v>
      </c>
      <c r="G15" s="1109">
        <f t="shared" si="7"/>
        <v>-6.4139757811575073</v>
      </c>
      <c r="H15" s="1109">
        <f t="shared" si="7"/>
        <v>-3.9371596114726763</v>
      </c>
      <c r="I15" s="1109">
        <f t="shared" si="7"/>
        <v>-3.7570230896071273</v>
      </c>
      <c r="J15" s="1109">
        <f t="shared" si="7"/>
        <v>-3.5645143922856413</v>
      </c>
      <c r="K15" s="1109">
        <f t="shared" si="7"/>
        <v>-3.349645554534785</v>
      </c>
      <c r="L15" s="1109">
        <f t="shared" si="7"/>
        <v>-3.0380957966810698</v>
      </c>
      <c r="M15" s="1109">
        <f t="shared" si="7"/>
        <v>-2.9388151720636522</v>
      </c>
      <c r="N15" s="1109">
        <f t="shared" si="7"/>
        <v>-3.0294302497309289</v>
      </c>
      <c r="O15" s="1109">
        <f t="shared" si="7"/>
        <v>-2.9901966590619793</v>
      </c>
      <c r="P15" s="1109">
        <f t="shared" si="7"/>
        <v>-2.9789377438899116</v>
      </c>
      <c r="Q15" s="1109">
        <f t="shared" si="7"/>
        <v>-2.9757775686240251</v>
      </c>
    </row>
    <row r="16" spans="1:17">
      <c r="A16" s="1109" t="str">
        <f t="shared" si="6"/>
        <v>Additional expenditure closing the gap</v>
      </c>
      <c r="B16" s="1109">
        <f t="shared" si="6"/>
        <v>0</v>
      </c>
      <c r="C16" s="1109">
        <f t="shared" ref="C16:Q16" si="8">C8</f>
        <v>0</v>
      </c>
      <c r="D16" s="1109">
        <f t="shared" si="8"/>
        <v>0</v>
      </c>
      <c r="E16" s="1109">
        <f t="shared" si="8"/>
        <v>0</v>
      </c>
      <c r="F16" s="1109">
        <f t="shared" si="8"/>
        <v>0</v>
      </c>
      <c r="G16" s="1109">
        <f t="shared" si="8"/>
        <v>0</v>
      </c>
      <c r="H16" s="1109">
        <f t="shared" si="8"/>
        <v>0.73698788112152758</v>
      </c>
      <c r="I16" s="1109">
        <f t="shared" si="8"/>
        <v>1.5080225678807597</v>
      </c>
      <c r="J16" s="1109">
        <f t="shared" si="8"/>
        <v>1.7680745877234318</v>
      </c>
      <c r="K16" s="1109">
        <f t="shared" si="8"/>
        <v>2.0149094331526038</v>
      </c>
      <c r="L16" s="1109">
        <f t="shared" si="8"/>
        <v>2.1671290856597056</v>
      </c>
      <c r="M16" s="1109">
        <f t="shared" si="8"/>
        <v>2.3255734536918147</v>
      </c>
      <c r="N16" s="1109">
        <f t="shared" si="8"/>
        <v>2.3137184871146932</v>
      </c>
      <c r="O16" s="1109">
        <f t="shared" si="8"/>
        <v>2.2966150864939805</v>
      </c>
      <c r="P16" s="1109">
        <f t="shared" si="8"/>
        <v>2.311969695077186</v>
      </c>
      <c r="Q16" s="1109">
        <f t="shared" si="8"/>
        <v>2.3024331848347583</v>
      </c>
    </row>
    <row r="17" spans="1:17">
      <c r="A17" s="1109" t="str">
        <f t="shared" si="6"/>
        <v>Addtional Revenue</v>
      </c>
      <c r="B17" s="1109">
        <f t="shared" si="6"/>
        <v>0</v>
      </c>
      <c r="C17" s="1109">
        <f t="shared" ref="C17:Q17" si="9">C9</f>
        <v>0</v>
      </c>
      <c r="D17" s="1109">
        <f t="shared" si="9"/>
        <v>0</v>
      </c>
      <c r="E17" s="1109">
        <f t="shared" si="9"/>
        <v>0</v>
      </c>
      <c r="F17" s="1109">
        <f t="shared" si="9"/>
        <v>0</v>
      </c>
      <c r="G17" s="1109">
        <f t="shared" si="9"/>
        <v>0</v>
      </c>
      <c r="H17" s="1109">
        <f t="shared" si="9"/>
        <v>0.91307992412022676</v>
      </c>
      <c r="I17" s="1109">
        <f t="shared" si="9"/>
        <v>1.0612927873185392</v>
      </c>
      <c r="J17" s="1109">
        <f t="shared" si="9"/>
        <v>1.2137850294500891</v>
      </c>
      <c r="K17" s="1109">
        <f t="shared" si="9"/>
        <v>1.3670071061583644</v>
      </c>
      <c r="L17" s="1109">
        <f t="shared" si="9"/>
        <v>1.5206416411854831</v>
      </c>
      <c r="M17" s="1109">
        <f t="shared" si="9"/>
        <v>1.653788506227069</v>
      </c>
      <c r="N17" s="1109">
        <f t="shared" si="9"/>
        <v>1.7869511055938627</v>
      </c>
      <c r="O17" s="1109">
        <f t="shared" si="9"/>
        <v>1.9296647550483748</v>
      </c>
      <c r="P17" s="1109">
        <f t="shared" si="9"/>
        <v>2.0726326774919763</v>
      </c>
      <c r="Q17" s="1109">
        <f t="shared" si="9"/>
        <v>2.21585995838445</v>
      </c>
    </row>
    <row r="18" spans="1:17">
      <c r="A18" s="1109" t="str">
        <f>A12</f>
        <v>Deficit new scenario</v>
      </c>
      <c r="B18" s="1109">
        <f>B12</f>
        <v>-3.2910044031340675</v>
      </c>
      <c r="C18" s="1109">
        <f t="shared" ref="C18:Q18" si="10">C12</f>
        <v>-0.20466710802502419</v>
      </c>
      <c r="D18" s="1109">
        <f t="shared" si="10"/>
        <v>-2.5373952194550569</v>
      </c>
      <c r="E18" s="1109">
        <f t="shared" si="10"/>
        <v>-1.1953755041958551</v>
      </c>
      <c r="F18" s="1109">
        <f t="shared" si="10"/>
        <v>-8.9926307428474246</v>
      </c>
      <c r="G18" s="1109">
        <f t="shared" si="10"/>
        <v>-6.4139757811575073</v>
      </c>
      <c r="H18" s="1109">
        <f t="shared" si="10"/>
        <v>-3.7610675684739787</v>
      </c>
      <c r="I18" s="1109">
        <f t="shared" si="10"/>
        <v>-4.2037528701693478</v>
      </c>
      <c r="J18" s="1109">
        <f t="shared" si="10"/>
        <v>-4.1188039505589833</v>
      </c>
      <c r="K18" s="1109">
        <f t="shared" si="10"/>
        <v>-3.997547881529024</v>
      </c>
      <c r="L18" s="1109">
        <f t="shared" si="10"/>
        <v>-3.6845832411552908</v>
      </c>
      <c r="M18" s="1109">
        <f t="shared" si="10"/>
        <v>-3.6106001195283972</v>
      </c>
      <c r="N18" s="1109">
        <f t="shared" si="10"/>
        <v>-3.5561976312517611</v>
      </c>
      <c r="O18" s="1109">
        <f t="shared" si="10"/>
        <v>-3.357146990507585</v>
      </c>
      <c r="P18" s="1109">
        <f t="shared" si="10"/>
        <v>-3.2182747614751199</v>
      </c>
      <c r="Q18" s="1109">
        <f t="shared" si="10"/>
        <v>-3.0623507950743343</v>
      </c>
    </row>
    <row r="35" spans="8:17">
      <c r="H35" s="1111">
        <f>'GGO(SQ) (SQ and Post SPF)'!I425</f>
        <v>0.73694974416044845</v>
      </c>
      <c r="I35" s="1111">
        <f>'GGO(SQ) (SQ and Post SPF)'!J425</f>
        <v>1.5079190702771905</v>
      </c>
      <c r="J35" s="1111">
        <f>'GGO(SQ) (SQ and Post SPF)'!K425</f>
        <v>1.7678719680920025</v>
      </c>
      <c r="K35" s="1111">
        <f>'GGO(SQ) (SQ and Post SPF)'!L425</f>
        <v>2.0146078448307558</v>
      </c>
      <c r="L35" s="1111">
        <f>'GGO(SQ) (SQ and Post SPF)'!M425</f>
        <v>2.1667330783923386</v>
      </c>
      <c r="M35" s="1111">
        <f>'GGO(SQ) (SQ and Post SPF)'!N425</f>
        <v>2.3250990312568409</v>
      </c>
      <c r="N35" s="1111">
        <f>'GGO(SQ) (SQ and Post SPF)'!O425</f>
        <v>2.3131622385922666</v>
      </c>
      <c r="O35" s="1111">
        <f>'GGO(SQ) (SQ and Post SPF)'!P425</f>
        <v>2.2959657640307451</v>
      </c>
      <c r="P35" s="1111">
        <f>'GGO(SQ) (SQ and Post SPF)'!Q425</f>
        <v>2.3112257646732717</v>
      </c>
      <c r="Q35" s="1111">
        <f>'GGO(SQ) (SQ and Post SPF)'!R425</f>
        <v>2.3015531376975344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Sheet8">
    <tabColor theme="3" tint="-0.249977111117893"/>
  </sheetPr>
  <dimension ref="A1:AE264"/>
  <sheetViews>
    <sheetView topLeftCell="A7" zoomScale="80" zoomScaleNormal="80" workbookViewId="0">
      <pane xSplit="2" ySplit="8" topLeftCell="C15" activePane="bottomRight" state="frozen"/>
      <selection activeCell="A7" sqref="A7"/>
      <selection pane="topRight" activeCell="C7" sqref="C7"/>
      <selection pane="bottomLeft" activeCell="A15" sqref="A15"/>
      <selection pane="bottomRight" activeCell="I47" sqref="I47"/>
    </sheetView>
  </sheetViews>
  <sheetFormatPr defaultColWidth="9.140625" defaultRowHeight="15.75"/>
  <cols>
    <col min="1" max="1" width="5" style="56" customWidth="1"/>
    <col min="2" max="2" width="55.5703125" style="299" customWidth="1"/>
    <col min="3" max="6" width="16" style="56" bestFit="1" customWidth="1"/>
    <col min="7" max="12" width="16.42578125" style="56" bestFit="1" customWidth="1"/>
    <col min="13" max="18" width="17.5703125" style="56" bestFit="1" customWidth="1"/>
    <col min="19" max="19" width="49.140625" style="71" customWidth="1"/>
    <col min="20" max="20" width="10.140625" style="56" customWidth="1"/>
    <col min="21" max="21" width="20" style="56" customWidth="1"/>
    <col min="22" max="22" width="34.5703125" style="56" bestFit="1" customWidth="1"/>
    <col min="23" max="28" width="13.5703125" style="56" bestFit="1" customWidth="1"/>
    <col min="29" max="29" width="9.140625" style="56"/>
    <col min="30" max="31" width="15.5703125" style="56" bestFit="1" customWidth="1"/>
    <col min="32" max="16384" width="9.140625" style="56"/>
  </cols>
  <sheetData>
    <row r="1" spans="1:20" ht="39.75" customHeight="1">
      <c r="A1" s="713" t="s">
        <v>670</v>
      </c>
      <c r="B1" s="352" t="s">
        <v>663</v>
      </c>
    </row>
    <row r="2" spans="1:20" ht="9.9499999999999993" customHeight="1">
      <c r="B2" s="298"/>
    </row>
    <row r="3" spans="1:20" s="64" customFormat="1" ht="30">
      <c r="B3" s="391" t="s">
        <v>664</v>
      </c>
      <c r="C3" s="56"/>
      <c r="D3" s="56"/>
      <c r="P3" s="65"/>
      <c r="Q3" s="66"/>
      <c r="R3" s="67"/>
      <c r="S3" s="398"/>
    </row>
    <row r="4" spans="1:20" s="64" customFormat="1" ht="30">
      <c r="B4" s="392" t="s">
        <v>665</v>
      </c>
      <c r="C4" s="56"/>
      <c r="D4" s="56"/>
      <c r="P4" s="65"/>
      <c r="Q4" s="66"/>
      <c r="R4" s="67"/>
      <c r="S4" s="398"/>
    </row>
    <row r="5" spans="1:20" s="64" customFormat="1" ht="30">
      <c r="B5" s="392" t="s">
        <v>666</v>
      </c>
      <c r="C5" s="56"/>
      <c r="D5" s="56"/>
      <c r="P5" s="65"/>
      <c r="Q5" s="1522"/>
      <c r="R5" s="1522"/>
      <c r="S5" s="398"/>
    </row>
    <row r="6" spans="1:20" s="64" customFormat="1" ht="30">
      <c r="B6" s="392" t="s">
        <v>622</v>
      </c>
      <c r="C6" s="56"/>
      <c r="D6" s="56"/>
      <c r="P6" s="65"/>
      <c r="Q6" s="1522"/>
      <c r="R6" s="1522"/>
      <c r="S6" s="398"/>
    </row>
    <row r="7" spans="1:20" s="64" customFormat="1">
      <c r="B7" s="392"/>
      <c r="C7" s="56"/>
      <c r="D7" s="56"/>
      <c r="P7" s="65"/>
      <c r="Q7" s="66"/>
      <c r="R7" s="67"/>
      <c r="S7" s="398"/>
    </row>
    <row r="8" spans="1:20">
      <c r="B8" s="392"/>
    </row>
    <row r="9" spans="1:20" ht="15" customHeight="1">
      <c r="B9" s="393"/>
    </row>
    <row r="10" spans="1:20" ht="15" customHeight="1">
      <c r="B10" s="300"/>
    </row>
    <row r="11" spans="1:20" ht="57.75">
      <c r="B11" s="300" t="s">
        <v>669</v>
      </c>
    </row>
    <row r="12" spans="1:20" ht="9.9499999999999993" customHeight="1"/>
    <row r="13" spans="1:20" ht="31.5" customHeight="1">
      <c r="B13" s="644"/>
      <c r="C13" s="1517" t="s">
        <v>730</v>
      </c>
      <c r="D13" s="1518"/>
      <c r="E13" s="1518"/>
      <c r="F13" s="1518"/>
      <c r="G13" s="1518"/>
      <c r="H13" s="1518"/>
      <c r="I13" s="1517" t="s">
        <v>734</v>
      </c>
      <c r="J13" s="1518"/>
      <c r="K13" s="1518"/>
      <c r="L13" s="1518"/>
      <c r="M13" s="1518"/>
      <c r="N13" s="1518"/>
      <c r="O13" s="1518"/>
      <c r="P13" s="1518"/>
      <c r="Q13" s="1518"/>
      <c r="R13" s="1519"/>
      <c r="S13" s="1520" t="s">
        <v>744</v>
      </c>
    </row>
    <row r="14" spans="1:20" s="60" customFormat="1">
      <c r="B14" s="935"/>
      <c r="C14" s="936">
        <v>2005</v>
      </c>
      <c r="D14" s="649">
        <v>2006</v>
      </c>
      <c r="E14" s="649">
        <v>2007</v>
      </c>
      <c r="F14" s="649">
        <v>2008</v>
      </c>
      <c r="G14" s="649">
        <v>2009</v>
      </c>
      <c r="H14" s="649">
        <v>2010</v>
      </c>
      <c r="I14" s="936">
        <v>2011</v>
      </c>
      <c r="J14" s="649">
        <v>2012</v>
      </c>
      <c r="K14" s="649">
        <v>2013</v>
      </c>
      <c r="L14" s="649">
        <v>2014</v>
      </c>
      <c r="M14" s="649">
        <v>2015</v>
      </c>
      <c r="N14" s="649">
        <v>2016</v>
      </c>
      <c r="O14" s="649">
        <v>2017</v>
      </c>
      <c r="P14" s="649">
        <v>2018</v>
      </c>
      <c r="Q14" s="649">
        <v>2019</v>
      </c>
      <c r="R14" s="937">
        <v>2020</v>
      </c>
      <c r="S14" s="1521"/>
      <c r="T14" s="60" t="s">
        <v>438</v>
      </c>
    </row>
    <row r="15" spans="1:20" s="60" customFormat="1">
      <c r="B15" s="709"/>
      <c r="C15" s="1007"/>
      <c r="D15" s="1008"/>
      <c r="E15" s="1008"/>
      <c r="F15" s="1008"/>
      <c r="G15" s="1008"/>
      <c r="H15" s="1008"/>
      <c r="I15" s="1007"/>
      <c r="J15" s="1008"/>
      <c r="K15" s="1008"/>
      <c r="L15" s="1008"/>
      <c r="M15" s="1008"/>
      <c r="N15" s="1008"/>
      <c r="O15" s="1008"/>
      <c r="P15" s="1008"/>
      <c r="Q15" s="1008"/>
      <c r="R15" s="1009"/>
      <c r="S15" s="1010"/>
    </row>
    <row r="16" spans="1:20" s="60" customFormat="1" ht="18.75">
      <c r="B16" s="1033" t="s">
        <v>970</v>
      </c>
      <c r="C16" s="1007"/>
      <c r="D16" s="1008"/>
      <c r="E16" s="1008"/>
      <c r="F16" s="1008"/>
      <c r="G16" s="1008"/>
      <c r="H16" s="1008"/>
      <c r="I16" s="1007"/>
      <c r="J16" s="1008"/>
      <c r="K16" s="1008"/>
      <c r="L16" s="1008"/>
      <c r="M16" s="1008"/>
      <c r="N16" s="1008"/>
      <c r="O16" s="1008"/>
      <c r="P16" s="1008"/>
      <c r="Q16" s="1008"/>
      <c r="R16" s="1009"/>
      <c r="S16" s="1010"/>
    </row>
    <row r="17" spans="2:25" s="60" customFormat="1" ht="18.75">
      <c r="B17" s="1033" t="s">
        <v>675</v>
      </c>
      <c r="C17" s="1007"/>
      <c r="D17" s="1008"/>
      <c r="E17" s="1008"/>
      <c r="F17" s="1008"/>
      <c r="G17" s="1008"/>
      <c r="H17" s="1008"/>
      <c r="I17" s="1007"/>
      <c r="J17" s="1008"/>
      <c r="K17" s="1008"/>
      <c r="L17" s="1008"/>
      <c r="M17" s="1008"/>
      <c r="N17" s="1008"/>
      <c r="O17" s="1008"/>
      <c r="P17" s="1008"/>
      <c r="Q17" s="1008"/>
      <c r="R17" s="1009"/>
      <c r="S17" s="1010"/>
    </row>
    <row r="18" spans="2:25" s="60" customFormat="1" ht="36.75" customHeight="1">
      <c r="B18" s="311" t="s">
        <v>763</v>
      </c>
      <c r="C18" s="666"/>
      <c r="D18" s="667"/>
      <c r="E18" s="667"/>
      <c r="F18" s="667"/>
      <c r="G18" s="667"/>
      <c r="H18" s="668"/>
      <c r="I18" s="666"/>
      <c r="J18" s="667"/>
      <c r="K18" s="667"/>
      <c r="L18" s="667"/>
      <c r="M18" s="667"/>
      <c r="N18" s="667"/>
      <c r="O18" s="667"/>
      <c r="P18" s="667"/>
      <c r="Q18" s="667"/>
      <c r="R18" s="668"/>
      <c r="S18" s="70"/>
      <c r="T18" s="56"/>
      <c r="U18" s="56"/>
      <c r="V18" s="56"/>
      <c r="W18" s="56"/>
      <c r="X18" s="56"/>
    </row>
    <row r="19" spans="2:25" s="60" customFormat="1">
      <c r="B19" s="662"/>
      <c r="C19" s="1011">
        <v>2005</v>
      </c>
      <c r="D19" s="1012">
        <v>2006</v>
      </c>
      <c r="E19" s="1012">
        <v>2007</v>
      </c>
      <c r="F19" s="1012">
        <v>2008</v>
      </c>
      <c r="G19" s="1012">
        <v>2009</v>
      </c>
      <c r="H19" s="1012">
        <v>2010</v>
      </c>
      <c r="I19" s="1013">
        <v>2011</v>
      </c>
      <c r="J19" s="1013">
        <v>2012</v>
      </c>
      <c r="K19" s="1013">
        <v>2013</v>
      </c>
      <c r="L19" s="1013">
        <v>2014</v>
      </c>
      <c r="M19" s="1013">
        <v>2015</v>
      </c>
      <c r="N19" s="1013">
        <v>2016</v>
      </c>
      <c r="O19" s="1013">
        <v>2017</v>
      </c>
      <c r="P19" s="1013">
        <v>2018</v>
      </c>
      <c r="Q19" s="1013">
        <v>2019</v>
      </c>
      <c r="R19" s="1013">
        <v>2020</v>
      </c>
      <c r="S19" s="662" t="s">
        <v>744</v>
      </c>
      <c r="T19" s="1014"/>
      <c r="U19" s="1014" t="s">
        <v>64</v>
      </c>
      <c r="V19" s="1015">
        <v>2005</v>
      </c>
      <c r="W19" s="1015">
        <v>2006</v>
      </c>
      <c r="X19" s="1015">
        <v>2007</v>
      </c>
    </row>
    <row r="20" spans="2:25" s="60" customFormat="1" ht="26.25">
      <c r="B20" s="1192" t="s">
        <v>859</v>
      </c>
      <c r="C20" s="1220">
        <f>C21+C24</f>
        <v>224500000</v>
      </c>
      <c r="D20" s="1221">
        <f t="shared" ref="D20:R20" si="0">D21+D24</f>
        <v>271575000</v>
      </c>
      <c r="E20" s="1221">
        <f t="shared" si="0"/>
        <v>321898600</v>
      </c>
      <c r="F20" s="1221">
        <f t="shared" si="0"/>
        <v>421135000</v>
      </c>
      <c r="G20" s="1221">
        <f t="shared" si="0"/>
        <v>435821000</v>
      </c>
      <c r="H20" s="1221">
        <f t="shared" si="0"/>
        <v>552486681.45034468</v>
      </c>
      <c r="I20" s="1221">
        <f t="shared" si="0"/>
        <v>664005206.87984264</v>
      </c>
      <c r="J20" s="1221">
        <f t="shared" si="0"/>
        <v>768287253.87695861</v>
      </c>
      <c r="K20" s="1221">
        <f t="shared" si="0"/>
        <v>883468245.2025336</v>
      </c>
      <c r="L20" s="1221">
        <f t="shared" si="0"/>
        <v>1016692056.0924931</v>
      </c>
      <c r="M20" s="1221">
        <f t="shared" si="0"/>
        <v>1168422182.7143066</v>
      </c>
      <c r="N20" s="1221">
        <f t="shared" si="0"/>
        <v>1324992042.8633683</v>
      </c>
      <c r="O20" s="1221">
        <f t="shared" si="0"/>
        <v>1493484425.6399901</v>
      </c>
      <c r="P20" s="1221">
        <f t="shared" si="0"/>
        <v>1686559456.7837889</v>
      </c>
      <c r="Q20" s="1221">
        <f t="shared" si="0"/>
        <v>1903683029.4866869</v>
      </c>
      <c r="R20" s="1222">
        <f t="shared" si="0"/>
        <v>2148908312.9401317</v>
      </c>
      <c r="S20" s="99" t="s">
        <v>437</v>
      </c>
      <c r="T20" s="239"/>
      <c r="U20" s="952">
        <v>0.81097229766431289</v>
      </c>
      <c r="V20" s="239">
        <v>0.76589861751152077</v>
      </c>
      <c r="W20" s="239">
        <v>0.79606507756337497</v>
      </c>
      <c r="X20" s="239">
        <v>0.82465277777777779</v>
      </c>
      <c r="Y20" s="239"/>
    </row>
    <row r="21" spans="2:25" s="60" customFormat="1" ht="20.25" customHeight="1">
      <c r="B21" s="1184" t="s">
        <v>321</v>
      </c>
      <c r="C21" s="1189">
        <f>C22+C23</f>
        <v>66558000</v>
      </c>
      <c r="D21" s="1190">
        <f t="shared" ref="D21:R21" si="1">D22+D23</f>
        <v>83346000</v>
      </c>
      <c r="E21" s="1190">
        <f t="shared" si="1"/>
        <v>78634000</v>
      </c>
      <c r="F21" s="1190">
        <f t="shared" si="1"/>
        <v>89603000</v>
      </c>
      <c r="G21" s="1190">
        <f t="shared" si="1"/>
        <v>60500000</v>
      </c>
      <c r="H21" s="1190">
        <f t="shared" si="1"/>
        <v>69119590.232974514</v>
      </c>
      <c r="I21" s="1190">
        <f t="shared" si="1"/>
        <v>82815676.567301124</v>
      </c>
      <c r="J21" s="1190">
        <f t="shared" si="1"/>
        <v>93309404.982358754</v>
      </c>
      <c r="K21" s="1190">
        <f t="shared" si="1"/>
        <v>98578146.453966826</v>
      </c>
      <c r="L21" s="1190">
        <f t="shared" si="1"/>
        <v>105601722.59006023</v>
      </c>
      <c r="M21" s="1190">
        <f t="shared" si="1"/>
        <v>114754714.00019887</v>
      </c>
      <c r="N21" s="1190">
        <f t="shared" si="1"/>
        <v>127091870.24950281</v>
      </c>
      <c r="O21" s="1190">
        <f t="shared" si="1"/>
        <v>137331127.7607224</v>
      </c>
      <c r="P21" s="1190">
        <f t="shared" si="1"/>
        <v>145458308.76349372</v>
      </c>
      <c r="Q21" s="1190">
        <f t="shared" si="1"/>
        <v>151651327.28108981</v>
      </c>
      <c r="R21" s="1191">
        <f t="shared" si="1"/>
        <v>156180726.05774868</v>
      </c>
      <c r="S21" s="93"/>
      <c r="T21" s="94"/>
      <c r="U21" s="96"/>
      <c r="V21" s="94"/>
      <c r="W21" s="94"/>
      <c r="X21" s="94"/>
      <c r="Y21" s="94"/>
    </row>
    <row r="22" spans="2:25" s="60" customFormat="1">
      <c r="B22" s="1182" t="s">
        <v>999</v>
      </c>
      <c r="C22" s="1189">
        <f>'IMF Data'!C23*1000</f>
        <v>45322000</v>
      </c>
      <c r="D22" s="1190">
        <f>'IMF Data'!D23*1000</f>
        <v>56726000</v>
      </c>
      <c r="E22" s="1190">
        <f>'IMF Data'!E23*1000</f>
        <v>57173400</v>
      </c>
      <c r="F22" s="1190">
        <f>'IMF Data'!F23*1000</f>
        <v>65102999.999999993</v>
      </c>
      <c r="G22" s="1190">
        <f>'IMF Data'!G23*1000</f>
        <v>45203000</v>
      </c>
      <c r="H22" s="1190">
        <f>'IMF Data'!H23*1000</f>
        <v>48644937.873933963</v>
      </c>
      <c r="I22" s="1190">
        <f>'IMF Data'!I23*1000</f>
        <v>58615125.558467373</v>
      </c>
      <c r="J22" s="1190">
        <f>'IMF Data'!J23*1000</f>
        <v>66042357.142154299</v>
      </c>
      <c r="K22" s="1190">
        <f>'IMF Data'!K23*1000</f>
        <v>69771457.183285266</v>
      </c>
      <c r="L22" s="1190">
        <f>'IMF Data'!L23*1000</f>
        <v>74742590.839991033</v>
      </c>
      <c r="M22" s="1190">
        <f>'IMF Data'!M23*1000</f>
        <v>81220878.079543486</v>
      </c>
      <c r="N22" s="1190">
        <f>'IMF Data'!N23*1000</f>
        <v>89952847.587752596</v>
      </c>
      <c r="O22" s="1190">
        <f>'IMF Data'!O23*1000</f>
        <v>97199970.228329912</v>
      </c>
      <c r="P22" s="1190">
        <f>'IMF Data'!P23*1000</f>
        <v>102952211.28533196</v>
      </c>
      <c r="Q22" s="1190">
        <f>'IMF Data'!Q23*1000</f>
        <v>107335494.41530566</v>
      </c>
      <c r="R22" s="1191">
        <f>'IMF Data'!R23*1000</f>
        <v>110541303.85867201</v>
      </c>
      <c r="S22" s="93"/>
      <c r="T22" s="94"/>
      <c r="U22" s="96"/>
      <c r="V22" s="94"/>
      <c r="W22" s="94"/>
      <c r="X22" s="94"/>
      <c r="Y22" s="94"/>
    </row>
    <row r="23" spans="2:25" s="60" customFormat="1">
      <c r="B23" s="1182" t="s">
        <v>861</v>
      </c>
      <c r="C23" s="1189">
        <f>'IMF Data'!C24*1000</f>
        <v>21236000</v>
      </c>
      <c r="D23" s="1190">
        <f>'IMF Data'!D24*1000</f>
        <v>26620000</v>
      </c>
      <c r="E23" s="1190">
        <f>'IMF Data'!E24*1000</f>
        <v>21460600</v>
      </c>
      <c r="F23" s="1190">
        <f>'IMF Data'!F24*1000</f>
        <v>24500000</v>
      </c>
      <c r="G23" s="1190">
        <f>'IMF Data'!G24*1000</f>
        <v>15297000</v>
      </c>
      <c r="H23" s="1190">
        <f>'IMF Data'!H24*1000</f>
        <v>20474652.359040547</v>
      </c>
      <c r="I23" s="1190">
        <f>'IMF Data'!I24*1000</f>
        <v>24200551.008833751</v>
      </c>
      <c r="J23" s="1190">
        <f>'IMF Data'!J24*1000</f>
        <v>27267047.840204459</v>
      </c>
      <c r="K23" s="1190">
        <f>'IMF Data'!K24*1000</f>
        <v>28806689.270681567</v>
      </c>
      <c r="L23" s="1190">
        <f>'IMF Data'!L24*1000</f>
        <v>30859131.750069197</v>
      </c>
      <c r="M23" s="1190">
        <f>'IMF Data'!M24*1000</f>
        <v>33533835.920655381</v>
      </c>
      <c r="N23" s="1190">
        <f>'IMF Data'!N24*1000</f>
        <v>37139022.661750212</v>
      </c>
      <c r="O23" s="1190">
        <f>'IMF Data'!O24*1000</f>
        <v>40131157.532392487</v>
      </c>
      <c r="P23" s="1190">
        <f>'IMF Data'!P24*1000</f>
        <v>42506097.47816176</v>
      </c>
      <c r="Q23" s="1190">
        <f>'IMF Data'!Q24*1000</f>
        <v>44315832.865784161</v>
      </c>
      <c r="R23" s="1191">
        <f>'IMF Data'!R24*1000</f>
        <v>45639422.19907666</v>
      </c>
      <c r="S23" s="93"/>
      <c r="T23" s="94"/>
      <c r="U23" s="96"/>
      <c r="V23" s="94"/>
      <c r="W23" s="94"/>
      <c r="X23" s="94"/>
      <c r="Y23" s="94"/>
    </row>
    <row r="24" spans="2:25" s="60" customFormat="1" ht="19.5" customHeight="1">
      <c r="B24" s="1184" t="s">
        <v>322</v>
      </c>
      <c r="C24" s="1186">
        <f>C25+C26+C27+C28+C31+C32+C33+C34</f>
        <v>157942000</v>
      </c>
      <c r="D24" s="1187">
        <f t="shared" ref="D24:R24" si="2">D25+D26+D27+D28+D31+D32+D33+D34</f>
        <v>188229000</v>
      </c>
      <c r="E24" s="1187">
        <f t="shared" si="2"/>
        <v>243264600</v>
      </c>
      <c r="F24" s="1187">
        <f t="shared" si="2"/>
        <v>331532000</v>
      </c>
      <c r="G24" s="1187">
        <f t="shared" si="2"/>
        <v>375321000</v>
      </c>
      <c r="H24" s="1187">
        <f t="shared" si="2"/>
        <v>483367091.21737015</v>
      </c>
      <c r="I24" s="1187">
        <f t="shared" si="2"/>
        <v>581189530.31254148</v>
      </c>
      <c r="J24" s="1187">
        <f t="shared" si="2"/>
        <v>674977848.89459991</v>
      </c>
      <c r="K24" s="1187">
        <f t="shared" si="2"/>
        <v>784890098.74856675</v>
      </c>
      <c r="L24" s="1187">
        <f t="shared" si="2"/>
        <v>911090333.50243282</v>
      </c>
      <c r="M24" s="1187">
        <f t="shared" si="2"/>
        <v>1053667468.7141078</v>
      </c>
      <c r="N24" s="1187">
        <f t="shared" si="2"/>
        <v>1197900172.6138654</v>
      </c>
      <c r="O24" s="1187">
        <f t="shared" si="2"/>
        <v>1356153297.8792677</v>
      </c>
      <c r="P24" s="1187">
        <f t="shared" si="2"/>
        <v>1541101148.0202951</v>
      </c>
      <c r="Q24" s="1187">
        <f t="shared" si="2"/>
        <v>1752031702.2055972</v>
      </c>
      <c r="R24" s="1188">
        <f t="shared" si="2"/>
        <v>1992727586.8823829</v>
      </c>
      <c r="S24" s="93"/>
      <c r="T24" s="94"/>
      <c r="U24" s="96"/>
      <c r="V24" s="94"/>
      <c r="W24" s="94"/>
      <c r="X24" s="94"/>
      <c r="Y24" s="94"/>
    </row>
    <row r="25" spans="2:25" s="60" customFormat="1">
      <c r="B25" s="1183" t="s">
        <v>998</v>
      </c>
      <c r="C25" s="1189">
        <f>'IMF Data'!C26*1000</f>
        <v>4234000</v>
      </c>
      <c r="D25" s="1190">
        <f>'IMF Data'!D26*1000</f>
        <v>5179000</v>
      </c>
      <c r="E25" s="1190">
        <f>'IMF Data'!E26*1000</f>
        <v>7415000</v>
      </c>
      <c r="F25" s="1190">
        <f>'IMF Data'!F26*1000</f>
        <v>12940000</v>
      </c>
      <c r="G25" s="1190">
        <f>'IMF Data'!G26*1000</f>
        <v>14329000</v>
      </c>
      <c r="H25" s="1190">
        <f>'IMF Data'!H26*1000</f>
        <v>20981592.539059948</v>
      </c>
      <c r="I25" s="1190">
        <f>'IMF Data'!I26*1000</f>
        <v>26867056.947686229</v>
      </c>
      <c r="J25" s="1190">
        <f>'IMF Data'!J26*1000</f>
        <v>31817754.134112488</v>
      </c>
      <c r="K25" s="1190">
        <f>'IMF Data'!K26*1000</f>
        <v>37859886.611594684</v>
      </c>
      <c r="L25" s="1190">
        <f>'IMF Data'!L26*1000</f>
        <v>44899041.621342503</v>
      </c>
      <c r="M25" s="1190">
        <f>'IMF Data'!M26*1000</f>
        <v>52945515.076034173</v>
      </c>
      <c r="N25" s="1190">
        <f>'IMF Data'!N26*1000</f>
        <v>60110333.805994034</v>
      </c>
      <c r="O25" s="1190">
        <f>'IMF Data'!O26*1000</f>
        <v>68124359.548482329</v>
      </c>
      <c r="P25" s="1190">
        <f>'IMF Data'!P26*1000</f>
        <v>77206377.026826918</v>
      </c>
      <c r="Q25" s="1190">
        <f>'IMF Data'!Q26*1000</f>
        <v>87527193.328487694</v>
      </c>
      <c r="R25" s="1191">
        <f>'IMF Data'!R26*1000</f>
        <v>99260987.760085791</v>
      </c>
      <c r="S25" s="93"/>
      <c r="T25" s="94"/>
      <c r="U25" s="96"/>
      <c r="V25" s="94"/>
      <c r="W25" s="94"/>
      <c r="X25" s="94"/>
      <c r="Y25" s="94"/>
    </row>
    <row r="26" spans="2:25" s="60" customFormat="1">
      <c r="B26" s="1183" t="s">
        <v>999</v>
      </c>
      <c r="C26" s="1189">
        <f>'IMF Data'!C27*1000</f>
        <v>30525000</v>
      </c>
      <c r="D26" s="1190">
        <f>'IMF Data'!D27*1000</f>
        <v>43070000</v>
      </c>
      <c r="E26" s="1190">
        <f>'IMF Data'!E27*1000</f>
        <v>47378200.000000007</v>
      </c>
      <c r="F26" s="1190">
        <f>'IMF Data'!F27*1000</f>
        <v>72136000</v>
      </c>
      <c r="G26" s="1190">
        <f>'IMF Data'!G27*1000</f>
        <v>66869000</v>
      </c>
      <c r="H26" s="1190">
        <f>'IMF Data'!H27*1000</f>
        <v>93258801.965155914</v>
      </c>
      <c r="I26" s="1190">
        <f>'IMF Data'!I27*1000</f>
        <v>106997554.48491155</v>
      </c>
      <c r="J26" s="1190">
        <f>'IMF Data'!J27*1000</f>
        <v>126713613.93177851</v>
      </c>
      <c r="K26" s="1190">
        <f>'IMF Data'!K27*1000</f>
        <v>150776294.12124866</v>
      </c>
      <c r="L26" s="1190">
        <f>'IMF Data'!L27*1000</f>
        <v>178809597.99780494</v>
      </c>
      <c r="M26" s="1190">
        <f>'IMF Data'!M27*1000</f>
        <v>210854528.84215301</v>
      </c>
      <c r="N26" s="1190">
        <f>'IMF Data'!N27*1000</f>
        <v>239388286.14672506</v>
      </c>
      <c r="O26" s="1190">
        <f>'IMF Data'!O27*1000</f>
        <v>271303994.58084965</v>
      </c>
      <c r="P26" s="1190">
        <f>'IMF Data'!P27*1000</f>
        <v>307472960.23511648</v>
      </c>
      <c r="Q26" s="1190">
        <f>'IMF Data'!Q27*1000</f>
        <v>348575419.15780151</v>
      </c>
      <c r="R26" s="1191">
        <f>'IMF Data'!R27*1000</f>
        <v>395305037.19725668</v>
      </c>
      <c r="S26" s="93"/>
      <c r="T26" s="94"/>
      <c r="U26" s="96"/>
      <c r="V26" s="94"/>
      <c r="W26" s="94"/>
      <c r="X26" s="94"/>
      <c r="Y26" s="94"/>
    </row>
    <row r="27" spans="2:25" s="60" customFormat="1">
      <c r="B27" s="1183" t="s">
        <v>863</v>
      </c>
      <c r="C27" s="1189">
        <f>'IMF Data'!C28*1000</f>
        <v>15716000</v>
      </c>
      <c r="D27" s="1190">
        <f>'IMF Data'!D28*1000</f>
        <v>17195000</v>
      </c>
      <c r="E27" s="1190">
        <f>'IMF Data'!E28*1000</f>
        <v>17365000</v>
      </c>
      <c r="F27" s="1190">
        <f>'IMF Data'!F28*1000</f>
        <v>22123000</v>
      </c>
      <c r="G27" s="1190">
        <f>'IMF Data'!G28*1000</f>
        <v>29058000</v>
      </c>
      <c r="H27" s="1190">
        <f>'IMF Data'!H28*1000</f>
        <v>38575437.399058945</v>
      </c>
      <c r="I27" s="1190">
        <f>'IMF Data'!I28*1000</f>
        <v>50087301.55273819</v>
      </c>
      <c r="J27" s="1190">
        <f>'IMF Data'!J28*1000</f>
        <v>59529050.358370788</v>
      </c>
      <c r="K27" s="1190">
        <f>'IMF Data'!K28*1000</f>
        <v>71093586.455905095</v>
      </c>
      <c r="L27" s="1190">
        <f>'IMF Data'!L28*1000</f>
        <v>84615874.523975044</v>
      </c>
      <c r="M27" s="1190">
        <f>'IMF Data'!M28*1000</f>
        <v>100128985.49455194</v>
      </c>
      <c r="N27" s="1190">
        <f>'IMF Data'!N28*1000</f>
        <v>113678877.8632066</v>
      </c>
      <c r="O27" s="1190">
        <f>'IMF Data'!O28*1000</f>
        <v>128834765.3103343</v>
      </c>
      <c r="P27" s="1190">
        <f>'IMF Data'!P28*1000</f>
        <v>146010407.00622672</v>
      </c>
      <c r="Q27" s="1190">
        <f>'IMF Data'!Q28*1000</f>
        <v>165528828.24128056</v>
      </c>
      <c r="R27" s="1191">
        <f>'IMF Data'!R28*1000</f>
        <v>187719431.74660665</v>
      </c>
      <c r="S27" s="93"/>
      <c r="T27" s="94"/>
      <c r="U27" s="96"/>
      <c r="V27" s="94"/>
      <c r="W27" s="94"/>
      <c r="X27" s="94"/>
      <c r="Y27" s="94"/>
    </row>
    <row r="28" spans="2:25" s="1197" customFormat="1">
      <c r="B28" s="1193" t="s">
        <v>776</v>
      </c>
      <c r="C28" s="1194">
        <f>C29+C30</f>
        <v>45878000</v>
      </c>
      <c r="D28" s="1195">
        <f t="shared" ref="D28:R28" si="3">D29+D30</f>
        <v>55148000</v>
      </c>
      <c r="E28" s="1195">
        <f t="shared" si="3"/>
        <v>69821600</v>
      </c>
      <c r="F28" s="1195">
        <f t="shared" si="3"/>
        <v>91506000</v>
      </c>
      <c r="G28" s="1195">
        <f t="shared" si="3"/>
        <v>106524000</v>
      </c>
      <c r="H28" s="1195">
        <f t="shared" si="3"/>
        <v>149694361.93079013</v>
      </c>
      <c r="I28" s="1195">
        <f t="shared" si="3"/>
        <v>188546901.83730286</v>
      </c>
      <c r="J28" s="1195">
        <f t="shared" si="3"/>
        <v>220701936.72478995</v>
      </c>
      <c r="K28" s="1195">
        <f t="shared" si="3"/>
        <v>260553738.60162413</v>
      </c>
      <c r="L28" s="1195">
        <f t="shared" si="3"/>
        <v>306806160.43164474</v>
      </c>
      <c r="M28" s="1195">
        <f t="shared" si="3"/>
        <v>359514754.25002873</v>
      </c>
      <c r="N28" s="1195">
        <f t="shared" si="3"/>
        <v>409641146.71254361</v>
      </c>
      <c r="O28" s="1195">
        <f t="shared" si="3"/>
        <v>465935625.70908046</v>
      </c>
      <c r="P28" s="1195">
        <f t="shared" si="3"/>
        <v>535707423.96027094</v>
      </c>
      <c r="Q28" s="1195">
        <f t="shared" si="3"/>
        <v>616172285.10042357</v>
      </c>
      <c r="R28" s="1196">
        <f t="shared" si="3"/>
        <v>709015566.63914216</v>
      </c>
      <c r="S28" s="93"/>
      <c r="T28" s="94"/>
      <c r="U28" s="96"/>
      <c r="V28" s="94"/>
      <c r="W28" s="94"/>
      <c r="X28" s="94"/>
      <c r="Y28" s="94"/>
    </row>
    <row r="29" spans="2:25" s="60" customFormat="1">
      <c r="B29" s="1185" t="s">
        <v>323</v>
      </c>
      <c r="C29" s="1189">
        <f>'IMF Data'!C30*1000</f>
        <v>31424000</v>
      </c>
      <c r="D29" s="1190">
        <f>'IMF Data'!D30*1000</f>
        <v>38603000</v>
      </c>
      <c r="E29" s="1190">
        <f>'IMF Data'!E30*1000</f>
        <v>47859600</v>
      </c>
      <c r="F29" s="1190">
        <f>'IMF Data'!F30*1000</f>
        <v>60523000</v>
      </c>
      <c r="G29" s="1190">
        <f>'IMF Data'!G30*1000</f>
        <v>77900000</v>
      </c>
      <c r="H29" s="1190">
        <f>'IMF Data'!H30*1000</f>
        <v>98636636.610107213</v>
      </c>
      <c r="I29" s="1190">
        <f>'IMF Data'!I30*1000</f>
        <v>128072247.39748043</v>
      </c>
      <c r="J29" s="1190">
        <f>'IMF Data'!J30*1000</f>
        <v>152214613.8539089</v>
      </c>
      <c r="K29" s="1190">
        <f>'IMF Data'!K30*1000</f>
        <v>182693830.2971797</v>
      </c>
      <c r="L29" s="1190">
        <f>'IMF Data'!L30*1000</f>
        <v>218530151.40079147</v>
      </c>
      <c r="M29" s="1190">
        <f>'IMF Data'!M30*1000</f>
        <v>259887503.3230311</v>
      </c>
      <c r="N29" s="1190">
        <f>'IMF Data'!N30*1000</f>
        <v>296531900.33359748</v>
      </c>
      <c r="O29" s="1190">
        <f>'IMF Data'!O30*1000</f>
        <v>337746436.25212836</v>
      </c>
      <c r="P29" s="1190">
        <f>'IMF Data'!P30*1000</f>
        <v>390428657.92749327</v>
      </c>
      <c r="Q29" s="1190">
        <f>'IMF Data'!Q30*1000</f>
        <v>451472902.34533477</v>
      </c>
      <c r="R29" s="1191">
        <f>'IMF Data'!R30*1000</f>
        <v>522236774.88248181</v>
      </c>
      <c r="S29" s="93"/>
      <c r="T29" s="94"/>
      <c r="U29" s="96"/>
      <c r="V29" s="94"/>
      <c r="W29" s="94"/>
      <c r="X29" s="94"/>
      <c r="Y29" s="94"/>
    </row>
    <row r="30" spans="2:25" s="60" customFormat="1">
      <c r="B30" s="1185" t="s">
        <v>864</v>
      </c>
      <c r="C30" s="1189">
        <f>'IMF Data'!C31*1000</f>
        <v>14454000</v>
      </c>
      <c r="D30" s="1190">
        <f>'IMF Data'!D31*1000</f>
        <v>16545000</v>
      </c>
      <c r="E30" s="1190">
        <f>'IMF Data'!E31*1000</f>
        <v>21962000</v>
      </c>
      <c r="F30" s="1190">
        <f>'IMF Data'!F31*1000</f>
        <v>30983000</v>
      </c>
      <c r="G30" s="1190">
        <f>'IMF Data'!G31*1000</f>
        <v>28624000</v>
      </c>
      <c r="H30" s="1190">
        <f>'IMF Data'!H31*1000</f>
        <v>51057725.320682921</v>
      </c>
      <c r="I30" s="1190">
        <f>'IMF Data'!I31*1000</f>
        <v>60474654.439822443</v>
      </c>
      <c r="J30" s="1190">
        <f>'IMF Data'!J31*1000</f>
        <v>68487322.870881051</v>
      </c>
      <c r="K30" s="1190">
        <f>'IMF Data'!K31*1000</f>
        <v>77859908.304444447</v>
      </c>
      <c r="L30" s="1190">
        <f>'IMF Data'!L31*1000</f>
        <v>88276009.030853271</v>
      </c>
      <c r="M30" s="1190">
        <f>'IMF Data'!M31*1000</f>
        <v>99627250.926997647</v>
      </c>
      <c r="N30" s="1190">
        <f>'IMF Data'!N31*1000</f>
        <v>113109246.37894614</v>
      </c>
      <c r="O30" s="1190">
        <f>'IMF Data'!O31*1000</f>
        <v>128189189.45695207</v>
      </c>
      <c r="P30" s="1190">
        <f>'IMF Data'!P31*1000</f>
        <v>145278766.03277767</v>
      </c>
      <c r="Q30" s="1190">
        <f>'IMF Data'!Q31*1000</f>
        <v>164699382.75508884</v>
      </c>
      <c r="R30" s="1191">
        <f>'IMF Data'!R31*1000</f>
        <v>186778791.75666037</v>
      </c>
      <c r="S30" s="93"/>
      <c r="T30" s="94"/>
      <c r="U30" s="96"/>
      <c r="V30" s="94"/>
      <c r="W30" s="94"/>
      <c r="X30" s="94"/>
      <c r="Y30" s="94"/>
    </row>
    <row r="31" spans="2:25" s="60" customFormat="1">
      <c r="B31" s="1183" t="s">
        <v>865</v>
      </c>
      <c r="C31" s="1189">
        <f>'IMF Data'!C32*1000</f>
        <v>23660000</v>
      </c>
      <c r="D31" s="1190">
        <f>'IMF Data'!D32*1000</f>
        <v>26280000</v>
      </c>
      <c r="E31" s="1190">
        <f>'IMF Data'!E32*1000</f>
        <v>38309000</v>
      </c>
      <c r="F31" s="1190">
        <f>'IMF Data'!F32*1000</f>
        <v>60474000</v>
      </c>
      <c r="G31" s="1190">
        <f>'IMF Data'!G32*1000</f>
        <v>77040000</v>
      </c>
      <c r="H31" s="1190">
        <f>'IMF Data'!H32*1000</f>
        <v>77828819.766807675</v>
      </c>
      <c r="I31" s="1190">
        <f>'IMF Data'!I32*1000</f>
        <v>87449322.278696492</v>
      </c>
      <c r="J31" s="1190">
        <f>'IMF Data'!J32*1000</f>
        <v>99331150.897280827</v>
      </c>
      <c r="K31" s="1190">
        <f>'IMF Data'!K32*1000</f>
        <v>111239183.77378795</v>
      </c>
      <c r="L31" s="1190">
        <f>'IMF Data'!L32*1000</f>
        <v>124423683.20427375</v>
      </c>
      <c r="M31" s="1190">
        <f>'IMF Data'!M32*1000</f>
        <v>139077647.63999638</v>
      </c>
      <c r="N31" s="1190">
        <f>'IMF Data'!N32*1000</f>
        <v>158068772.65203235</v>
      </c>
      <c r="O31" s="1190">
        <f>'IMF Data'!O32*1000</f>
        <v>176009237.81238735</v>
      </c>
      <c r="P31" s="1190">
        <f>'IMF Data'!P32*1000</f>
        <v>195970398.47961539</v>
      </c>
      <c r="Q31" s="1190">
        <f>'IMF Data'!Q32*1000</f>
        <v>218233767.11454087</v>
      </c>
      <c r="R31" s="1191">
        <f>'IMF Data'!R32*1000</f>
        <v>243070535.59945619</v>
      </c>
      <c r="S31" s="93"/>
      <c r="T31" s="94"/>
      <c r="U31" s="96"/>
      <c r="V31" s="94"/>
      <c r="W31" s="94"/>
      <c r="X31" s="94"/>
      <c r="Y31" s="94"/>
    </row>
    <row r="32" spans="2:25" s="60" customFormat="1">
      <c r="B32" s="1183" t="s">
        <v>50</v>
      </c>
      <c r="C32" s="1189">
        <f>'IMF Data'!C33*1000</f>
        <v>5154000</v>
      </c>
      <c r="D32" s="1190">
        <f>'IMF Data'!D33*1000</f>
        <v>6113000</v>
      </c>
      <c r="E32" s="1190">
        <f>'IMF Data'!E33*1000</f>
        <v>9671100</v>
      </c>
      <c r="F32" s="1190">
        <f>'IMF Data'!F33*1000</f>
        <v>14237000.000000009</v>
      </c>
      <c r="G32" s="1190">
        <f>'IMF Data'!G33*1000</f>
        <v>15713999.999999998</v>
      </c>
      <c r="H32" s="1190">
        <f>'IMF Data'!H33*1000</f>
        <v>18583043.709737126</v>
      </c>
      <c r="I32" s="1190">
        <f>'IMF Data'!I33*1000</f>
        <v>24128683.349162094</v>
      </c>
      <c r="J32" s="1190">
        <f>'IMF Data'!J33*1000</f>
        <v>28492414.425282907</v>
      </c>
      <c r="K32" s="1190">
        <f>'IMF Data'!K33*1000</f>
        <v>33802824.528637528</v>
      </c>
      <c r="L32" s="1190">
        <f>'IMF Data'!L33*1000</f>
        <v>39971221.256430186</v>
      </c>
      <c r="M32" s="1190">
        <f>'IMF Data'!M33*1000</f>
        <v>47001847.592254892</v>
      </c>
      <c r="N32" s="1190">
        <f>'IMF Data'!N33*1000</f>
        <v>53362343.235523097</v>
      </c>
      <c r="O32" s="1190">
        <f>'IMF Data'!O33*1000</f>
        <v>60476713.848556258</v>
      </c>
      <c r="P32" s="1190">
        <f>'IMF Data'!P33*1000</f>
        <v>68539183.365272149</v>
      </c>
      <c r="Q32" s="1190">
        <f>'IMF Data'!Q33*1000</f>
        <v>77701384.056712762</v>
      </c>
      <c r="R32" s="1191">
        <f>'IMF Data'!R33*1000</f>
        <v>88117941.847505972</v>
      </c>
      <c r="S32" s="93"/>
      <c r="T32" s="94"/>
      <c r="U32" s="96"/>
      <c r="V32" s="94"/>
      <c r="W32" s="94"/>
      <c r="X32" s="94"/>
      <c r="Y32" s="94"/>
    </row>
    <row r="33" spans="2:31" s="60" customFormat="1">
      <c r="B33" s="1183" t="s">
        <v>866</v>
      </c>
      <c r="C33" s="1189">
        <f>'IMF Data'!C34*1000</f>
        <v>15459000</v>
      </c>
      <c r="D33" s="1190">
        <f>'IMF Data'!D34*1000</f>
        <v>17409000</v>
      </c>
      <c r="E33" s="1190">
        <f>'IMF Data'!E34*1000</f>
        <v>31165000</v>
      </c>
      <c r="F33" s="1190">
        <f>'IMF Data'!F34*1000</f>
        <v>32885000</v>
      </c>
      <c r="G33" s="1190">
        <f>'IMF Data'!G34*1000</f>
        <v>37643000</v>
      </c>
      <c r="H33" s="1190">
        <f>'IMF Data'!H34*1000</f>
        <v>48261595.553696342</v>
      </c>
      <c r="I33" s="1190">
        <f>'IMF Data'!I34*1000</f>
        <v>50131239.003879681</v>
      </c>
      <c r="J33" s="1190">
        <f>'IMF Data'!J34*1000</f>
        <v>56933957.511716485</v>
      </c>
      <c r="K33" s="1190">
        <f>'IMF Data'!K34*1000</f>
        <v>63608981.002733096</v>
      </c>
      <c r="L33" s="1190">
        <f>'IMF Data'!L34*1000</f>
        <v>70844101.721875474</v>
      </c>
      <c r="M33" s="1190">
        <f>'IMF Data'!M34*1000</f>
        <v>78483281.183690846</v>
      </c>
      <c r="N33" s="1190">
        <f>'IMF Data'!N34*1000</f>
        <v>89103982.147806108</v>
      </c>
      <c r="O33" s="1190">
        <f>'IMF Data'!O34*1000</f>
        <v>100983497.05776206</v>
      </c>
      <c r="P33" s="1190">
        <f>'IMF Data'!P34*1000</f>
        <v>114446139.36928727</v>
      </c>
      <c r="Q33" s="1190">
        <f>'IMF Data'!Q34*1000</f>
        <v>129745103.34546578</v>
      </c>
      <c r="R33" s="1191">
        <f>'IMF Data'!R34*1000</f>
        <v>147138582.02641243</v>
      </c>
      <c r="S33" s="93"/>
      <c r="T33" s="94"/>
      <c r="U33" s="96"/>
      <c r="V33" s="94"/>
      <c r="W33" s="94"/>
      <c r="X33" s="94"/>
      <c r="Y33" s="94"/>
    </row>
    <row r="34" spans="2:31" s="60" customFormat="1">
      <c r="B34" s="1183" t="s">
        <v>867</v>
      </c>
      <c r="C34" s="1189">
        <f>'IMF Data'!C35*1000</f>
        <v>17316000</v>
      </c>
      <c r="D34" s="1190">
        <f>'IMF Data'!D35*1000</f>
        <v>17835000</v>
      </c>
      <c r="E34" s="1190">
        <f>'IMF Data'!E35*1000</f>
        <v>22139700</v>
      </c>
      <c r="F34" s="1190">
        <f>'IMF Data'!F35*1000</f>
        <v>25231000</v>
      </c>
      <c r="G34" s="1190">
        <f>'IMF Data'!G35*1000</f>
        <v>28144000</v>
      </c>
      <c r="H34" s="1190">
        <f>'IMF Data'!H35*1000</f>
        <v>36183438.35306409</v>
      </c>
      <c r="I34" s="1190">
        <f>'IMF Data'!I35*1000</f>
        <v>46981470.858164422</v>
      </c>
      <c r="J34" s="1190">
        <f>'IMF Data'!J35*1000</f>
        <v>51457970.911267914</v>
      </c>
      <c r="K34" s="1190">
        <f>'IMF Data'!K35*1000</f>
        <v>55955603.653035633</v>
      </c>
      <c r="L34" s="1190">
        <f>'IMF Data'!L35*1000</f>
        <v>60720652.745086253</v>
      </c>
      <c r="M34" s="1190">
        <f>'IMF Data'!M35*1000</f>
        <v>65660908.635397658</v>
      </c>
      <c r="N34" s="1190">
        <f>'IMF Data'!N35*1000</f>
        <v>74546430.050034523</v>
      </c>
      <c r="O34" s="1190">
        <f>'IMF Data'!O35*1000</f>
        <v>84485104.011815235</v>
      </c>
      <c r="P34" s="1190">
        <f>'IMF Data'!P35*1000</f>
        <v>95748258.577679485</v>
      </c>
      <c r="Q34" s="1190">
        <f>'IMF Data'!Q35*1000</f>
        <v>108547721.8608844</v>
      </c>
      <c r="R34" s="1191">
        <f>'IMF Data'!R35*1000</f>
        <v>123099504.06591664</v>
      </c>
      <c r="S34" s="93"/>
      <c r="T34" s="94"/>
      <c r="U34" s="96"/>
      <c r="V34" s="94"/>
      <c r="W34" s="94"/>
      <c r="X34" s="94"/>
      <c r="Y34" s="94"/>
    </row>
    <row r="35" spans="2:31" s="60" customFormat="1" ht="7.5" customHeight="1">
      <c r="B35" s="257"/>
      <c r="C35" s="1189"/>
      <c r="D35" s="1190"/>
      <c r="E35" s="1190"/>
      <c r="F35" s="1190"/>
      <c r="G35" s="1190"/>
      <c r="H35" s="1190"/>
      <c r="I35" s="1190"/>
      <c r="J35" s="1190"/>
      <c r="K35" s="1190"/>
      <c r="L35" s="1190"/>
      <c r="M35" s="1190"/>
      <c r="N35" s="1190"/>
      <c r="O35" s="1190"/>
      <c r="P35" s="1190"/>
      <c r="Q35" s="1190"/>
      <c r="R35" s="1191"/>
      <c r="S35" s="232"/>
      <c r="T35" s="231"/>
      <c r="U35" s="96">
        <f>((D35+E35)/2)/(($D$38+$E$38)/2)</f>
        <v>0</v>
      </c>
      <c r="V35" s="94">
        <v>0</v>
      </c>
      <c r="W35" s="94">
        <v>0</v>
      </c>
      <c r="X35" s="94">
        <v>0</v>
      </c>
    </row>
    <row r="36" spans="2:31" s="60" customFormat="1">
      <c r="B36" s="256" t="s">
        <v>34</v>
      </c>
      <c r="C36" s="1186">
        <f>'IMF Data'!C36*1000</f>
        <v>3789000</v>
      </c>
      <c r="D36" s="1187">
        <f>'IMF Data'!D36*1000</f>
        <v>7897000</v>
      </c>
      <c r="E36" s="1187">
        <f>'IMF Data'!E36*1000</f>
        <v>6012000</v>
      </c>
      <c r="F36" s="1187">
        <f>'IMF Data'!F36*1000</f>
        <v>9400000</v>
      </c>
      <c r="G36" s="1187">
        <f>'IMF Data'!G36*1000</f>
        <v>6520000</v>
      </c>
      <c r="H36" s="1187">
        <f>'IMF Data'!H36*1000</f>
        <v>5500000</v>
      </c>
      <c r="I36" s="1187">
        <f>'IMF Data'!I36*1000</f>
        <v>5000000</v>
      </c>
      <c r="J36" s="1187">
        <f>'IMF Data'!J36*1000</f>
        <v>5605284.7559661232</v>
      </c>
      <c r="K36" s="1187">
        <f>'IMF Data'!K36*1000</f>
        <v>6179273.4782614075</v>
      </c>
      <c r="L36" s="1187">
        <f>'IMF Data'!L36*1000</f>
        <v>6652101.663401613</v>
      </c>
      <c r="M36" s="1187">
        <f>'IMF Data'!M36*1000</f>
        <v>6976650.4950225707</v>
      </c>
      <c r="N36" s="1187">
        <f>'IMF Data'!N36*1000</f>
        <v>7128685.2257680474</v>
      </c>
      <c r="O36" s="1187">
        <f>'IMF Data'!O36*1000</f>
        <v>7271185.7714184746</v>
      </c>
      <c r="P36" s="1187">
        <f>'IMF Data'!P36*1000</f>
        <v>7416491.2879752191</v>
      </c>
      <c r="Q36" s="1187">
        <f>'IMF Data'!Q36*1000</f>
        <v>7567123.631516655</v>
      </c>
      <c r="R36" s="1188">
        <f>'IMF Data'!R36*1000</f>
        <v>7723407.1360346666</v>
      </c>
      <c r="S36" s="99"/>
      <c r="T36" s="239"/>
      <c r="U36" s="96">
        <f>((D36+E36)/2)/(($D$38+$E$38)/2)</f>
        <v>2.2899898680008284E-2</v>
      </c>
      <c r="V36" s="94">
        <v>1.0599078341013824E-2</v>
      </c>
      <c r="W36" s="94">
        <v>1.362088535754824E-2</v>
      </c>
      <c r="X36" s="94">
        <v>1.0416666666666666E-2</v>
      </c>
    </row>
    <row r="37" spans="2:31" s="60" customFormat="1">
      <c r="B37" s="1026" t="s">
        <v>63</v>
      </c>
      <c r="C37" s="1027">
        <f>'IMF Data'!C20*1000</f>
        <v>228289000</v>
      </c>
      <c r="D37" s="1027">
        <f>'IMF Data'!D20*1000</f>
        <v>279472000</v>
      </c>
      <c r="E37" s="1027">
        <f>'IMF Data'!E20*1000</f>
        <v>327910600.00000006</v>
      </c>
      <c r="F37" s="1027">
        <f>'IMF Data'!F20*1000</f>
        <v>430535000</v>
      </c>
      <c r="G37" s="1027">
        <f>'IMF Data'!G20*1000</f>
        <v>442341000</v>
      </c>
      <c r="H37" s="1027">
        <f>'IMF Data'!H20*1000</f>
        <v>557986681.45034456</v>
      </c>
      <c r="I37" s="1027">
        <f>'IMF Data'!I20*1000</f>
        <v>669005206.87984276</v>
      </c>
      <c r="J37" s="1027">
        <f>'IMF Data'!J20*1000</f>
        <v>773892538.6329248</v>
      </c>
      <c r="K37" s="1027">
        <f>'IMF Data'!K20*1000</f>
        <v>889647518.68079507</v>
      </c>
      <c r="L37" s="1027">
        <f>'IMF Data'!L20*1000</f>
        <v>1023344157.7558945</v>
      </c>
      <c r="M37" s="1027">
        <f>'IMF Data'!M20*1000</f>
        <v>1175398833.2093289</v>
      </c>
      <c r="N37" s="1027">
        <f>'IMF Data'!N20*1000</f>
        <v>1332120728.0891364</v>
      </c>
      <c r="O37" s="1027">
        <f>'IMF Data'!O20*1000</f>
        <v>1500755611.4114082</v>
      </c>
      <c r="P37" s="1027">
        <f>'IMF Data'!P20*1000</f>
        <v>1693975948.071764</v>
      </c>
      <c r="Q37" s="1027">
        <f>'IMF Data'!Q20*1000</f>
        <v>1911250153.1182036</v>
      </c>
      <c r="R37" s="1027">
        <f>'IMF Data'!R20*1000</f>
        <v>2156631720.0761662</v>
      </c>
      <c r="S37" s="1028"/>
      <c r="T37" s="1029"/>
      <c r="U37" s="96">
        <f>((D37+E37)/2)/(($D$38+$E$38)/2)</f>
        <v>1</v>
      </c>
      <c r="V37" s="94">
        <v>1.0520226971899471</v>
      </c>
      <c r="W37" s="94">
        <v>1.0574044646235337</v>
      </c>
      <c r="X37" s="94">
        <v>1.1385784722222223</v>
      </c>
    </row>
    <row r="38" spans="2:31" s="60" customFormat="1">
      <c r="B38" s="95" t="s">
        <v>579</v>
      </c>
      <c r="C38" s="1198">
        <f>C36+C20</f>
        <v>228289000</v>
      </c>
      <c r="D38" s="1198">
        <f t="shared" ref="D38:R38" si="4">D36+D20</f>
        <v>279472000</v>
      </c>
      <c r="E38" s="1198">
        <f t="shared" si="4"/>
        <v>327910600</v>
      </c>
      <c r="F38" s="1198">
        <f t="shared" si="4"/>
        <v>430535000</v>
      </c>
      <c r="G38" s="1198">
        <f t="shared" si="4"/>
        <v>442341000</v>
      </c>
      <c r="H38" s="1198">
        <f t="shared" si="4"/>
        <v>557986681.45034468</v>
      </c>
      <c r="I38" s="1198">
        <f t="shared" si="4"/>
        <v>669005206.87984264</v>
      </c>
      <c r="J38" s="1198">
        <f t="shared" si="4"/>
        <v>773892538.63292468</v>
      </c>
      <c r="K38" s="1198">
        <f t="shared" si="4"/>
        <v>889647518.68079495</v>
      </c>
      <c r="L38" s="1198">
        <f t="shared" si="4"/>
        <v>1023344157.7558947</v>
      </c>
      <c r="M38" s="1198">
        <f t="shared" si="4"/>
        <v>1175398833.2093291</v>
      </c>
      <c r="N38" s="1198">
        <f t="shared" si="4"/>
        <v>1332120728.0891364</v>
      </c>
      <c r="O38" s="1198">
        <f t="shared" si="4"/>
        <v>1500755611.4114087</v>
      </c>
      <c r="P38" s="1198">
        <f t="shared" si="4"/>
        <v>1693975948.0717642</v>
      </c>
      <c r="Q38" s="1198">
        <f t="shared" si="4"/>
        <v>1911250153.1182036</v>
      </c>
      <c r="R38" s="1198">
        <f t="shared" si="4"/>
        <v>2156631720.0761662</v>
      </c>
      <c r="S38" s="1028"/>
      <c r="T38" s="1029"/>
      <c r="U38" s="96">
        <f>((D38+E38)/2)/(($D$38+$E$38)/2)</f>
        <v>1</v>
      </c>
      <c r="V38" s="94">
        <v>1</v>
      </c>
      <c r="W38" s="94">
        <v>1</v>
      </c>
      <c r="X38" s="94">
        <v>1</v>
      </c>
    </row>
    <row r="39" spans="2:31" s="60" customFormat="1">
      <c r="B39" s="307" t="s">
        <v>208</v>
      </c>
      <c r="C39" s="1199">
        <f>C37/ECO!B$64*100</f>
        <v>27.202804216129017</v>
      </c>
      <c r="D39" s="1199">
        <f>D37/ECO!C$64*100</f>
        <v>28.685419264779089</v>
      </c>
      <c r="E39" s="1199">
        <f>E37/ECO!D$64*100</f>
        <v>28.670647506433188</v>
      </c>
      <c r="F39" s="1199">
        <f>F38/ECO!E$64*100</f>
        <v>28.991514021863413</v>
      </c>
      <c r="G39" s="1199">
        <f>G38/ECO!F$64*100</f>
        <v>26.672933792976195</v>
      </c>
      <c r="H39" s="1199">
        <f>H38/ECO!G$64*100</f>
        <v>28.168148345810977</v>
      </c>
      <c r="I39" s="1199">
        <f>I38/ECO!H$64*100</f>
        <v>27.785370193542814</v>
      </c>
      <c r="J39" s="1199">
        <f>J38/ECO!I$64*100</f>
        <v>28.097375064699342</v>
      </c>
      <c r="K39" s="1199">
        <f>K38/ECO!J$64*100</f>
        <v>28.127721801650978</v>
      </c>
      <c r="L39" s="1199">
        <f>L38/ECO!K$64*100</f>
        <v>28.251706955473736</v>
      </c>
      <c r="M39" s="1199">
        <f>M38/ECO!L$64*100</f>
        <v>28.464789194191752</v>
      </c>
      <c r="N39" s="1199">
        <f>N38/ECO!M$64*100</f>
        <v>28.414913649480795</v>
      </c>
      <c r="O39" s="1199">
        <f>O38/ECO!N$64*100</f>
        <v>28.246161487449008</v>
      </c>
      <c r="P39" s="1199">
        <f>P38/ECO!O$64*100</f>
        <v>28.132346678303104</v>
      </c>
      <c r="Q39" s="1199">
        <f>Q38/ECO!P$64*100</f>
        <v>27.997962335889039</v>
      </c>
      <c r="R39" s="1199">
        <f>R38/ECO!Q$64*100</f>
        <v>27.857958701276576</v>
      </c>
      <c r="S39" s="1028"/>
      <c r="T39" s="233"/>
      <c r="U39" s="231" t="s">
        <v>51</v>
      </c>
      <c r="V39" s="94">
        <f>C39/C$38</f>
        <v>1.1915950490881741E-7</v>
      </c>
      <c r="W39" s="94">
        <f>D39/D$38</f>
        <v>1.0264147844785555E-7</v>
      </c>
      <c r="X39" s="94">
        <f>E39/E$38</f>
        <v>8.7434341879869655E-8</v>
      </c>
    </row>
    <row r="40" spans="2:31" s="60" customFormat="1">
      <c r="B40" s="299"/>
      <c r="C40" s="1025"/>
      <c r="D40" s="1025"/>
      <c r="E40" s="1025"/>
      <c r="F40" s="1025"/>
      <c r="G40" s="1025"/>
      <c r="H40" s="1025"/>
      <c r="I40" s="1025"/>
      <c r="J40" s="1025"/>
      <c r="K40" s="1025"/>
      <c r="L40" s="1025"/>
      <c r="M40" s="1025"/>
      <c r="N40" s="1025"/>
      <c r="O40" s="1025"/>
      <c r="P40" s="1025"/>
      <c r="Q40" s="1025"/>
      <c r="R40" s="1025"/>
      <c r="S40" s="71"/>
      <c r="T40" s="56"/>
      <c r="U40" s="56"/>
      <c r="V40" s="56"/>
      <c r="W40" s="56"/>
      <c r="X40" s="56"/>
    </row>
    <row r="41" spans="2:31" s="60" customFormat="1" ht="21">
      <c r="B41" s="1033" t="s">
        <v>1068</v>
      </c>
      <c r="C41" s="1025"/>
      <c r="D41" s="1025"/>
      <c r="E41" s="1025"/>
      <c r="F41" s="1025"/>
      <c r="G41" s="1025"/>
      <c r="H41" s="1025"/>
      <c r="I41" s="1025"/>
      <c r="J41" s="1025"/>
      <c r="K41" s="1025"/>
      <c r="L41" s="1025"/>
      <c r="M41" s="1025"/>
      <c r="N41" s="1025"/>
      <c r="O41" s="1025"/>
      <c r="P41" s="1025"/>
      <c r="Q41" s="1025"/>
      <c r="R41" s="1025"/>
      <c r="S41" s="71"/>
      <c r="T41" s="56"/>
      <c r="U41" s="56"/>
      <c r="V41" s="56"/>
      <c r="W41" s="56"/>
      <c r="X41" s="56"/>
    </row>
    <row r="42" spans="2:31" s="60" customFormat="1">
      <c r="B42" s="299"/>
      <c r="C42" s="1025"/>
      <c r="D42" s="1025"/>
      <c r="E42" s="1025"/>
      <c r="F42" s="1025"/>
      <c r="G42" s="1025"/>
      <c r="H42" s="1025"/>
      <c r="I42" s="1025"/>
      <c r="J42" s="1025"/>
      <c r="K42" s="1025"/>
      <c r="L42" s="1025"/>
      <c r="M42" s="1025"/>
      <c r="N42" s="1025"/>
      <c r="O42" s="1025"/>
      <c r="P42" s="1025"/>
      <c r="Q42" s="1025"/>
      <c r="R42" s="1025"/>
      <c r="S42" s="71"/>
      <c r="T42" s="56"/>
      <c r="U42" s="56"/>
      <c r="V42" s="56"/>
      <c r="W42" s="56"/>
      <c r="X42" s="56"/>
    </row>
    <row r="43" spans="2:31" s="60" customFormat="1">
      <c r="B43" s="644"/>
      <c r="C43" s="1517" t="s">
        <v>730</v>
      </c>
      <c r="D43" s="1518"/>
      <c r="E43" s="1518"/>
      <c r="F43" s="1518"/>
      <c r="G43" s="1518"/>
      <c r="H43" s="1518"/>
      <c r="I43" s="1517" t="s">
        <v>734</v>
      </c>
      <c r="J43" s="1518"/>
      <c r="K43" s="1518"/>
      <c r="L43" s="1518"/>
      <c r="M43" s="1518"/>
      <c r="N43" s="1518"/>
      <c r="O43" s="1518"/>
      <c r="P43" s="1518"/>
      <c r="Q43" s="1518"/>
      <c r="R43" s="1519"/>
      <c r="S43" s="1520" t="s">
        <v>744</v>
      </c>
      <c r="T43" s="645"/>
      <c r="U43" s="56"/>
      <c r="V43" s="56"/>
      <c r="W43" s="56"/>
      <c r="X43" s="56"/>
    </row>
    <row r="44" spans="2:31" s="60" customFormat="1">
      <c r="B44" s="1018" t="s">
        <v>764</v>
      </c>
      <c r="C44" s="646">
        <v>2005</v>
      </c>
      <c r="D44" s="647">
        <v>2006</v>
      </c>
      <c r="E44" s="647">
        <v>2007</v>
      </c>
      <c r="F44" s="647">
        <v>2008</v>
      </c>
      <c r="G44" s="647">
        <v>2009</v>
      </c>
      <c r="H44" s="647">
        <v>2010</v>
      </c>
      <c r="I44" s="646">
        <v>2011</v>
      </c>
      <c r="J44" s="647">
        <v>2012</v>
      </c>
      <c r="K44" s="647">
        <v>2013</v>
      </c>
      <c r="L44" s="647">
        <v>2014</v>
      </c>
      <c r="M44" s="647">
        <v>2015</v>
      </c>
      <c r="N44" s="647">
        <v>2016</v>
      </c>
      <c r="O44" s="647">
        <v>2017</v>
      </c>
      <c r="P44" s="647">
        <v>2018</v>
      </c>
      <c r="Q44" s="647">
        <v>2019</v>
      </c>
      <c r="R44" s="648">
        <v>2020</v>
      </c>
      <c r="S44" s="1521"/>
      <c r="T44" s="649"/>
      <c r="U44" s="56"/>
      <c r="V44" s="56"/>
      <c r="W44" s="56"/>
      <c r="X44" s="56"/>
    </row>
    <row r="45" spans="2:31" s="60" customFormat="1">
      <c r="B45" s="1019"/>
      <c r="C45" s="97"/>
      <c r="D45" s="97"/>
      <c r="E45" s="97"/>
      <c r="F45" s="97"/>
      <c r="G45" s="97"/>
      <c r="H45" s="97"/>
      <c r="I45" s="97"/>
      <c r="J45" s="97"/>
      <c r="K45" s="97"/>
      <c r="L45" s="97"/>
      <c r="M45" s="97"/>
      <c r="N45" s="233"/>
      <c r="O45" s="233"/>
      <c r="P45" s="233"/>
      <c r="Q45" s="233"/>
      <c r="R45" s="233"/>
      <c r="S45" s="232"/>
      <c r="T45" s="231"/>
      <c r="U45" s="96"/>
      <c r="V45" s="231"/>
      <c r="W45" s="231"/>
      <c r="X45" s="231"/>
      <c r="Z45" s="60" t="s">
        <v>66</v>
      </c>
    </row>
    <row r="46" spans="2:31" s="60" customFormat="1">
      <c r="B46" s="1019"/>
      <c r="C46" s="97">
        <f>C48+C49+C50+C60+C61+C62+C63+C66</f>
        <v>149893000</v>
      </c>
      <c r="D46" s="97">
        <f t="shared" ref="D46:R46" si="5">D48+D49+D50+D60+D61+D62+D63+D66</f>
        <v>180070000</v>
      </c>
      <c r="E46" s="97">
        <f t="shared" si="5"/>
        <v>232010678.92699999</v>
      </c>
      <c r="F46" s="97">
        <f t="shared" si="5"/>
        <v>292374000</v>
      </c>
      <c r="G46" s="97">
        <f t="shared" si="5"/>
        <v>347153429.31816053</v>
      </c>
      <c r="H46" s="97">
        <f t="shared" si="5"/>
        <v>417147775.45656449</v>
      </c>
      <c r="I46" s="97">
        <f>I48+I49+I50+I60+I61+I62+I63+I66</f>
        <v>525625344.51346183</v>
      </c>
      <c r="J46" s="97">
        <f>J48+J49+J50+J60+J61+J62+J63+J66</f>
        <v>606953066.87312758</v>
      </c>
      <c r="K46" s="97">
        <f t="shared" si="5"/>
        <v>693560250.76813376</v>
      </c>
      <c r="L46" s="97">
        <f t="shared" si="5"/>
        <v>792908010.05808079</v>
      </c>
      <c r="M46" s="97">
        <f t="shared" si="5"/>
        <v>900558504.54025507</v>
      </c>
      <c r="N46" s="97">
        <f t="shared" si="5"/>
        <v>1019980181.9109972</v>
      </c>
      <c r="O46" s="97">
        <f t="shared" si="5"/>
        <v>1156915793.2135243</v>
      </c>
      <c r="P46" s="97">
        <f t="shared" si="5"/>
        <v>1313381981.2147646</v>
      </c>
      <c r="Q46" s="97">
        <f t="shared" si="5"/>
        <v>1491728554.4555199</v>
      </c>
      <c r="R46" s="97">
        <f t="shared" si="5"/>
        <v>1693823269.9556642</v>
      </c>
      <c r="S46" s="232"/>
      <c r="T46" s="231"/>
      <c r="U46" s="96"/>
      <c r="V46" s="231">
        <v>2005</v>
      </c>
      <c r="W46" s="231">
        <v>2006</v>
      </c>
      <c r="X46" s="231">
        <v>2007</v>
      </c>
      <c r="Y46" s="60">
        <v>2008</v>
      </c>
      <c r="Z46" s="231">
        <v>2009</v>
      </c>
      <c r="AA46" s="231">
        <v>2010</v>
      </c>
      <c r="AB46" s="231">
        <v>2011</v>
      </c>
      <c r="AD46" s="60" t="s">
        <v>1013</v>
      </c>
      <c r="AE46" s="1259" t="s">
        <v>1014</v>
      </c>
    </row>
    <row r="47" spans="2:31" s="60" customFormat="1">
      <c r="B47" s="301" t="s">
        <v>209</v>
      </c>
      <c r="C47" s="1279">
        <f>'IMF Data'!C39*1000</f>
        <v>149893000</v>
      </c>
      <c r="D47" s="1279">
        <f>'IMF Data'!D39*1000</f>
        <v>180069000</v>
      </c>
      <c r="E47" s="1279">
        <f>'IMF Data'!E39*1000</f>
        <v>231818678.92699999</v>
      </c>
      <c r="F47" s="1279">
        <f>'IMF Data'!F39*1000</f>
        <v>292370000</v>
      </c>
      <c r="G47" s="1420">
        <f>'IMF Data'!G39*1000</f>
        <v>347081000</v>
      </c>
      <c r="H47" s="1420">
        <f>'IMF Data'!H39*1000</f>
        <v>417059999.99999994</v>
      </c>
      <c r="I47" s="1420">
        <f>'IMF Data'!I39*1000</f>
        <v>525515590.32497692</v>
      </c>
      <c r="J47" s="1420">
        <f>'IMF Data'!J39*1000</f>
        <v>606827515.14259338</v>
      </c>
      <c r="K47" s="1420">
        <f>'IMF Data'!K39*1000</f>
        <v>693416075.35443616</v>
      </c>
      <c r="L47" s="1420">
        <f>'IMF Data'!L39*1000</f>
        <v>792742895.70999634</v>
      </c>
      <c r="M47" s="1420">
        <f>'IMF Data'!M39*1000</f>
        <v>900370276.17264462</v>
      </c>
      <c r="N47" s="1420">
        <f>'IMF Data'!N39*1000</f>
        <v>1019766481.6572067</v>
      </c>
      <c r="O47" s="1420">
        <f>'IMF Data'!O39*1000</f>
        <v>1156673602.0293624</v>
      </c>
      <c r="P47" s="1420">
        <f>'IMF Data'!P39*1000</f>
        <v>1313107502.2471693</v>
      </c>
      <c r="Q47" s="1420">
        <f>'IMF Data'!Q39*1000</f>
        <v>1491417383.6094513</v>
      </c>
      <c r="R47" s="1420">
        <f>'IMF Data'!R39*1000</f>
        <v>1693470383.9054167</v>
      </c>
      <c r="S47" s="93"/>
      <c r="T47" s="94"/>
      <c r="U47" s="953">
        <v>0.60897823458282951</v>
      </c>
      <c r="V47" s="1260">
        <f>(C47-C$66)/(C$47-C$66)</f>
        <v>1</v>
      </c>
      <c r="W47" s="1260">
        <f t="shared" ref="W47:AB47" si="6">D47/D$47</f>
        <v>1</v>
      </c>
      <c r="X47" s="1260">
        <f t="shared" si="6"/>
        <v>1</v>
      </c>
      <c r="Y47" s="1260">
        <f t="shared" si="6"/>
        <v>1</v>
      </c>
      <c r="Z47" s="1260">
        <f t="shared" si="6"/>
        <v>1</v>
      </c>
      <c r="AA47" s="1260">
        <f t="shared" si="6"/>
        <v>1</v>
      </c>
      <c r="AB47" s="1260">
        <f t="shared" si="6"/>
        <v>1</v>
      </c>
      <c r="AC47" s="1261"/>
      <c r="AD47" s="1264">
        <f>AVERAGE(V47:Y47)</f>
        <v>1</v>
      </c>
      <c r="AE47" s="1262">
        <f>AVERAGE(V47:AB47)</f>
        <v>1</v>
      </c>
    </row>
    <row r="48" spans="2:31" s="60" customFormat="1">
      <c r="B48" s="257" t="s">
        <v>1000</v>
      </c>
      <c r="C48" s="1280">
        <v>18761000</v>
      </c>
      <c r="D48" s="1280">
        <v>18515000</v>
      </c>
      <c r="E48" s="1280">
        <v>32070999.999999996</v>
      </c>
      <c r="F48" s="1280">
        <v>38025000</v>
      </c>
      <c r="G48" s="1412">
        <f>(G$47-G$66)*$AD48</f>
        <v>42243631.13548658</v>
      </c>
      <c r="H48" s="1412">
        <f t="shared" ref="H48:R49" si="7">(H$47-H$66)*$AD48</f>
        <v>51194103.493328862</v>
      </c>
      <c r="I48" s="1412">
        <f t="shared" si="7"/>
        <v>64012965.628914535</v>
      </c>
      <c r="J48" s="1412">
        <f t="shared" si="7"/>
        <v>73226714.372232258</v>
      </c>
      <c r="K48" s="1412">
        <f t="shared" si="7"/>
        <v>84088779.926787987</v>
      </c>
      <c r="L48" s="1412">
        <f t="shared" si="7"/>
        <v>96301191.186173081</v>
      </c>
      <c r="M48" s="1412">
        <f t="shared" si="7"/>
        <v>109782197.76908365</v>
      </c>
      <c r="N48" s="1412">
        <f t="shared" si="7"/>
        <v>124638405.05429955</v>
      </c>
      <c r="O48" s="1412">
        <f t="shared" si="7"/>
        <v>141255437.82326809</v>
      </c>
      <c r="P48" s="1412">
        <f t="shared" si="7"/>
        <v>160086944.84549767</v>
      </c>
      <c r="Q48" s="1412">
        <f t="shared" si="7"/>
        <v>181487093.5595136</v>
      </c>
      <c r="R48" s="1412">
        <f t="shared" si="7"/>
        <v>205817043.67939752</v>
      </c>
      <c r="S48" s="93"/>
      <c r="T48" s="94"/>
      <c r="U48" s="953"/>
      <c r="V48" s="1260">
        <f>(C48)/(C$47-C$66)</f>
        <v>0.13094673069406443</v>
      </c>
      <c r="W48" s="1260">
        <f t="shared" ref="W48:AB63" si="8">(D48)/(D$47-D$66)</f>
        <v>0.10758030028354948</v>
      </c>
      <c r="X48" s="1260">
        <f t="shared" si="8"/>
        <v>0.14633689232395214</v>
      </c>
      <c r="Y48" s="1260">
        <f t="shared" si="8"/>
        <v>0.1379516760992599</v>
      </c>
      <c r="Z48" s="1260">
        <f t="shared" si="8"/>
        <v>0.13070389985020647</v>
      </c>
      <c r="AA48" s="1260">
        <f t="shared" si="8"/>
        <v>0.13070389985020647</v>
      </c>
      <c r="AB48" s="1260">
        <f t="shared" si="8"/>
        <v>0.13070389985020647</v>
      </c>
      <c r="AC48" s="1261"/>
      <c r="AD48" s="1264">
        <f t="shared" ref="AD48:AD65" si="9">AVERAGE(V48:Y48)</f>
        <v>0.13070389985020647</v>
      </c>
      <c r="AE48" s="1262">
        <f t="shared" ref="AE48:AE65" si="10">AVERAGE(V48:AB48)</f>
        <v>0.13070389985020647</v>
      </c>
    </row>
    <row r="49" spans="2:31" s="60" customFormat="1">
      <c r="B49" s="257" t="s">
        <v>1001</v>
      </c>
      <c r="C49" s="1280">
        <v>11801000</v>
      </c>
      <c r="D49" s="1280">
        <v>14212000</v>
      </c>
      <c r="E49" s="1280">
        <v>15936000</v>
      </c>
      <c r="F49" s="1280">
        <v>21193000</v>
      </c>
      <c r="G49" s="1412">
        <f>(G$47-G$66)*$AD49</f>
        <v>25415454.895158514</v>
      </c>
      <c r="H49" s="1412">
        <f t="shared" si="7"/>
        <v>30800416.37660677</v>
      </c>
      <c r="I49" s="1412">
        <f t="shared" si="7"/>
        <v>38512755.577972166</v>
      </c>
      <c r="J49" s="1412">
        <f t="shared" si="7"/>
        <v>44056114.64315442</v>
      </c>
      <c r="K49" s="1412">
        <f t="shared" si="7"/>
        <v>50591166.904278815</v>
      </c>
      <c r="L49" s="1412">
        <f t="shared" si="7"/>
        <v>57938641.048453204</v>
      </c>
      <c r="M49" s="1412">
        <f t="shared" si="7"/>
        <v>66049352.782735839</v>
      </c>
      <c r="N49" s="1412">
        <f t="shared" si="7"/>
        <v>74987440.158784062</v>
      </c>
      <c r="O49" s="1412">
        <f t="shared" si="7"/>
        <v>84984910.439607397</v>
      </c>
      <c r="P49" s="1412">
        <f t="shared" si="7"/>
        <v>96314696.835012257</v>
      </c>
      <c r="Q49" s="1412">
        <f t="shared" si="7"/>
        <v>109189880.61470065</v>
      </c>
      <c r="R49" s="1412">
        <f t="shared" si="7"/>
        <v>123827749.88048729</v>
      </c>
      <c r="S49" s="93"/>
      <c r="T49" s="94"/>
      <c r="U49" s="953"/>
      <c r="V49" s="1260">
        <f t="shared" ref="V49:AB65" si="11">(C49)/(C$47-C$66)</f>
        <v>8.2367803897481717E-2</v>
      </c>
      <c r="W49" s="1260">
        <f t="shared" si="8"/>
        <v>8.2577976107469905E-2</v>
      </c>
      <c r="X49" s="1260">
        <f t="shared" si="8"/>
        <v>7.2714437219746866E-2</v>
      </c>
      <c r="Y49" s="1260">
        <f t="shared" si="8"/>
        <v>7.688651864751124E-2</v>
      </c>
      <c r="Z49" s="1260">
        <f t="shared" si="8"/>
        <v>7.8636683968052429E-2</v>
      </c>
      <c r="AA49" s="1260">
        <f t="shared" si="8"/>
        <v>7.8636683968052429E-2</v>
      </c>
      <c r="AB49" s="1260">
        <f t="shared" si="8"/>
        <v>7.8636683968052429E-2</v>
      </c>
      <c r="AC49" s="1261"/>
      <c r="AD49" s="1264">
        <f t="shared" si="9"/>
        <v>7.8636683968052429E-2</v>
      </c>
      <c r="AE49" s="1262">
        <f t="shared" si="10"/>
        <v>7.8636683968052443E-2</v>
      </c>
    </row>
    <row r="50" spans="2:31" s="1197" customFormat="1">
      <c r="B50" s="717" t="s">
        <v>1002</v>
      </c>
      <c r="C50" s="1281">
        <f>SUM(C51:C59)</f>
        <v>61475000</v>
      </c>
      <c r="D50" s="1281">
        <f t="shared" ref="D50:R50" si="12">SUM(D51:D59)</f>
        <v>78060000</v>
      </c>
      <c r="E50" s="1281">
        <f t="shared" si="12"/>
        <v>92028600</v>
      </c>
      <c r="F50" s="1281">
        <f t="shared" si="12"/>
        <v>114020000</v>
      </c>
      <c r="G50" s="1422">
        <f t="shared" si="12"/>
        <v>138670606.79331863</v>
      </c>
      <c r="H50" s="1422">
        <f t="shared" si="12"/>
        <v>168051779.75565368</v>
      </c>
      <c r="I50" s="1422">
        <f t="shared" si="12"/>
        <v>210131481.30972525</v>
      </c>
      <c r="J50" s="1422">
        <f t="shared" si="12"/>
        <v>240376895.70081288</v>
      </c>
      <c r="K50" s="1422">
        <f t="shared" si="12"/>
        <v>276033139.75445753</v>
      </c>
      <c r="L50" s="1422">
        <f t="shared" si="12"/>
        <v>316122081.78496087</v>
      </c>
      <c r="M50" s="1422">
        <f t="shared" si="12"/>
        <v>360375364.77195603</v>
      </c>
      <c r="N50" s="1422">
        <f t="shared" si="12"/>
        <v>409142935.72912246</v>
      </c>
      <c r="O50" s="1422">
        <f t="shared" si="12"/>
        <v>463690661.74696517</v>
      </c>
      <c r="P50" s="1422">
        <f t="shared" si="12"/>
        <v>525507708.13745737</v>
      </c>
      <c r="Q50" s="1422">
        <f t="shared" si="12"/>
        <v>595756678.87868118</v>
      </c>
      <c r="R50" s="1422">
        <f t="shared" si="12"/>
        <v>675623131.06776142</v>
      </c>
      <c r="S50" s="93"/>
      <c r="T50" s="94"/>
      <c r="U50" s="96"/>
      <c r="V50" s="1260">
        <f t="shared" si="11"/>
        <v>0.42907895471550617</v>
      </c>
      <c r="W50" s="1260">
        <f t="shared" si="8"/>
        <v>0.45356296192999579</v>
      </c>
      <c r="X50" s="1260">
        <f t="shared" si="8"/>
        <v>0.4199176617169425</v>
      </c>
      <c r="Y50" s="1260">
        <f t="shared" si="8"/>
        <v>0.41365549267160062</v>
      </c>
      <c r="Z50" s="1260">
        <f t="shared" si="8"/>
        <v>0.42905376775851134</v>
      </c>
      <c r="AA50" s="1260">
        <f t="shared" si="8"/>
        <v>0.42905376775851128</v>
      </c>
      <c r="AB50" s="1260">
        <f t="shared" si="8"/>
        <v>0.42905376775851128</v>
      </c>
      <c r="AC50" s="1263"/>
      <c r="AD50" s="1264">
        <f t="shared" si="9"/>
        <v>0.42905376775851123</v>
      </c>
      <c r="AE50" s="1262">
        <f t="shared" si="10"/>
        <v>0.42905376775851117</v>
      </c>
    </row>
    <row r="51" spans="2:31" s="60" customFormat="1">
      <c r="B51" s="942" t="s">
        <v>52</v>
      </c>
      <c r="C51" s="1280">
        <v>22031000</v>
      </c>
      <c r="D51" s="1280">
        <v>30127000</v>
      </c>
      <c r="E51" s="1280">
        <v>35241197</v>
      </c>
      <c r="F51" s="1280">
        <v>43414000</v>
      </c>
      <c r="G51" s="1412">
        <f>(G$47-G$66)*$AD51</f>
        <v>52287968.335907757</v>
      </c>
      <c r="H51" s="1412">
        <f t="shared" ref="H51:R51" si="13">(H$47-H$66)*$AD51</f>
        <v>63366609.131185688</v>
      </c>
      <c r="I51" s="1412">
        <f t="shared" si="13"/>
        <v>79233433.062540665</v>
      </c>
      <c r="J51" s="1412">
        <f t="shared" si="13"/>
        <v>90637949.899657428</v>
      </c>
      <c r="K51" s="1412">
        <f t="shared" si="13"/>
        <v>104082706.52954042</v>
      </c>
      <c r="L51" s="1412">
        <f t="shared" si="13"/>
        <v>119198882.76893073</v>
      </c>
      <c r="M51" s="1412">
        <f t="shared" si="13"/>
        <v>135885290.31478319</v>
      </c>
      <c r="N51" s="1412">
        <f t="shared" si="13"/>
        <v>154273882.28098145</v>
      </c>
      <c r="O51" s="1412">
        <f t="shared" si="13"/>
        <v>174841974.08336151</v>
      </c>
      <c r="P51" s="1412">
        <f t="shared" si="13"/>
        <v>198151079.30061173</v>
      </c>
      <c r="Q51" s="1412">
        <f t="shared" si="13"/>
        <v>224639576.3418189</v>
      </c>
      <c r="R51" s="1412">
        <f t="shared" si="13"/>
        <v>254754498.45641029</v>
      </c>
      <c r="S51" s="93"/>
      <c r="T51" s="94"/>
      <c r="U51" s="953"/>
      <c r="V51" s="1260">
        <f t="shared" si="11"/>
        <v>0.15377045061142441</v>
      </c>
      <c r="W51" s="1260">
        <f t="shared" si="8"/>
        <v>0.17505113187375076</v>
      </c>
      <c r="X51" s="1260">
        <f t="shared" si="8"/>
        <v>0.16080219671217566</v>
      </c>
      <c r="Y51" s="1260">
        <f t="shared" si="8"/>
        <v>0.15750253954433319</v>
      </c>
      <c r="Z51" s="1260">
        <f t="shared" si="8"/>
        <v>0.16178157968542101</v>
      </c>
      <c r="AA51" s="1260">
        <f t="shared" si="8"/>
        <v>0.16178157968542101</v>
      </c>
      <c r="AB51" s="1260">
        <f t="shared" si="8"/>
        <v>0.16178157968542101</v>
      </c>
      <c r="AC51" s="1261"/>
      <c r="AD51" s="1264">
        <f t="shared" si="9"/>
        <v>0.16178157968542101</v>
      </c>
      <c r="AE51" s="1262">
        <f t="shared" si="10"/>
        <v>0.16178157968542098</v>
      </c>
    </row>
    <row r="52" spans="2:31" s="60" customFormat="1">
      <c r="B52" s="942" t="s">
        <v>1003</v>
      </c>
      <c r="C52" s="1280">
        <v>6580000</v>
      </c>
      <c r="D52" s="1280">
        <v>7205000</v>
      </c>
      <c r="E52" s="1280">
        <v>8755803</v>
      </c>
      <c r="F52" s="1280">
        <v>10146000</v>
      </c>
      <c r="G52" s="1412">
        <f t="shared" ref="G52:R65" si="14">(G$47-G$66)*$AD52</f>
        <v>13295812.0238885</v>
      </c>
      <c r="H52" s="1412">
        <f t="shared" si="14"/>
        <v>16112894.618261229</v>
      </c>
      <c r="I52" s="1412">
        <f t="shared" si="14"/>
        <v>20147518.932829536</v>
      </c>
      <c r="J52" s="1412">
        <f t="shared" si="14"/>
        <v>23047465.458107807</v>
      </c>
      <c r="K52" s="1412">
        <f t="shared" si="14"/>
        <v>26466205.22840203</v>
      </c>
      <c r="L52" s="1412">
        <f t="shared" si="14"/>
        <v>30309954.45399363</v>
      </c>
      <c r="M52" s="1412">
        <f t="shared" si="14"/>
        <v>34552982.920090891</v>
      </c>
      <c r="N52" s="1412">
        <f t="shared" si="14"/>
        <v>39228843.733727798</v>
      </c>
      <c r="O52" s="1412">
        <f t="shared" si="14"/>
        <v>44458908.909289941</v>
      </c>
      <c r="P52" s="1412">
        <f t="shared" si="14"/>
        <v>50385960.414191708</v>
      </c>
      <c r="Q52" s="1412">
        <f t="shared" si="14"/>
        <v>57121469.340312287</v>
      </c>
      <c r="R52" s="1412">
        <f t="shared" si="14"/>
        <v>64779107.53687387</v>
      </c>
      <c r="S52" s="93"/>
      <c r="T52" s="94"/>
      <c r="U52" s="953"/>
      <c r="V52" s="1260">
        <f t="shared" si="11"/>
        <v>4.5926629069183093E-2</v>
      </c>
      <c r="W52" s="1260">
        <f t="shared" si="8"/>
        <v>4.1864221633430947E-2</v>
      </c>
      <c r="X52" s="1260">
        <f t="shared" si="8"/>
        <v>3.9951888024094578E-2</v>
      </c>
      <c r="Y52" s="1260">
        <f t="shared" si="8"/>
        <v>3.6808881149325207E-2</v>
      </c>
      <c r="Z52" s="1260">
        <f t="shared" si="8"/>
        <v>4.1137904969008453E-2</v>
      </c>
      <c r="AA52" s="1260">
        <f t="shared" si="8"/>
        <v>4.1137904969008453E-2</v>
      </c>
      <c r="AB52" s="1260">
        <f t="shared" si="8"/>
        <v>4.1137904969008453E-2</v>
      </c>
      <c r="AC52" s="1261"/>
      <c r="AD52" s="1264">
        <f t="shared" si="9"/>
        <v>4.1137904969008453E-2</v>
      </c>
      <c r="AE52" s="1262">
        <f t="shared" si="10"/>
        <v>4.1137904969008453E-2</v>
      </c>
    </row>
    <row r="53" spans="2:31" s="60" customFormat="1">
      <c r="B53" s="942" t="s">
        <v>53</v>
      </c>
      <c r="C53" s="1280">
        <v>7608000</v>
      </c>
      <c r="D53" s="1280">
        <v>11528000</v>
      </c>
      <c r="E53" s="1280">
        <v>12688000</v>
      </c>
      <c r="F53" s="1280">
        <v>14384000</v>
      </c>
      <c r="G53" s="1412">
        <f t="shared" si="14"/>
        <v>18597202.113034151</v>
      </c>
      <c r="H53" s="1412">
        <f t="shared" si="14"/>
        <v>22537529.659973871</v>
      </c>
      <c r="I53" s="1412">
        <f t="shared" si="14"/>
        <v>28180864.846525688</v>
      </c>
      <c r="J53" s="1412">
        <f t="shared" si="14"/>
        <v>32237096.353912659</v>
      </c>
      <c r="K53" s="1412">
        <f t="shared" si="14"/>
        <v>37018977.623428024</v>
      </c>
      <c r="L53" s="1412">
        <f t="shared" si="14"/>
        <v>42395330.800782852</v>
      </c>
      <c r="M53" s="1412">
        <f t="shared" si="14"/>
        <v>48330166.357542664</v>
      </c>
      <c r="N53" s="1412">
        <f t="shared" si="14"/>
        <v>54870415.907354668</v>
      </c>
      <c r="O53" s="1412">
        <f t="shared" si="14"/>
        <v>62185845.68024224</v>
      </c>
      <c r="P53" s="1412">
        <f t="shared" si="14"/>
        <v>70476168.570862085</v>
      </c>
      <c r="Q53" s="1412">
        <f t="shared" si="14"/>
        <v>79897302.128417909</v>
      </c>
      <c r="R53" s="1412">
        <f t="shared" si="14"/>
        <v>90608242.159314677</v>
      </c>
      <c r="S53" s="93"/>
      <c r="T53" s="94"/>
      <c r="U53" s="953"/>
      <c r="V53" s="1260">
        <f t="shared" si="11"/>
        <v>5.3101792394885251E-2</v>
      </c>
      <c r="W53" s="1260">
        <f t="shared" si="8"/>
        <v>6.6982754613489515E-2</v>
      </c>
      <c r="X53" s="1260">
        <f t="shared" si="8"/>
        <v>5.7894125216123755E-2</v>
      </c>
      <c r="Y53" s="1260">
        <f t="shared" si="8"/>
        <v>5.2184008126541864E-2</v>
      </c>
      <c r="Z53" s="1260">
        <f t="shared" si="8"/>
        <v>5.75406700877601E-2</v>
      </c>
      <c r="AA53" s="1260">
        <f t="shared" si="8"/>
        <v>5.7540670087760093E-2</v>
      </c>
      <c r="AB53" s="1260">
        <f t="shared" si="8"/>
        <v>5.75406700877601E-2</v>
      </c>
      <c r="AC53" s="1261"/>
      <c r="AD53" s="1264">
        <f t="shared" si="9"/>
        <v>5.7540670087760093E-2</v>
      </c>
      <c r="AE53" s="1262">
        <f t="shared" si="10"/>
        <v>5.7540670087760093E-2</v>
      </c>
    </row>
    <row r="54" spans="2:31" s="60" customFormat="1">
      <c r="B54" s="942" t="s">
        <v>1004</v>
      </c>
      <c r="C54" s="1280">
        <v>2584000</v>
      </c>
      <c r="D54" s="1280">
        <v>2540000</v>
      </c>
      <c r="E54" s="1280">
        <v>2932500</v>
      </c>
      <c r="F54" s="1280">
        <v>3191000</v>
      </c>
      <c r="G54" s="1412">
        <f t="shared" si="14"/>
        <v>4666339.8960831501</v>
      </c>
      <c r="H54" s="1412">
        <f t="shared" si="14"/>
        <v>5655032.0404263847</v>
      </c>
      <c r="I54" s="1412">
        <f t="shared" si="14"/>
        <v>7071036.4462461267</v>
      </c>
      <c r="J54" s="1412">
        <f t="shared" si="14"/>
        <v>8088810.7757192422</v>
      </c>
      <c r="K54" s="1412">
        <f t="shared" si="14"/>
        <v>9288662.4098870102</v>
      </c>
      <c r="L54" s="1412">
        <f t="shared" si="14"/>
        <v>10637676.695715575</v>
      </c>
      <c r="M54" s="1412">
        <f t="shared" si="14"/>
        <v>12126823.276307469</v>
      </c>
      <c r="N54" s="1412">
        <f t="shared" si="14"/>
        <v>13767878.055361457</v>
      </c>
      <c r="O54" s="1412">
        <f t="shared" si="14"/>
        <v>15603438.135783169</v>
      </c>
      <c r="P54" s="1412">
        <f t="shared" si="14"/>
        <v>17683614.724754982</v>
      </c>
      <c r="Q54" s="1412">
        <f t="shared" si="14"/>
        <v>20047530.066361062</v>
      </c>
      <c r="R54" s="1412">
        <f t="shared" si="14"/>
        <v>22735078.789386332</v>
      </c>
      <c r="S54" s="93"/>
      <c r="T54" s="94"/>
      <c r="U54" s="953"/>
      <c r="V54" s="1260">
        <f t="shared" si="11"/>
        <v>1.8035624546317495E-2</v>
      </c>
      <c r="W54" s="1260">
        <f t="shared" si="8"/>
        <v>1.475851810533166E-2</v>
      </c>
      <c r="X54" s="1260">
        <f t="shared" si="8"/>
        <v>1.3380715809921416E-2</v>
      </c>
      <c r="Y54" s="1260">
        <f t="shared" si="8"/>
        <v>1.1576694238862284E-2</v>
      </c>
      <c r="Z54" s="1260">
        <f t="shared" si="8"/>
        <v>1.4437888175108214E-2</v>
      </c>
      <c r="AA54" s="1260">
        <f t="shared" si="8"/>
        <v>1.4437888175108214E-2</v>
      </c>
      <c r="AB54" s="1260">
        <f t="shared" si="8"/>
        <v>1.4437888175108214E-2</v>
      </c>
      <c r="AC54" s="1261"/>
      <c r="AD54" s="1264">
        <f t="shared" si="9"/>
        <v>1.4437888175108214E-2</v>
      </c>
      <c r="AE54" s="1262">
        <f t="shared" si="10"/>
        <v>1.4437888175108214E-2</v>
      </c>
    </row>
    <row r="55" spans="2:31" s="60" customFormat="1">
      <c r="B55" s="942" t="s">
        <v>1005</v>
      </c>
      <c r="C55" s="1280">
        <v>2099000</v>
      </c>
      <c r="D55" s="1280">
        <v>1874000</v>
      </c>
      <c r="E55" s="1280">
        <v>2236599.9999999995</v>
      </c>
      <c r="F55" s="1280">
        <v>2662000</v>
      </c>
      <c r="G55" s="1412">
        <f t="shared" si="14"/>
        <v>3668503.8807564666</v>
      </c>
      <c r="H55" s="1412">
        <f t="shared" si="14"/>
        <v>4445777.0861312086</v>
      </c>
      <c r="I55" s="1412">
        <f t="shared" si="14"/>
        <v>5558987.390909533</v>
      </c>
      <c r="J55" s="1412">
        <f t="shared" si="14"/>
        <v>6359123.934872061</v>
      </c>
      <c r="K55" s="1412">
        <f t="shared" si="14"/>
        <v>7302402.923179605</v>
      </c>
      <c r="L55" s="1412">
        <f t="shared" si="14"/>
        <v>8362948.072690038</v>
      </c>
      <c r="M55" s="1412">
        <f t="shared" si="14"/>
        <v>9533660.050722776</v>
      </c>
      <c r="N55" s="1412">
        <f t="shared" si="14"/>
        <v>10823796.637332503</v>
      </c>
      <c r="O55" s="1412">
        <f t="shared" si="14"/>
        <v>12266846.099726126</v>
      </c>
      <c r="P55" s="1412">
        <f t="shared" si="14"/>
        <v>13902204.016046643</v>
      </c>
      <c r="Q55" s="1412">
        <f t="shared" si="14"/>
        <v>15760626.847984117</v>
      </c>
      <c r="R55" s="1412">
        <f t="shared" si="14"/>
        <v>17873478.277520146</v>
      </c>
      <c r="S55" s="93"/>
      <c r="T55" s="94"/>
      <c r="U55" s="953"/>
      <c r="V55" s="1260">
        <f t="shared" si="11"/>
        <v>1.4650455078452175E-2</v>
      </c>
      <c r="W55" s="1260">
        <f t="shared" si="8"/>
        <v>1.0888764932831311E-2</v>
      </c>
      <c r="X55" s="1260">
        <f t="shared" si="8"/>
        <v>1.0205390956682091E-2</v>
      </c>
      <c r="Y55" s="1260">
        <f t="shared" si="8"/>
        <v>9.6575243070671883E-3</v>
      </c>
      <c r="Z55" s="1260">
        <f t="shared" si="8"/>
        <v>1.1350533818758193E-2</v>
      </c>
      <c r="AA55" s="1260">
        <f t="shared" si="8"/>
        <v>1.1350533818758194E-2</v>
      </c>
      <c r="AB55" s="1260">
        <f t="shared" si="8"/>
        <v>1.1350533818758193E-2</v>
      </c>
      <c r="AC55" s="1261"/>
      <c r="AD55" s="1264">
        <f t="shared" si="9"/>
        <v>1.1350533818758193E-2</v>
      </c>
      <c r="AE55" s="1262">
        <f t="shared" si="10"/>
        <v>1.1350533818758194E-2</v>
      </c>
    </row>
    <row r="56" spans="2:31" s="60" customFormat="1">
      <c r="B56" s="942" t="s">
        <v>1006</v>
      </c>
      <c r="C56" s="1280">
        <v>1464000</v>
      </c>
      <c r="D56" s="1280">
        <v>1184000</v>
      </c>
      <c r="E56" s="1280">
        <v>1340000</v>
      </c>
      <c r="F56" s="1280">
        <v>1373000</v>
      </c>
      <c r="G56" s="1412">
        <f t="shared" si="14"/>
        <v>2278026.7607636219</v>
      </c>
      <c r="H56" s="1412">
        <f t="shared" si="14"/>
        <v>2760689.2356641698</v>
      </c>
      <c r="I56" s="1412">
        <f t="shared" si="14"/>
        <v>3451958.1962737818</v>
      </c>
      <c r="J56" s="1412">
        <f t="shared" si="14"/>
        <v>3948818.0930215805</v>
      </c>
      <c r="K56" s="1412">
        <f t="shared" si="14"/>
        <v>4534564.9936865792</v>
      </c>
      <c r="L56" s="1412">
        <f t="shared" si="14"/>
        <v>5193130.5316040805</v>
      </c>
      <c r="M56" s="1412">
        <f t="shared" si="14"/>
        <v>5920106.2420823146</v>
      </c>
      <c r="N56" s="1412">
        <f t="shared" si="14"/>
        <v>6721240.918470107</v>
      </c>
      <c r="O56" s="1412">
        <f t="shared" si="14"/>
        <v>7617329.7326818472</v>
      </c>
      <c r="P56" s="1412">
        <f t="shared" si="14"/>
        <v>8632836.1129113212</v>
      </c>
      <c r="Q56" s="1412">
        <f t="shared" si="14"/>
        <v>9786858.86484983</v>
      </c>
      <c r="R56" s="1412">
        <f t="shared" si="14"/>
        <v>11098873.859095454</v>
      </c>
      <c r="S56" s="93"/>
      <c r="T56" s="94"/>
      <c r="U56" s="953"/>
      <c r="V56" s="1260">
        <f t="shared" si="11"/>
        <v>1.0218325981350159E-2</v>
      </c>
      <c r="W56" s="1260">
        <f t="shared" si="8"/>
        <v>6.8795611955561756E-3</v>
      </c>
      <c r="X56" s="1260">
        <f t="shared" si="8"/>
        <v>6.1142912822829314E-3</v>
      </c>
      <c r="Y56" s="1260">
        <f t="shared" si="8"/>
        <v>4.9811348135248871E-3</v>
      </c>
      <c r="Z56" s="1260">
        <f t="shared" si="8"/>
        <v>7.0483283181785386E-3</v>
      </c>
      <c r="AA56" s="1260">
        <f t="shared" si="8"/>
        <v>7.0483283181785395E-3</v>
      </c>
      <c r="AB56" s="1260">
        <f t="shared" si="8"/>
        <v>7.0483283181785386E-3</v>
      </c>
      <c r="AC56" s="1261"/>
      <c r="AD56" s="1264">
        <f t="shared" si="9"/>
        <v>7.0483283181785386E-3</v>
      </c>
      <c r="AE56" s="1262">
        <f t="shared" si="10"/>
        <v>7.0483283181785386E-3</v>
      </c>
    </row>
    <row r="57" spans="2:31" s="60" customFormat="1">
      <c r="B57" s="942" t="s">
        <v>1007</v>
      </c>
      <c r="C57" s="1280">
        <v>879000</v>
      </c>
      <c r="D57" s="1280">
        <v>956000</v>
      </c>
      <c r="E57" s="1280">
        <v>1048000</v>
      </c>
      <c r="F57" s="1280">
        <v>1119000</v>
      </c>
      <c r="G57" s="1412">
        <f t="shared" si="14"/>
        <v>1658952.8054730389</v>
      </c>
      <c r="H57" s="1412">
        <f t="shared" si="14"/>
        <v>2010447.4764857776</v>
      </c>
      <c r="I57" s="1412">
        <f t="shared" si="14"/>
        <v>2513857.9724868573</v>
      </c>
      <c r="J57" s="1412">
        <f t="shared" si="14"/>
        <v>2875691.7901723445</v>
      </c>
      <c r="K57" s="1412">
        <f t="shared" si="14"/>
        <v>3302256.7809319803</v>
      </c>
      <c r="L57" s="1412">
        <f t="shared" si="14"/>
        <v>3781851.2991060647</v>
      </c>
      <c r="M57" s="1412">
        <f t="shared" si="14"/>
        <v>4311264.9193413034</v>
      </c>
      <c r="N57" s="1412">
        <f t="shared" si="14"/>
        <v>4894684.1494603343</v>
      </c>
      <c r="O57" s="1412">
        <f t="shared" si="14"/>
        <v>5547252.8891670005</v>
      </c>
      <c r="P57" s="1412">
        <f t="shared" si="14"/>
        <v>6286786.413300287</v>
      </c>
      <c r="Q57" s="1412">
        <f t="shared" si="14"/>
        <v>7127193.2578916792</v>
      </c>
      <c r="R57" s="1412">
        <f t="shared" si="14"/>
        <v>8082656.5531502729</v>
      </c>
      <c r="S57" s="93"/>
      <c r="T57" s="94"/>
      <c r="U57" s="953"/>
      <c r="V57" s="1260">
        <f t="shared" si="11"/>
        <v>6.1351834273270425E-3</v>
      </c>
      <c r="W57" s="1260">
        <f t="shared" si="8"/>
        <v>5.5547808301956957E-3</v>
      </c>
      <c r="X57" s="1260">
        <f t="shared" si="8"/>
        <v>4.7819233312182928E-3</v>
      </c>
      <c r="Y57" s="1260">
        <f t="shared" si="8"/>
        <v>4.059643012625163E-3</v>
      </c>
      <c r="Z57" s="1260">
        <f t="shared" si="8"/>
        <v>5.1328826503415489E-3</v>
      </c>
      <c r="AA57" s="1260">
        <f t="shared" si="8"/>
        <v>5.1328826503415489E-3</v>
      </c>
      <c r="AB57" s="1260">
        <f t="shared" si="8"/>
        <v>5.1328826503415489E-3</v>
      </c>
      <c r="AC57" s="1261"/>
      <c r="AD57" s="1264">
        <f t="shared" si="9"/>
        <v>5.1328826503415489E-3</v>
      </c>
      <c r="AE57" s="1262">
        <f t="shared" si="10"/>
        <v>5.1328826503415489E-3</v>
      </c>
    </row>
    <row r="58" spans="2:31" s="60" customFormat="1">
      <c r="B58" s="942" t="s">
        <v>1008</v>
      </c>
      <c r="C58" s="1280">
        <v>483000</v>
      </c>
      <c r="D58" s="1280">
        <v>489000</v>
      </c>
      <c r="E58" s="1280">
        <v>558000</v>
      </c>
      <c r="F58" s="1280">
        <v>594000</v>
      </c>
      <c r="G58" s="1412">
        <f t="shared" si="14"/>
        <v>881821.64280472044</v>
      </c>
      <c r="H58" s="1412">
        <f t="shared" si="14"/>
        <v>1068659.7536943043</v>
      </c>
      <c r="I58" s="1412">
        <f t="shared" si="14"/>
        <v>1336249.2047771101</v>
      </c>
      <c r="J58" s="1412">
        <f t="shared" si="14"/>
        <v>1528583.1219814266</v>
      </c>
      <c r="K58" s="1412">
        <f t="shared" si="14"/>
        <v>1755325.1002183449</v>
      </c>
      <c r="L58" s="1412">
        <f t="shared" si="14"/>
        <v>2010255.0925009269</v>
      </c>
      <c r="M58" s="1412">
        <f t="shared" si="14"/>
        <v>2291666.5870165369</v>
      </c>
      <c r="N58" s="1412">
        <f t="shared" si="14"/>
        <v>2601784.9353204425</v>
      </c>
      <c r="O58" s="1412">
        <f t="shared" si="14"/>
        <v>2948659.9254905535</v>
      </c>
      <c r="P58" s="1412">
        <f t="shared" si="14"/>
        <v>3341761.3235586118</v>
      </c>
      <c r="Q58" s="1412">
        <f t="shared" si="14"/>
        <v>3788482.2561113597</v>
      </c>
      <c r="R58" s="1412">
        <f t="shared" si="14"/>
        <v>4296361.8111444507</v>
      </c>
      <c r="S58" s="93"/>
      <c r="T58" s="94"/>
      <c r="U58" s="953"/>
      <c r="V58" s="1260">
        <f t="shared" si="11"/>
        <v>3.3712100061421631E-3</v>
      </c>
      <c r="W58" s="1260">
        <f t="shared" si="8"/>
        <v>2.8413052572862918E-3</v>
      </c>
      <c r="X58" s="1260">
        <f t="shared" si="8"/>
        <v>2.5461003996372208E-3</v>
      </c>
      <c r="Y58" s="1260">
        <f t="shared" si="8"/>
        <v>2.1549847627340009E-3</v>
      </c>
      <c r="Z58" s="1260">
        <f t="shared" si="8"/>
        <v>2.7284001064499194E-3</v>
      </c>
      <c r="AA58" s="1260">
        <f t="shared" si="8"/>
        <v>2.7284001064499194E-3</v>
      </c>
      <c r="AB58" s="1260">
        <f t="shared" si="8"/>
        <v>2.7284001064499194E-3</v>
      </c>
      <c r="AC58" s="1261"/>
      <c r="AD58" s="1264">
        <f t="shared" si="9"/>
        <v>2.7284001064499194E-3</v>
      </c>
      <c r="AE58" s="1262">
        <f t="shared" si="10"/>
        <v>2.7284001064499198E-3</v>
      </c>
    </row>
    <row r="59" spans="2:31" s="60" customFormat="1">
      <c r="B59" s="942" t="s">
        <v>54</v>
      </c>
      <c r="C59" s="1280">
        <v>17747000</v>
      </c>
      <c r="D59" s="1280">
        <v>22157000</v>
      </c>
      <c r="E59" s="1280">
        <v>27228500</v>
      </c>
      <c r="F59" s="1280">
        <v>37137000</v>
      </c>
      <c r="G59" s="1412">
        <f t="shared" si="14"/>
        <v>41335979.334607206</v>
      </c>
      <c r="H59" s="1412">
        <f t="shared" si="14"/>
        <v>50094140.753831044</v>
      </c>
      <c r="I59" s="1412">
        <f t="shared" si="14"/>
        <v>62637575.257135957</v>
      </c>
      <c r="J59" s="1412">
        <f t="shared" si="14"/>
        <v>71653356.273368359</v>
      </c>
      <c r="K59" s="1412">
        <f t="shared" si="14"/>
        <v>82282038.165183514</v>
      </c>
      <c r="L59" s="1412">
        <f t="shared" si="14"/>
        <v>94232052.069636941</v>
      </c>
      <c r="M59" s="1412">
        <f t="shared" si="14"/>
        <v>107423404.10406892</v>
      </c>
      <c r="N59" s="1412">
        <f t="shared" si="14"/>
        <v>121960409.1111138</v>
      </c>
      <c r="O59" s="1412">
        <f t="shared" si="14"/>
        <v>138220406.29122272</v>
      </c>
      <c r="P59" s="1412">
        <f t="shared" si="14"/>
        <v>156647297.26121998</v>
      </c>
      <c r="Q59" s="1412">
        <f t="shared" si="14"/>
        <v>177587639.77493402</v>
      </c>
      <c r="R59" s="1412">
        <f t="shared" si="14"/>
        <v>201394833.62486589</v>
      </c>
      <c r="S59" s="93"/>
      <c r="T59" s="94"/>
      <c r="U59" s="953"/>
      <c r="V59" s="1260">
        <f t="shared" si="11"/>
        <v>0.12386928360042437</v>
      </c>
      <c r="W59" s="1260">
        <f t="shared" si="8"/>
        <v>0.12874192348812347</v>
      </c>
      <c r="X59" s="1260">
        <f t="shared" si="8"/>
        <v>0.12424102998480656</v>
      </c>
      <c r="Y59" s="1260">
        <f t="shared" si="8"/>
        <v>0.13473008271658685</v>
      </c>
      <c r="Z59" s="1260">
        <f t="shared" si="8"/>
        <v>0.12789557994748532</v>
      </c>
      <c r="AA59" s="1260">
        <f t="shared" si="8"/>
        <v>0.12789557994748532</v>
      </c>
      <c r="AB59" s="1260">
        <f t="shared" si="8"/>
        <v>0.12789557994748532</v>
      </c>
      <c r="AC59" s="1261"/>
      <c r="AD59" s="1264">
        <f t="shared" si="9"/>
        <v>0.12789557994748532</v>
      </c>
      <c r="AE59" s="1262">
        <f t="shared" si="10"/>
        <v>0.12789557994748532</v>
      </c>
    </row>
    <row r="60" spans="2:31" s="60" customFormat="1">
      <c r="B60" s="257" t="s">
        <v>1009</v>
      </c>
      <c r="C60" s="1280">
        <v>16277999.999999998</v>
      </c>
      <c r="D60" s="1280">
        <v>20577000</v>
      </c>
      <c r="E60" s="1280">
        <v>26178627</v>
      </c>
      <c r="F60" s="1280">
        <v>32406999.999999996</v>
      </c>
      <c r="G60" s="1412">
        <f t="shared" si="14"/>
        <v>37992121.293486409</v>
      </c>
      <c r="H60" s="1412">
        <f t="shared" si="14"/>
        <v>46041794.636256553</v>
      </c>
      <c r="I60" s="1412">
        <f t="shared" si="14"/>
        <v>57570532.86279919</v>
      </c>
      <c r="J60" s="1412">
        <f t="shared" si="14"/>
        <v>65856985.765039802</v>
      </c>
      <c r="K60" s="1412">
        <f t="shared" si="14"/>
        <v>75625864.551120728</v>
      </c>
      <c r="L60" s="1412">
        <f t="shared" si="14"/>
        <v>86609186.708356798</v>
      </c>
      <c r="M60" s="1412">
        <f t="shared" si="14"/>
        <v>98733429.428248808</v>
      </c>
      <c r="N60" s="1412">
        <f t="shared" si="14"/>
        <v>112094469.04463163</v>
      </c>
      <c r="O60" s="1412">
        <f t="shared" si="14"/>
        <v>127039120.04945864</v>
      </c>
      <c r="P60" s="1412">
        <f t="shared" si="14"/>
        <v>143975374.81015977</v>
      </c>
      <c r="Q60" s="1412">
        <f t="shared" si="14"/>
        <v>163221756.42527032</v>
      </c>
      <c r="R60" s="1412">
        <f t="shared" si="14"/>
        <v>185103076.54792926</v>
      </c>
      <c r="S60" s="93"/>
      <c r="T60" s="94"/>
      <c r="U60" s="953"/>
      <c r="V60" s="1260">
        <f t="shared" si="11"/>
        <v>0.1136160589647663</v>
      </c>
      <c r="W60" s="1260">
        <f t="shared" si="8"/>
        <v>0.11956142797378329</v>
      </c>
      <c r="X60" s="1260">
        <f t="shared" si="8"/>
        <v>0.11945056033450491</v>
      </c>
      <c r="Y60" s="1260">
        <f t="shared" si="8"/>
        <v>0.11757001886518646</v>
      </c>
      <c r="Z60" s="1260">
        <f t="shared" si="8"/>
        <v>0.11754951653456025</v>
      </c>
      <c r="AA60" s="1260">
        <f t="shared" si="8"/>
        <v>0.11754951653456025</v>
      </c>
      <c r="AB60" s="1260">
        <f t="shared" si="8"/>
        <v>0.11754951653456025</v>
      </c>
      <c r="AC60" s="1261"/>
      <c r="AD60" s="1264">
        <f t="shared" si="9"/>
        <v>0.11754951653456025</v>
      </c>
      <c r="AE60" s="1262">
        <f t="shared" si="10"/>
        <v>0.11754951653456025</v>
      </c>
    </row>
    <row r="61" spans="2:31" s="60" customFormat="1">
      <c r="B61" s="257" t="s">
        <v>1010</v>
      </c>
      <c r="C61" s="1280">
        <v>7266000</v>
      </c>
      <c r="D61" s="1280">
        <v>9984000</v>
      </c>
      <c r="E61" s="1280">
        <v>12102451.927000001</v>
      </c>
      <c r="F61" s="1280">
        <v>16515000</v>
      </c>
      <c r="G61" s="1412">
        <f t="shared" si="14"/>
        <v>18088234.171460263</v>
      </c>
      <c r="H61" s="1412">
        <f t="shared" si="14"/>
        <v>21920722.894661698</v>
      </c>
      <c r="I61" s="1412">
        <f t="shared" si="14"/>
        <v>27409611.370571073</v>
      </c>
      <c r="J61" s="1412">
        <f t="shared" si="14"/>
        <v>31354831.996411789</v>
      </c>
      <c r="K61" s="1412">
        <f t="shared" si="14"/>
        <v>36005842.81284485</v>
      </c>
      <c r="L61" s="1412">
        <f t="shared" si="14"/>
        <v>41235056.039081186</v>
      </c>
      <c r="M61" s="1412">
        <f t="shared" si="14"/>
        <v>47007467.107547328</v>
      </c>
      <c r="N61" s="1412">
        <f t="shared" si="14"/>
        <v>53368723.208209567</v>
      </c>
      <c r="O61" s="1412">
        <f t="shared" si="14"/>
        <v>60483944.411517456</v>
      </c>
      <c r="P61" s="1412">
        <f t="shared" si="14"/>
        <v>68547377.872696489</v>
      </c>
      <c r="Q61" s="1412">
        <f t="shared" si="14"/>
        <v>77710673.991860375</v>
      </c>
      <c r="R61" s="1412">
        <f t="shared" si="14"/>
        <v>88128477.1806283</v>
      </c>
      <c r="S61" s="93"/>
      <c r="T61" s="94"/>
      <c r="U61" s="953"/>
      <c r="V61" s="1260">
        <f t="shared" si="11"/>
        <v>5.0714724440225588E-2</v>
      </c>
      <c r="W61" s="1260">
        <f t="shared" si="8"/>
        <v>5.801143494631153E-2</v>
      </c>
      <c r="X61" s="1260">
        <f t="shared" si="8"/>
        <v>5.5222325605600274E-2</v>
      </c>
      <c r="Y61" s="1260">
        <f t="shared" si="8"/>
        <v>5.9915106660861993E-2</v>
      </c>
      <c r="Z61" s="1260">
        <f t="shared" si="8"/>
        <v>5.5965897913249844E-2</v>
      </c>
      <c r="AA61" s="1260">
        <f t="shared" si="8"/>
        <v>5.5965897913249851E-2</v>
      </c>
      <c r="AB61" s="1260">
        <f t="shared" si="8"/>
        <v>5.5965897913249844E-2</v>
      </c>
      <c r="AC61" s="1261"/>
      <c r="AD61" s="1264">
        <f t="shared" si="9"/>
        <v>5.5965897913249851E-2</v>
      </c>
      <c r="AE61" s="1262">
        <f t="shared" si="10"/>
        <v>5.5965897913249851E-2</v>
      </c>
    </row>
    <row r="62" spans="2:31" s="60" customFormat="1">
      <c r="B62" s="257" t="s">
        <v>1011</v>
      </c>
      <c r="C62" s="1280">
        <v>12983000</v>
      </c>
      <c r="D62" s="1280">
        <v>16572000</v>
      </c>
      <c r="E62" s="1280">
        <v>21666000</v>
      </c>
      <c r="F62" s="1280">
        <v>22891000</v>
      </c>
      <c r="G62" s="1412">
        <f t="shared" si="14"/>
        <v>29800349.469987713</v>
      </c>
      <c r="H62" s="1412">
        <f t="shared" si="14"/>
        <v>36114371.182034664</v>
      </c>
      <c r="I62" s="1412">
        <f t="shared" si="14"/>
        <v>45157309.991505116</v>
      </c>
      <c r="J62" s="1412">
        <f t="shared" si="14"/>
        <v>51657057.411391906</v>
      </c>
      <c r="K62" s="1412">
        <f t="shared" si="14"/>
        <v>59319593.533192277</v>
      </c>
      <c r="L62" s="1412">
        <f t="shared" si="14"/>
        <v>67934717.603224397</v>
      </c>
      <c r="M62" s="1412">
        <f t="shared" si="14"/>
        <v>77444759.628008112</v>
      </c>
      <c r="N62" s="1412">
        <f t="shared" si="14"/>
        <v>87924923.311809108</v>
      </c>
      <c r="O62" s="1412">
        <f t="shared" si="14"/>
        <v>99647243.82164602</v>
      </c>
      <c r="P62" s="1412">
        <f t="shared" si="14"/>
        <v>112931743.17041408</v>
      </c>
      <c r="Q62" s="1412">
        <f t="shared" si="14"/>
        <v>128028265.2554121</v>
      </c>
      <c r="R62" s="1412">
        <f t="shared" si="14"/>
        <v>145191586.60519168</v>
      </c>
      <c r="S62" s="93"/>
      <c r="T62" s="94"/>
      <c r="U62" s="953"/>
      <c r="V62" s="1260">
        <f t="shared" si="11"/>
        <v>9.0617845775866887E-2</v>
      </c>
      <c r="W62" s="1260">
        <f t="shared" si="8"/>
        <v>9.6290614976990652E-2</v>
      </c>
      <c r="X62" s="1260">
        <f t="shared" si="8"/>
        <v>9.8859876807419395E-2</v>
      </c>
      <c r="Y62" s="1260">
        <f t="shared" si="8"/>
        <v>8.3046727615730662E-2</v>
      </c>
      <c r="Z62" s="1260">
        <f t="shared" si="8"/>
        <v>9.2203766294001913E-2</v>
      </c>
      <c r="AA62" s="1260">
        <f t="shared" si="8"/>
        <v>9.2203766294001913E-2</v>
      </c>
      <c r="AB62" s="1260">
        <f t="shared" si="8"/>
        <v>9.2203766294001913E-2</v>
      </c>
      <c r="AC62" s="1261"/>
      <c r="AD62" s="1264">
        <f t="shared" si="9"/>
        <v>9.2203766294001913E-2</v>
      </c>
      <c r="AE62" s="1262">
        <f t="shared" si="10"/>
        <v>9.2203766294001926E-2</v>
      </c>
    </row>
    <row r="63" spans="2:31" s="1197" customFormat="1">
      <c r="B63" s="717" t="s">
        <v>55</v>
      </c>
      <c r="C63" s="1281">
        <f>C64+C65</f>
        <v>14708000</v>
      </c>
      <c r="D63" s="1281">
        <f t="shared" ref="D63:R63" si="15">D64+D65</f>
        <v>14185000</v>
      </c>
      <c r="E63" s="1281">
        <f t="shared" si="15"/>
        <v>19368000</v>
      </c>
      <c r="F63" s="1281">
        <f t="shared" si="15"/>
        <v>30593000</v>
      </c>
      <c r="G63" s="1422">
        <f t="shared" si="15"/>
        <v>31063031.559262395</v>
      </c>
      <c r="H63" s="1422">
        <f t="shared" si="15"/>
        <v>37644587.118022203</v>
      </c>
      <c r="I63" s="1422">
        <f t="shared" si="15"/>
        <v>47070687.771974541</v>
      </c>
      <c r="J63" s="1422">
        <f t="shared" si="15"/>
        <v>53845838.494099975</v>
      </c>
      <c r="K63" s="1422">
        <f t="shared" si="15"/>
        <v>61833046.886242747</v>
      </c>
      <c r="L63" s="1422">
        <f t="shared" si="15"/>
        <v>70813205.697597757</v>
      </c>
      <c r="M63" s="1422">
        <f t="shared" si="15"/>
        <v>80726201.377171248</v>
      </c>
      <c r="N63" s="1422">
        <f t="shared" si="15"/>
        <v>91650424.114357829</v>
      </c>
      <c r="O63" s="1422">
        <f t="shared" si="15"/>
        <v>103869435.58305129</v>
      </c>
      <c r="P63" s="1422">
        <f t="shared" si="15"/>
        <v>117716817.57215765</v>
      </c>
      <c r="Q63" s="1422">
        <f t="shared" si="15"/>
        <v>133453000.21101138</v>
      </c>
      <c r="R63" s="1422">
        <f t="shared" si="15"/>
        <v>151343555.26261914</v>
      </c>
      <c r="S63" s="93"/>
      <c r="T63" s="94"/>
      <c r="U63" s="96"/>
      <c r="V63" s="1260">
        <f t="shared" si="11"/>
        <v>0.10265788151208889</v>
      </c>
      <c r="W63" s="1260">
        <f t="shared" si="8"/>
        <v>8.2421094222098271E-2</v>
      </c>
      <c r="X63" s="1260">
        <f t="shared" si="8"/>
        <v>8.8374323548698369E-2</v>
      </c>
      <c r="Y63" s="1260">
        <f t="shared" si="8"/>
        <v>0.11098897112175302</v>
      </c>
      <c r="Z63" s="1260">
        <f t="shared" si="8"/>
        <v>9.611056760115963E-2</v>
      </c>
      <c r="AA63" s="1260">
        <f t="shared" si="8"/>
        <v>9.6110567601159644E-2</v>
      </c>
      <c r="AB63" s="1260">
        <f t="shared" si="8"/>
        <v>9.6110567601159644E-2</v>
      </c>
      <c r="AC63" s="1263"/>
      <c r="AD63" s="1264">
        <f t="shared" si="9"/>
        <v>9.611056760115963E-2</v>
      </c>
      <c r="AE63" s="1262">
        <f t="shared" si="10"/>
        <v>9.6110567601159644E-2</v>
      </c>
    </row>
    <row r="64" spans="2:31" s="60" customFormat="1">
      <c r="B64" s="942" t="s">
        <v>1012</v>
      </c>
      <c r="C64" s="1280">
        <v>10700000</v>
      </c>
      <c r="D64" s="1280">
        <v>9539000</v>
      </c>
      <c r="E64" s="1280">
        <v>10382000</v>
      </c>
      <c r="F64" s="1280">
        <v>22380000</v>
      </c>
      <c r="G64" s="1412">
        <f t="shared" si="14"/>
        <v>20900910.79946626</v>
      </c>
      <c r="H64" s="1412">
        <f t="shared" si="14"/>
        <v>25329342.241932865</v>
      </c>
      <c r="I64" s="1412">
        <f t="shared" si="14"/>
        <v>31671739.589055367</v>
      </c>
      <c r="J64" s="1412">
        <f t="shared" si="14"/>
        <v>36230432.472134858</v>
      </c>
      <c r="K64" s="1412">
        <f t="shared" si="14"/>
        <v>41604664.211958274</v>
      </c>
      <c r="L64" s="1412">
        <f t="shared" si="14"/>
        <v>47647007.436671816</v>
      </c>
      <c r="M64" s="1412">
        <f t="shared" si="14"/>
        <v>54317014.45317886</v>
      </c>
      <c r="N64" s="1412">
        <f t="shared" si="14"/>
        <v>61667430.478988662</v>
      </c>
      <c r="O64" s="1412">
        <f t="shared" si="14"/>
        <v>69889051.355804384</v>
      </c>
      <c r="P64" s="1412">
        <f t="shared" si="14"/>
        <v>79206329.201280713</v>
      </c>
      <c r="Q64" s="1412">
        <f t="shared" si="14"/>
        <v>89794495.685653344</v>
      </c>
      <c r="R64" s="1412">
        <f t="shared" si="14"/>
        <v>101832242.05220513</v>
      </c>
      <c r="S64" s="93"/>
      <c r="T64" s="94"/>
      <c r="U64" s="953"/>
      <c r="V64" s="1260">
        <f t="shared" si="11"/>
        <v>7.4683120218884361E-2</v>
      </c>
      <c r="W64" s="1260">
        <f t="shared" si="11"/>
        <v>5.5425789057779021E-2</v>
      </c>
      <c r="X64" s="1260">
        <f t="shared" si="11"/>
        <v>4.737206872586671E-2</v>
      </c>
      <c r="Y64" s="1260">
        <f t="shared" si="11"/>
        <v>8.119286025250326E-2</v>
      </c>
      <c r="Z64" s="1260">
        <f t="shared" si="11"/>
        <v>6.4668459563758343E-2</v>
      </c>
      <c r="AA64" s="1260">
        <f t="shared" si="11"/>
        <v>6.4668459563758343E-2</v>
      </c>
      <c r="AB64" s="1260">
        <f t="shared" si="11"/>
        <v>6.4668459563758343E-2</v>
      </c>
      <c r="AC64" s="1261"/>
      <c r="AD64" s="1264">
        <f t="shared" si="9"/>
        <v>6.4668459563758343E-2</v>
      </c>
      <c r="AE64" s="1262">
        <f t="shared" si="10"/>
        <v>6.4668459563758343E-2</v>
      </c>
    </row>
    <row r="65" spans="2:31" s="60" customFormat="1">
      <c r="B65" s="942" t="s">
        <v>899</v>
      </c>
      <c r="C65" s="1280">
        <v>4008000</v>
      </c>
      <c r="D65" s="1280">
        <v>4646000</v>
      </c>
      <c r="E65" s="1280">
        <v>8986000</v>
      </c>
      <c r="F65" s="1280">
        <v>8212999.9999999991</v>
      </c>
      <c r="G65" s="1412">
        <f t="shared" si="14"/>
        <v>10162120.759796135</v>
      </c>
      <c r="H65" s="1412">
        <f t="shared" si="14"/>
        <v>12315244.876089336</v>
      </c>
      <c r="I65" s="1412">
        <f t="shared" si="14"/>
        <v>15398948.182919173</v>
      </c>
      <c r="J65" s="1412">
        <f t="shared" si="14"/>
        <v>17615406.021965116</v>
      </c>
      <c r="K65" s="1412">
        <f t="shared" si="14"/>
        <v>20228382.674284469</v>
      </c>
      <c r="L65" s="1412">
        <f t="shared" si="14"/>
        <v>23166198.260925941</v>
      </c>
      <c r="M65" s="1412">
        <f t="shared" si="14"/>
        <v>26409186.923992388</v>
      </c>
      <c r="N65" s="1412">
        <f t="shared" si="14"/>
        <v>29982993.63536917</v>
      </c>
      <c r="O65" s="1412">
        <f t="shared" si="14"/>
        <v>33980384.22724691</v>
      </c>
      <c r="P65" s="1412">
        <f t="shared" si="14"/>
        <v>38510488.370876931</v>
      </c>
      <c r="Q65" s="1412">
        <f t="shared" si="14"/>
        <v>43658504.525358036</v>
      </c>
      <c r="R65" s="1412">
        <f t="shared" si="14"/>
        <v>49511313.210414015</v>
      </c>
      <c r="S65" s="93"/>
      <c r="T65" s="94"/>
      <c r="U65" s="953"/>
      <c r="V65" s="1260">
        <f t="shared" si="11"/>
        <v>2.7974761293204534E-2</v>
      </c>
      <c r="W65" s="1260">
        <f t="shared" si="11"/>
        <v>2.699530516431925E-2</v>
      </c>
      <c r="X65" s="1260">
        <f t="shared" si="11"/>
        <v>4.1002254822831659E-2</v>
      </c>
      <c r="Y65" s="1260">
        <f t="shared" si="11"/>
        <v>2.9796110869249742E-2</v>
      </c>
      <c r="Z65" s="1260">
        <f t="shared" si="11"/>
        <v>3.1442108037401294E-2</v>
      </c>
      <c r="AA65" s="1260">
        <f t="shared" si="11"/>
        <v>3.1442108037401294E-2</v>
      </c>
      <c r="AB65" s="1260">
        <f t="shared" si="11"/>
        <v>3.1442108037401294E-2</v>
      </c>
      <c r="AC65" s="1261"/>
      <c r="AD65" s="1264">
        <f t="shared" si="9"/>
        <v>3.1442108037401294E-2</v>
      </c>
      <c r="AE65" s="1262">
        <f t="shared" si="10"/>
        <v>3.1442108037401294E-2</v>
      </c>
    </row>
    <row r="66" spans="2:31" s="60" customFormat="1">
      <c r="B66" s="1041" t="s">
        <v>1040</v>
      </c>
      <c r="C66" s="1279">
        <f>'IMF Data'!C40*1000</f>
        <v>6621000</v>
      </c>
      <c r="D66" s="1279">
        <f>'IMF Data'!D40*1000</f>
        <v>7965000</v>
      </c>
      <c r="E66" s="1279">
        <f>'IMF Data'!E40*1000</f>
        <v>12660000</v>
      </c>
      <c r="F66" s="1279">
        <f>'IMF Data'!F40*1000</f>
        <v>16730000</v>
      </c>
      <c r="G66" s="1420">
        <f>'IMF Data'!G40*1000</f>
        <v>23880000</v>
      </c>
      <c r="H66" s="1420">
        <f>'IMF Data'!H40*1000</f>
        <v>25380000</v>
      </c>
      <c r="I66" s="1420">
        <f>'IMF Data'!I40*1000</f>
        <v>35760000</v>
      </c>
      <c r="J66" s="1420">
        <f>'IMF Data'!J40*1000</f>
        <v>46578628.489984632</v>
      </c>
      <c r="K66" s="1420">
        <f>'IMF Data'!K40*1000</f>
        <v>50062816.399208806</v>
      </c>
      <c r="L66" s="1420">
        <f>'IMF Data'!L40*1000</f>
        <v>55953929.990233548</v>
      </c>
      <c r="M66" s="1420">
        <f>'IMF Data'!M40*1000</f>
        <v>60439731.675504081</v>
      </c>
      <c r="N66" s="1420">
        <f>'IMF Data'!N40*1000</f>
        <v>66172861.289782986</v>
      </c>
      <c r="O66" s="1420">
        <f>'IMF Data'!O40*1000</f>
        <v>75945039.338010356</v>
      </c>
      <c r="P66" s="1420">
        <f>'IMF Data'!P40*1000</f>
        <v>88301317.971369386</v>
      </c>
      <c r="Q66" s="1420">
        <f>'IMF Data'!Q40*1000</f>
        <v>102881205.51907033</v>
      </c>
      <c r="R66" s="1420">
        <f>'IMF Data'!R40*1000</f>
        <v>118788649.73164929</v>
      </c>
      <c r="S66" s="99"/>
      <c r="T66" s="239"/>
      <c r="U66" s="952">
        <v>3.1136638452237003E-2</v>
      </c>
      <c r="V66" s="94">
        <v>2.6286143447239955E-2</v>
      </c>
      <c r="W66" s="94">
        <v>2.9528865295288653E-2</v>
      </c>
      <c r="X66" s="94">
        <v>3.2481954469739033E-2</v>
      </c>
    </row>
    <row r="67" spans="2:31" s="60" customFormat="1">
      <c r="B67" s="1016" t="s">
        <v>1041</v>
      </c>
      <c r="C67" s="1279"/>
      <c r="D67" s="1279"/>
      <c r="E67" s="1279"/>
      <c r="F67" s="1279"/>
      <c r="G67" s="1420"/>
      <c r="H67" s="1420"/>
      <c r="I67" s="1420"/>
      <c r="J67" s="1420"/>
      <c r="K67" s="1420"/>
      <c r="L67" s="1420"/>
      <c r="M67" s="1420"/>
      <c r="N67" s="1420"/>
      <c r="O67" s="1420"/>
      <c r="P67" s="1420"/>
      <c r="Q67" s="1420"/>
      <c r="R67" s="1420"/>
      <c r="S67" s="99"/>
      <c r="T67" s="239"/>
      <c r="U67" s="952"/>
      <c r="V67" s="94"/>
      <c r="W67" s="94"/>
      <c r="X67" s="94"/>
    </row>
    <row r="68" spans="2:31" s="60" customFormat="1">
      <c r="B68" s="1016" t="s">
        <v>1042</v>
      </c>
      <c r="C68" s="1279"/>
      <c r="D68" s="1279"/>
      <c r="E68" s="1279"/>
      <c r="F68" s="1279"/>
      <c r="G68" s="1420"/>
      <c r="H68" s="1420"/>
      <c r="I68" s="1420"/>
      <c r="J68" s="1420"/>
      <c r="K68" s="1420"/>
      <c r="L68" s="1420"/>
      <c r="M68" s="1420"/>
      <c r="N68" s="1420"/>
      <c r="O68" s="1420"/>
      <c r="P68" s="1420"/>
      <c r="Q68" s="1420"/>
      <c r="R68" s="1420"/>
      <c r="S68" s="99"/>
      <c r="T68" s="239"/>
      <c r="U68" s="952"/>
      <c r="V68" s="94"/>
      <c r="W68" s="94"/>
      <c r="X68" s="94"/>
    </row>
    <row r="69" spans="2:31" s="1265" customFormat="1">
      <c r="B69" s="1266"/>
      <c r="C69" s="1267"/>
      <c r="D69" s="1267"/>
      <c r="E69" s="1267"/>
      <c r="F69" s="1267"/>
      <c r="G69" s="1268"/>
      <c r="H69" s="1268"/>
      <c r="I69" s="1268"/>
      <c r="J69" s="1268"/>
      <c r="K69" s="1268"/>
      <c r="L69" s="1268"/>
      <c r="M69" s="1268"/>
      <c r="N69" s="1268"/>
      <c r="O69" s="1268"/>
      <c r="P69" s="1268"/>
      <c r="Q69" s="1268"/>
      <c r="R69" s="1268"/>
      <c r="S69" s="1269"/>
      <c r="T69" s="1270"/>
      <c r="U69" s="1271"/>
      <c r="V69" s="1272"/>
      <c r="W69" s="1272"/>
      <c r="X69" s="1272"/>
    </row>
    <row r="70" spans="2:31" s="60" customFormat="1">
      <c r="B70" s="256" t="s">
        <v>56</v>
      </c>
      <c r="C70" s="1420">
        <f>'IMF Data'!C41*1000</f>
        <v>79199000</v>
      </c>
      <c r="D70" s="1420">
        <f>'IMF Data'!D41*1000</f>
        <v>88341000</v>
      </c>
      <c r="E70" s="1420">
        <f>'IMF Data'!E41*1000</f>
        <v>104301500</v>
      </c>
      <c r="F70" s="1420">
        <f>'IMF Data'!F41*1000</f>
        <v>119462000</v>
      </c>
      <c r="G70" s="1420">
        <f>'IMF Data'!G41*1000</f>
        <v>180261000</v>
      </c>
      <c r="H70" s="1420">
        <f>'IMF Data'!H41*1000</f>
        <v>178150000</v>
      </c>
      <c r="I70" s="1420">
        <f>'IMF Data'!I41*1000</f>
        <v>171646995.9687404</v>
      </c>
      <c r="J70" s="1420">
        <f>'IMF Data'!J41*1000</f>
        <v>196353120.38999164</v>
      </c>
      <c r="K70" s="1420">
        <f>'IMF Data'!K41*1000</f>
        <v>225479109.2289286</v>
      </c>
      <c r="L70" s="1420">
        <f>'IMF Data'!L41*1000</f>
        <v>258225970.51887664</v>
      </c>
      <c r="M70" s="1420">
        <f>'IMF Data'!M41*1000</f>
        <v>294374495.42874569</v>
      </c>
      <c r="N70" s="1420">
        <f>'IMF Data'!N41*1000</f>
        <v>330868434.60099936</v>
      </c>
      <c r="O70" s="1420">
        <f>'IMF Data'!O41*1000</f>
        <v>371230648.49386686</v>
      </c>
      <c r="P70" s="1420">
        <f>'IMF Data'!P41*1000</f>
        <v>412306935.86646819</v>
      </c>
      <c r="Q70" s="1420">
        <f>'IMF Data'!Q41*1000</f>
        <v>458074952.74965155</v>
      </c>
      <c r="R70" s="1420">
        <f>'IMF Data'!R41*1000</f>
        <v>509094272.73981166</v>
      </c>
      <c r="S70" s="99"/>
      <c r="T70" s="239"/>
      <c r="U70" s="953">
        <v>0.28053204353083433</v>
      </c>
      <c r="V70" s="94">
        <v>0.27037176117161099</v>
      </c>
      <c r="W70" s="94">
        <v>0.28566688785666888</v>
      </c>
      <c r="X70" s="94">
        <v>0.27623542476401997</v>
      </c>
    </row>
    <row r="71" spans="2:31" s="1234" customFormat="1">
      <c r="B71" s="1273"/>
      <c r="C71" s="1274"/>
      <c r="D71" s="1274"/>
      <c r="E71" s="1274"/>
      <c r="F71" s="1268"/>
      <c r="G71" s="1268"/>
      <c r="H71" s="1268"/>
      <c r="I71" s="1268"/>
      <c r="J71" s="1268"/>
      <c r="K71" s="1268"/>
      <c r="L71" s="1268"/>
      <c r="M71" s="1268"/>
      <c r="N71" s="1268"/>
      <c r="O71" s="1268"/>
      <c r="P71" s="1268"/>
      <c r="Q71" s="1268"/>
      <c r="R71" s="1268"/>
      <c r="S71" s="1275"/>
      <c r="T71" s="1276"/>
      <c r="U71" s="1277"/>
      <c r="V71" s="1278"/>
      <c r="W71" s="1278"/>
      <c r="X71" s="1278"/>
    </row>
    <row r="72" spans="2:31" s="60" customFormat="1">
      <c r="B72" s="1273" t="s">
        <v>57</v>
      </c>
      <c r="C72" s="1420">
        <f>'IMF Data'!C45*1000</f>
        <v>26815479.999999981</v>
      </c>
      <c r="D72" s="1420">
        <f>'IMF Data'!D45*1000</f>
        <v>13056000</v>
      </c>
      <c r="E72" s="1420">
        <f>'IMF Data'!E45*1000</f>
        <v>20811000</v>
      </c>
      <c r="F72" s="1420">
        <f>'IMF Data'!F45*1000</f>
        <v>36454780.480000004</v>
      </c>
      <c r="G72" s="1420">
        <f>'IMF Data'!G45*1000</f>
        <v>64131799.050000004</v>
      </c>
      <c r="H72" s="1420">
        <f>'IMF Data'!H45*1000</f>
        <v>89832000</v>
      </c>
      <c r="I72" s="1420">
        <f>'IMF Data'!I45*1000</f>
        <v>66640000</v>
      </c>
      <c r="J72" s="1420">
        <f>'IMF Data'!J45*1000</f>
        <v>74192464.178499177</v>
      </c>
      <c r="K72" s="1420">
        <f>'IMF Data'!K45*1000</f>
        <v>83493828.2988116</v>
      </c>
      <c r="L72" s="1420">
        <f>'IMF Data'!L45*1000</f>
        <v>93707436.667442307</v>
      </c>
      <c r="M72" s="1420">
        <f>'IMF Data'!M45*1000</f>
        <v>106106396.07756285</v>
      </c>
      <c r="N72" s="1420">
        <f>'IMF Data'!N45*1000</f>
        <v>119260526.01875174</v>
      </c>
      <c r="O72" s="1420">
        <f>'IMF Data'!O45*1000</f>
        <v>133808963.87729083</v>
      </c>
      <c r="P72" s="1420">
        <f>'IMF Data'!P45*1000</f>
        <v>148614787.36075905</v>
      </c>
      <c r="Q72" s="1420">
        <f>'IMF Data'!Q45*1000</f>
        <v>165111730.54878438</v>
      </c>
      <c r="R72" s="1420">
        <f>'IMF Data'!R45*1000</f>
        <v>184437722.1429711</v>
      </c>
      <c r="S72" s="99"/>
      <c r="T72" s="239"/>
      <c r="U72" s="953">
        <v>0.11048972188633616</v>
      </c>
      <c r="V72" s="94">
        <v>0.14795343597446489</v>
      </c>
      <c r="W72" s="94">
        <v>0.11181154611811546</v>
      </c>
      <c r="X72" s="94">
        <v>0.10938367573570239</v>
      </c>
      <c r="Z72" s="60" t="s">
        <v>65</v>
      </c>
    </row>
    <row r="73" spans="2:31" s="60" customFormat="1">
      <c r="B73" s="1408" t="s">
        <v>315</v>
      </c>
      <c r="C73" s="1421">
        <f>'IMF Data'!C46*1000</f>
        <v>10272000</v>
      </c>
      <c r="D73" s="1421">
        <f>'IMF Data'!D46*1000</f>
        <v>8393000</v>
      </c>
      <c r="E73" s="1421">
        <f>'IMF Data'!E46*1000</f>
        <v>16655000</v>
      </c>
      <c r="F73" s="1421">
        <f>'IMF Data'!F46*1000</f>
        <v>27000000</v>
      </c>
      <c r="G73" s="1421">
        <f>'IMF Data'!G46*1000</f>
        <v>46000000</v>
      </c>
      <c r="H73" s="1421">
        <f>'IMF Data'!H46*1000</f>
        <v>56000000</v>
      </c>
      <c r="I73" s="1421">
        <f>'IMF Data'!I46*1000</f>
        <v>45000000</v>
      </c>
      <c r="J73" s="1421">
        <f>'IMF Data'!J46*1000</f>
        <v>49932791.754677802</v>
      </c>
      <c r="K73" s="1421">
        <f>'IMF Data'!K46*1000</f>
        <v>56192768.192939661</v>
      </c>
      <c r="L73" s="1421">
        <f>'IMF Data'!L46*1000</f>
        <v>63066700.544177927</v>
      </c>
      <c r="M73" s="1421">
        <f>'IMF Data'!M46*1000</f>
        <v>71176326.039576754</v>
      </c>
      <c r="N73" s="1421">
        <f>'IMF Data'!N46*1000</f>
        <v>80000135.687928393</v>
      </c>
      <c r="O73" s="1421">
        <f>'IMF Data'!O46*1000</f>
        <v>89759249.1312778</v>
      </c>
      <c r="P73" s="1421">
        <f>'IMF Data'!P46*1000</f>
        <v>99691017.229154006</v>
      </c>
      <c r="Q73" s="1421">
        <f>'IMF Data'!Q46*1000</f>
        <v>110757190.90400903</v>
      </c>
      <c r="R73" s="1421">
        <f>'IMF Data'!R46*1000</f>
        <v>123721094.39706931</v>
      </c>
      <c r="S73" s="99"/>
      <c r="T73" s="239"/>
      <c r="U73" s="953"/>
      <c r="V73" s="94"/>
      <c r="W73" s="94"/>
      <c r="X73" s="94"/>
      <c r="Z73" s="60">
        <v>2005</v>
      </c>
      <c r="AA73" s="60">
        <v>2006</v>
      </c>
      <c r="AB73" s="60">
        <v>2007</v>
      </c>
    </row>
    <row r="74" spans="2:31" s="60" customFormat="1">
      <c r="B74" s="1419" t="s">
        <v>58</v>
      </c>
      <c r="C74" s="1267">
        <f>C$73*Z74</f>
        <v>1701869.8224852069</v>
      </c>
      <c r="D74" s="1267">
        <f t="shared" ref="D74:E77" si="16">D$73*AA74</f>
        <v>0</v>
      </c>
      <c r="E74" s="1267">
        <f t="shared" si="16"/>
        <v>0</v>
      </c>
      <c r="F74" s="1282">
        <f>F$73*($AA74+$AB74)/2</f>
        <v>0</v>
      </c>
      <c r="G74" s="1282">
        <f t="shared" ref="G74:R74" si="17">G$73*($AA74+$AB74)/2</f>
        <v>0</v>
      </c>
      <c r="H74" s="1282">
        <f t="shared" si="17"/>
        <v>0</v>
      </c>
      <c r="I74" s="1282">
        <f t="shared" si="17"/>
        <v>0</v>
      </c>
      <c r="J74" s="1282">
        <f t="shared" si="17"/>
        <v>0</v>
      </c>
      <c r="K74" s="1282">
        <f t="shared" si="17"/>
        <v>0</v>
      </c>
      <c r="L74" s="1282">
        <f t="shared" si="17"/>
        <v>0</v>
      </c>
      <c r="M74" s="1282">
        <f t="shared" si="17"/>
        <v>0</v>
      </c>
      <c r="N74" s="1282">
        <f t="shared" si="17"/>
        <v>0</v>
      </c>
      <c r="O74" s="1282">
        <f t="shared" si="17"/>
        <v>0</v>
      </c>
      <c r="P74" s="1282">
        <f t="shared" si="17"/>
        <v>0</v>
      </c>
      <c r="Q74" s="1282">
        <f t="shared" si="17"/>
        <v>0</v>
      </c>
      <c r="R74" s="1282">
        <f t="shared" si="17"/>
        <v>0</v>
      </c>
      <c r="S74" s="232"/>
      <c r="T74" s="231"/>
      <c r="U74" s="953">
        <v>0</v>
      </c>
      <c r="V74" s="94">
        <v>1.0514457378895982E-2</v>
      </c>
      <c r="W74" s="94">
        <v>0</v>
      </c>
      <c r="X74" s="94">
        <v>0</v>
      </c>
      <c r="Z74" s="60">
        <v>0.16568047337278105</v>
      </c>
      <c r="AA74" s="60">
        <v>0</v>
      </c>
      <c r="AB74" s="60">
        <v>0</v>
      </c>
    </row>
    <row r="75" spans="2:31" s="60" customFormat="1">
      <c r="B75" s="1419" t="s">
        <v>59</v>
      </c>
      <c r="C75" s="1280">
        <f>C$73*Z75</f>
        <v>6442792.8994082836</v>
      </c>
      <c r="D75" s="1280">
        <f t="shared" si="16"/>
        <v>6753742.1875</v>
      </c>
      <c r="E75" s="1280">
        <f t="shared" si="16"/>
        <v>13431451.612903224</v>
      </c>
      <c r="F75" s="1282">
        <f t="shared" ref="F75:R77" si="18">F$73*($AA75+$AB75)/2</f>
        <v>21750378.024193548</v>
      </c>
      <c r="G75" s="1282">
        <f t="shared" si="18"/>
        <v>37056199.596774191</v>
      </c>
      <c r="H75" s="1282">
        <f t="shared" si="18"/>
        <v>45111895.161290318</v>
      </c>
      <c r="I75" s="1282">
        <f t="shared" si="18"/>
        <v>36250630.040322579</v>
      </c>
      <c r="J75" s="1282">
        <f t="shared" si="18"/>
        <v>40224336.906206548</v>
      </c>
      <c r="K75" s="1282">
        <f t="shared" si="18"/>
        <v>45267183.348974705</v>
      </c>
      <c r="L75" s="1282">
        <f t="shared" si="18"/>
        <v>50804613.984240107</v>
      </c>
      <c r="M75" s="1282">
        <f t="shared" si="18"/>
        <v>57337481.397557229</v>
      </c>
      <c r="N75" s="1282">
        <f t="shared" si="18"/>
        <v>64445673.822193325</v>
      </c>
      <c r="O75" s="1282">
        <f t="shared" si="18"/>
        <v>72307318.510113269</v>
      </c>
      <c r="P75" s="1282">
        <f t="shared" si="18"/>
        <v>80308048.531499684</v>
      </c>
      <c r="Q75" s="1282">
        <f t="shared" si="18"/>
        <v>89222621.150369167</v>
      </c>
      <c r="R75" s="1282">
        <f t="shared" si="18"/>
        <v>99665947.13715525</v>
      </c>
      <c r="S75" s="232"/>
      <c r="T75" s="231"/>
      <c r="U75" s="953">
        <v>3.4461910519951636E-2</v>
      </c>
      <c r="V75" s="94">
        <v>3.9804731505820506E-2</v>
      </c>
      <c r="W75" s="94">
        <v>3.417385534173855E-2</v>
      </c>
      <c r="X75" s="94">
        <v>3.4702942809550247E-2</v>
      </c>
      <c r="Z75" s="60">
        <v>0.62721893491124259</v>
      </c>
      <c r="AA75" s="60">
        <v>0.8046875</v>
      </c>
      <c r="AB75" s="60">
        <v>0.80645161290322576</v>
      </c>
    </row>
    <row r="76" spans="2:31" s="60" customFormat="1">
      <c r="B76" s="1419" t="s">
        <v>60</v>
      </c>
      <c r="C76" s="1280">
        <f>C$73*Z76</f>
        <v>0</v>
      </c>
      <c r="D76" s="1280">
        <f t="shared" si="16"/>
        <v>0</v>
      </c>
      <c r="E76" s="1280">
        <f t="shared" si="16"/>
        <v>0</v>
      </c>
      <c r="F76" s="1282">
        <f t="shared" si="18"/>
        <v>0</v>
      </c>
      <c r="G76" s="1282">
        <f t="shared" si="18"/>
        <v>0</v>
      </c>
      <c r="H76" s="1282">
        <f t="shared" si="18"/>
        <v>0</v>
      </c>
      <c r="I76" s="1282">
        <f t="shared" si="18"/>
        <v>0</v>
      </c>
      <c r="J76" s="1282">
        <f t="shared" si="18"/>
        <v>0</v>
      </c>
      <c r="K76" s="1282">
        <f t="shared" si="18"/>
        <v>0</v>
      </c>
      <c r="L76" s="1282">
        <f t="shared" si="18"/>
        <v>0</v>
      </c>
      <c r="M76" s="1282">
        <f t="shared" si="18"/>
        <v>0</v>
      </c>
      <c r="N76" s="1282">
        <f t="shared" si="18"/>
        <v>0</v>
      </c>
      <c r="O76" s="1282">
        <f t="shared" si="18"/>
        <v>0</v>
      </c>
      <c r="P76" s="1282">
        <f t="shared" si="18"/>
        <v>0</v>
      </c>
      <c r="Q76" s="1282">
        <f t="shared" si="18"/>
        <v>0</v>
      </c>
      <c r="R76" s="1282">
        <f t="shared" si="18"/>
        <v>0</v>
      </c>
      <c r="S76" s="232"/>
      <c r="T76" s="231"/>
      <c r="U76" s="953">
        <v>0</v>
      </c>
      <c r="V76" s="94">
        <v>0</v>
      </c>
      <c r="W76" s="94">
        <v>0</v>
      </c>
      <c r="X76" s="94">
        <v>0</v>
      </c>
      <c r="Z76" s="60">
        <v>0</v>
      </c>
      <c r="AA76" s="60">
        <v>0</v>
      </c>
      <c r="AB76" s="60">
        <v>0</v>
      </c>
    </row>
    <row r="77" spans="2:31" s="60" customFormat="1">
      <c r="B77" s="1419" t="s">
        <v>61</v>
      </c>
      <c r="C77" s="1280">
        <f>C$73*Z77</f>
        <v>2127337.2781065088</v>
      </c>
      <c r="D77" s="1280">
        <f t="shared" si="16"/>
        <v>1639257.8125000002</v>
      </c>
      <c r="E77" s="1280">
        <f t="shared" si="16"/>
        <v>3223548.3870967743</v>
      </c>
      <c r="F77" s="1282">
        <f t="shared" si="18"/>
        <v>5249621.9758064523</v>
      </c>
      <c r="G77" s="1282">
        <f t="shared" si="18"/>
        <v>8943800.4032258075</v>
      </c>
      <c r="H77" s="1282">
        <f t="shared" si="18"/>
        <v>10888104.838709679</v>
      </c>
      <c r="I77" s="1282">
        <f t="shared" si="18"/>
        <v>8749369.9596774206</v>
      </c>
      <c r="J77" s="1282">
        <f t="shared" si="18"/>
        <v>9708454.8484712522</v>
      </c>
      <c r="K77" s="1282">
        <f t="shared" si="18"/>
        <v>10925584.843964959</v>
      </c>
      <c r="L77" s="1282">
        <f t="shared" si="18"/>
        <v>12262086.559937822</v>
      </c>
      <c r="M77" s="1282">
        <f t="shared" si="18"/>
        <v>13838844.642019525</v>
      </c>
      <c r="N77" s="1282">
        <f t="shared" si="18"/>
        <v>15554461.865735071</v>
      </c>
      <c r="O77" s="1282">
        <f t="shared" si="18"/>
        <v>17451930.621164523</v>
      </c>
      <c r="P77" s="1282">
        <f t="shared" si="18"/>
        <v>19382968.697654314</v>
      </c>
      <c r="Q77" s="1282">
        <f t="shared" si="18"/>
        <v>21534569.753639862</v>
      </c>
      <c r="R77" s="1282">
        <f t="shared" si="18"/>
        <v>24055147.259914059</v>
      </c>
      <c r="S77" s="232"/>
      <c r="T77" s="231"/>
      <c r="U77" s="953">
        <v>8.3131801692865777E-3</v>
      </c>
      <c r="V77" s="94">
        <v>1.3143071723619977E-2</v>
      </c>
      <c r="W77" s="94">
        <v>8.2946250829462505E-3</v>
      </c>
      <c r="X77" s="94">
        <v>8.3287062742920595E-3</v>
      </c>
      <c r="Z77" s="60">
        <v>0.20710059171597631</v>
      </c>
      <c r="AA77" s="60">
        <v>0.19531250000000003</v>
      </c>
      <c r="AB77" s="60">
        <v>0.19354838709677419</v>
      </c>
    </row>
    <row r="78" spans="2:31" s="60" customFormat="1">
      <c r="B78" s="1407" t="s">
        <v>211</v>
      </c>
      <c r="C78" s="1412">
        <f>'IMF Data'!C47*1000</f>
        <v>16543479.999999981</v>
      </c>
      <c r="D78" s="1412">
        <f>'IMF Data'!D47*1000</f>
        <v>4663000</v>
      </c>
      <c r="E78" s="1412">
        <f>'IMF Data'!E47*1000</f>
        <v>4156000.0000000009</v>
      </c>
      <c r="F78" s="1412">
        <f>'IMF Data'!F47*1000</f>
        <v>9454780.4799999986</v>
      </c>
      <c r="G78" s="1412">
        <f>'IMF Data'!G47*1000</f>
        <v>8131799.0499999998</v>
      </c>
      <c r="H78" s="1412">
        <f>'IMF Data'!H47*1000</f>
        <v>31832000</v>
      </c>
      <c r="I78" s="1412">
        <f>'IMF Data'!I47*1000</f>
        <v>21640000</v>
      </c>
      <c r="J78" s="1412">
        <f>'IMF Data'!J47*1000</f>
        <v>24259672.423821378</v>
      </c>
      <c r="K78" s="1412">
        <f>'IMF Data'!K47*1000</f>
        <v>27301060.105871942</v>
      </c>
      <c r="L78" s="1412">
        <f>'IMF Data'!L47*1000</f>
        <v>30640736.12326438</v>
      </c>
      <c r="M78" s="1412">
        <f>'IMF Data'!M47*1000</f>
        <v>34930070.037986092</v>
      </c>
      <c r="N78" s="1412">
        <f>'IMF Data'!N47*1000</f>
        <v>39260390.330823347</v>
      </c>
      <c r="O78" s="1412">
        <f>'IMF Data'!O47*1000</f>
        <v>44049714.746013038</v>
      </c>
      <c r="P78" s="1412">
        <f>'IMF Data'!P47*1000</f>
        <v>48923770.131605044</v>
      </c>
      <c r="Q78" s="1412">
        <f>'IMF Data'!Q47*1000</f>
        <v>54354539.644775361</v>
      </c>
      <c r="R78" s="1412">
        <f>'IMF Data'!R47*1000</f>
        <v>60716627.745901801</v>
      </c>
      <c r="S78" s="232"/>
      <c r="T78" s="231"/>
      <c r="U78" s="953">
        <v>6.7714631197097946E-2</v>
      </c>
      <c r="V78" s="94">
        <v>8.4491175366128421E-2</v>
      </c>
      <c r="W78" s="94">
        <v>6.9343065693430656E-2</v>
      </c>
      <c r="X78" s="94">
        <v>6.6352026651860074E-2</v>
      </c>
    </row>
    <row r="79" spans="2:31" s="60" customFormat="1">
      <c r="B79" s="1408" t="s">
        <v>316</v>
      </c>
      <c r="C79" s="1412">
        <f>'IMF Data'!C48*1000</f>
        <v>0</v>
      </c>
      <c r="D79" s="1412">
        <f>'IMF Data'!D48*1000</f>
        <v>0</v>
      </c>
      <c r="E79" s="1412">
        <f>'IMF Data'!E48*1000</f>
        <v>0</v>
      </c>
      <c r="F79" s="1412">
        <f>'IMF Data'!F48*1000</f>
        <v>0</v>
      </c>
      <c r="G79" s="1412">
        <f>'IMF Data'!G48*1000</f>
        <v>10000000</v>
      </c>
      <c r="H79" s="1412">
        <f>'IMF Data'!H48*1000</f>
        <v>2000000</v>
      </c>
      <c r="I79" s="1412">
        <f>'IMF Data'!I48*1000</f>
        <v>0</v>
      </c>
      <c r="J79" s="1412">
        <f>'IMF Data'!J48*1000</f>
        <v>0</v>
      </c>
      <c r="K79" s="1412">
        <f>'IMF Data'!K48*1000</f>
        <v>0</v>
      </c>
      <c r="L79" s="1412">
        <f>'IMF Data'!L48*1000</f>
        <v>0</v>
      </c>
      <c r="M79" s="1412">
        <f>'IMF Data'!M48*1000</f>
        <v>0</v>
      </c>
      <c r="N79" s="1412">
        <f>'IMF Data'!N48*1000</f>
        <v>0</v>
      </c>
      <c r="O79" s="1412">
        <f>'IMF Data'!O48*1000</f>
        <v>0</v>
      </c>
      <c r="P79" s="1412">
        <f>'IMF Data'!P48*1000</f>
        <v>0</v>
      </c>
      <c r="Q79" s="1412">
        <f>'IMF Data'!Q48*1000</f>
        <v>0</v>
      </c>
      <c r="R79" s="1412">
        <f>'IMF Data'!R48*1000</f>
        <v>0</v>
      </c>
      <c r="S79" s="232"/>
      <c r="T79" s="231"/>
      <c r="U79" s="953">
        <v>0</v>
      </c>
      <c r="V79" s="94">
        <v>0</v>
      </c>
      <c r="W79" s="94">
        <v>0</v>
      </c>
      <c r="X79" s="94">
        <v>0</v>
      </c>
    </row>
    <row r="80" spans="2:31" s="1234" customFormat="1">
      <c r="B80" s="1408"/>
      <c r="C80" s="1280"/>
      <c r="D80" s="1280"/>
      <c r="E80" s="1280"/>
      <c r="F80" s="1280"/>
      <c r="G80" s="1280"/>
      <c r="H80" s="1280"/>
      <c r="I80" s="1280"/>
      <c r="J80" s="1280"/>
      <c r="K80" s="1280"/>
      <c r="L80" s="1280"/>
      <c r="M80" s="1280"/>
      <c r="N80" s="1280"/>
      <c r="O80" s="1280"/>
      <c r="P80" s="1280"/>
      <c r="Q80" s="1280"/>
      <c r="R80" s="1280"/>
      <c r="S80" s="1443"/>
      <c r="T80" s="1444"/>
      <c r="U80" s="1277"/>
      <c r="V80" s="1278"/>
      <c r="W80" s="1278"/>
      <c r="X80" s="1278"/>
    </row>
    <row r="81" spans="1:24" s="1234" customFormat="1">
      <c r="B81" s="1409" t="s">
        <v>1065</v>
      </c>
      <c r="C81" s="1280"/>
      <c r="D81" s="1280"/>
      <c r="E81" s="1280"/>
      <c r="F81" s="1280"/>
      <c r="G81" s="1280"/>
      <c r="H81" s="1280"/>
      <c r="I81" s="1280"/>
      <c r="J81" s="1280"/>
      <c r="K81" s="1280"/>
      <c r="L81" s="1280"/>
      <c r="M81" s="1280"/>
      <c r="N81" s="1280"/>
      <c r="O81" s="1280"/>
      <c r="P81" s="1280"/>
      <c r="Q81" s="1280"/>
      <c r="R81" s="1280"/>
      <c r="S81" s="1443"/>
      <c r="T81" s="1444"/>
      <c r="U81" s="1277"/>
      <c r="V81" s="1278"/>
      <c r="W81" s="1278"/>
      <c r="X81" s="1278"/>
    </row>
    <row r="82" spans="1:24" s="60" customFormat="1" ht="24.75">
      <c r="A82" s="1442"/>
      <c r="B82" s="1415" t="s">
        <v>1063</v>
      </c>
      <c r="C82" s="1412"/>
      <c r="D82" s="1412"/>
      <c r="E82" s="1412"/>
      <c r="F82" s="1412"/>
      <c r="G82" s="1412"/>
      <c r="H82" s="1412">
        <f>'PENS (Universal)'!B$144 + 'CHILD (Holistic benefit)'!B$206 + 'Working age (Holistic)'!B$91</f>
        <v>0</v>
      </c>
      <c r="I82" s="1412">
        <f>'PENS (Universal)'!C$144 + 'CHILD (Holistic benefit)'!C$206 + 'Working age (Holistic)'!C$91</f>
        <v>17743985.86802648</v>
      </c>
      <c r="J82" s="1412">
        <f>'PENS (Universal)'!D$144 + 'CHILD (Holistic benefit)'!D$206 + 'Working age (Holistic)'!D$91</f>
        <v>41532965.789959349</v>
      </c>
      <c r="K82" s="1412">
        <f>'PENS (Universal)'!E$144 + 'CHILD (Holistic benefit)'!E$206 + 'Working age (Holistic)'!E$91</f>
        <v>55915758.867682911</v>
      </c>
      <c r="L82" s="1412">
        <f>'PENS (Universal)'!F$144 + 'CHILD (Holistic benefit)'!F$206 + 'Working age (Holistic)'!F$91</f>
        <v>72973897.521519765</v>
      </c>
      <c r="M82" s="1412">
        <f>'PENS (Universal)'!G$144 + 'CHILD (Holistic benefit)'!G$206 + 'Working age (Holistic)'!G$91</f>
        <v>89471083.549709991</v>
      </c>
      <c r="N82" s="1412">
        <f>'PENS (Universal)'!H$144 + 'CHILD (Holistic benefit)'!H$206 + 'Working age (Holistic)'!H$91</f>
        <v>109003062.70871964</v>
      </c>
      <c r="O82" s="1412">
        <f>'PENS (Universal)'!I$144 + 'CHILD (Holistic benefit)'!I$206 + 'Working age (Holistic)'!I$91</f>
        <v>122901344.00084251</v>
      </c>
      <c r="P82" s="1412">
        <f>'PENS (Universal)'!J$144 + 'CHILD (Holistic benefit)'!J$206 + 'Working age (Holistic)'!J$91</f>
        <v>138250492.4434157</v>
      </c>
      <c r="Q82" s="1412">
        <f>'PENS (Universal)'!K$144 + 'CHILD (Holistic benefit)'!K$206 + 'Working age (Holistic)'!K$91</f>
        <v>157773288.77109733</v>
      </c>
      <c r="R82" s="1412">
        <f>'PENS (Universal)'!L$144 + 'CHILD (Holistic benefit)'!L$206 + 'Working age (Holistic)'!L$91</f>
        <v>178175384.47179464</v>
      </c>
      <c r="S82" s="232"/>
      <c r="T82" s="231"/>
      <c r="U82" s="953"/>
      <c r="V82" s="94"/>
      <c r="W82" s="94"/>
      <c r="X82" s="94"/>
    </row>
    <row r="83" spans="1:24" s="60" customFormat="1" ht="36.75">
      <c r="A83" s="1442"/>
      <c r="B83" s="1415" t="s">
        <v>1064</v>
      </c>
      <c r="C83" s="1412"/>
      <c r="D83" s="1412"/>
      <c r="E83" s="1412"/>
      <c r="F83" s="1412"/>
      <c r="G83" s="1412"/>
      <c r="H83" s="1412">
        <f>'PENS (Universal)'!B$241 + 'CHILD (Holistic benefit)'!B$206 + 'Working age (Holistic)'!B$91</f>
        <v>0</v>
      </c>
      <c r="I83" s="1412">
        <f>'PENS (Universal)'!C$144 + 'CHILD (Holistic benefit)'!C$206 + 'Working age (Holistic)'!C$91</f>
        <v>17743985.86802648</v>
      </c>
      <c r="J83" s="1412">
        <f>'PENS (Universal)'!D$144 + 'CHILD (Holistic benefit)'!D$206 + 'Working age (Holistic)'!D$91</f>
        <v>41532965.789959349</v>
      </c>
      <c r="K83" s="1412">
        <f>'PENS (Universal)'!E$144 + 'CHILD (Holistic benefit)'!E$206 + 'Working age (Holistic)'!E$91</f>
        <v>55915758.867682911</v>
      </c>
      <c r="L83" s="1412">
        <f>'PENS (Universal)'!F$144 + 'CHILD (Holistic benefit)'!F$206 + 'Working age (Holistic)'!F$91</f>
        <v>72973897.521519765</v>
      </c>
      <c r="M83" s="1412">
        <f>'PENS (Universal)'!G$144 + 'CHILD (Holistic benefit)'!G$206 + 'Working age (Holistic)'!G$91</f>
        <v>89471083.549709991</v>
      </c>
      <c r="N83" s="1412">
        <f>'PENS (Universal)'!H$144 + 'CHILD (Holistic benefit)'!H$206 + 'Working age (Holistic)'!H$91</f>
        <v>109003062.70871964</v>
      </c>
      <c r="O83" s="1412">
        <f>'PENS (Universal)'!I$144 + 'CHILD (Holistic benefit)'!I$206 + 'Working age (Holistic)'!I$91</f>
        <v>122901344.00084251</v>
      </c>
      <c r="P83" s="1412">
        <f>'PENS (Universal)'!J$144 + 'CHILD (Holistic benefit)'!J$206 + 'Working age (Holistic)'!J$91</f>
        <v>138250492.4434157</v>
      </c>
      <c r="Q83" s="1412">
        <f>'PENS (Universal)'!K$144 + 'CHILD (Holistic benefit)'!K$206 + 'Working age (Holistic)'!K$91</f>
        <v>157773288.77109733</v>
      </c>
      <c r="R83" s="1412">
        <f>'PENS (Universal)'!L$144 + 'CHILD (Holistic benefit)'!L$206 + 'Working age (Holistic)'!L$91</f>
        <v>178175384.47179464</v>
      </c>
      <c r="S83" s="232"/>
      <c r="T83" s="231"/>
      <c r="U83" s="953"/>
      <c r="V83" s="94"/>
      <c r="W83" s="94"/>
      <c r="X83" s="94"/>
    </row>
    <row r="84" spans="1:24" s="1234" customFormat="1" ht="6" customHeight="1">
      <c r="B84" s="1410"/>
      <c r="C84" s="1280"/>
      <c r="D84" s="1280"/>
      <c r="E84" s="1280"/>
      <c r="F84" s="1280"/>
      <c r="G84" s="1280"/>
      <c r="H84" s="1280"/>
      <c r="I84" s="1280"/>
      <c r="J84" s="1280"/>
      <c r="K84" s="1280"/>
      <c r="L84" s="1280"/>
      <c r="M84" s="1280"/>
      <c r="N84" s="1280"/>
      <c r="O84" s="1280"/>
      <c r="P84" s="1280"/>
      <c r="Q84" s="1280"/>
      <c r="R84" s="1280"/>
      <c r="S84" s="1443"/>
      <c r="T84" s="1444"/>
      <c r="U84" s="1277"/>
      <c r="V84" s="1278"/>
      <c r="W84" s="1278"/>
      <c r="X84" s="1278"/>
    </row>
    <row r="85" spans="1:24" s="60" customFormat="1">
      <c r="A85" s="1442"/>
      <c r="B85" s="1414" t="s">
        <v>1052</v>
      </c>
      <c r="C85" s="1412"/>
      <c r="D85" s="1412"/>
      <c r="E85" s="1412"/>
      <c r="F85" s="1412"/>
      <c r="G85" s="1412"/>
      <c r="H85" s="1412">
        <f>'Interest "modest scenario"'!H$80</f>
        <v>0</v>
      </c>
      <c r="I85" s="1412">
        <f>'Interest "modest scenario"'!I$80</f>
        <v>918.24673772003734</v>
      </c>
      <c r="J85" s="1412">
        <f>'Interest "modest scenario"'!J$80</f>
        <v>2850.6585751955863</v>
      </c>
      <c r="K85" s="1412">
        <f>'Interest "modest scenario"'!K$80</f>
        <v>6408.6261094404908</v>
      </c>
      <c r="L85" s="1412">
        <f>'Interest "modest scenario"'!L$80</f>
        <v>10924.247787845437</v>
      </c>
      <c r="M85" s="1412">
        <f>'Interest "modest scenario"'!M$80</f>
        <v>16352.359992200363</v>
      </c>
      <c r="N85" s="1412">
        <f>'Interest "modest scenario"'!N$80</f>
        <v>22241.417563161463</v>
      </c>
      <c r="O85" s="1412">
        <f>'Interest "modest scenario"'!O$80</f>
        <v>29554.213649244164</v>
      </c>
      <c r="P85" s="1412">
        <f>'Interest "modest scenario"'!P$80</f>
        <v>39098.644981204794</v>
      </c>
      <c r="Q85" s="1412">
        <f>'Interest "modest scenario"'!Q$80</f>
        <v>50783.59208189827</v>
      </c>
      <c r="R85" s="1412">
        <f>'Interest "modest scenario"'!R$80</f>
        <v>68129.097025800962</v>
      </c>
      <c r="S85" s="232"/>
      <c r="T85" s="231"/>
      <c r="U85" s="953"/>
      <c r="V85" s="94"/>
      <c r="W85" s="94"/>
      <c r="X85" s="94"/>
    </row>
    <row r="86" spans="1:24" s="1234" customFormat="1">
      <c r="B86" s="1408"/>
      <c r="C86" s="1280"/>
      <c r="D86" s="1280"/>
      <c r="E86" s="1280"/>
      <c r="F86" s="1280"/>
      <c r="G86" s="1280"/>
      <c r="H86" s="1280"/>
      <c r="I86" s="1280"/>
      <c r="J86" s="1280"/>
      <c r="K86" s="1280"/>
      <c r="L86" s="1280"/>
      <c r="M86" s="1280"/>
      <c r="N86" s="1280"/>
      <c r="O86" s="1280"/>
      <c r="P86" s="1280"/>
      <c r="Q86" s="1280"/>
      <c r="R86" s="1280"/>
      <c r="S86" s="1443"/>
      <c r="T86" s="1444"/>
      <c r="U86" s="1277"/>
      <c r="V86" s="1278"/>
      <c r="W86" s="1278"/>
      <c r="X86" s="1278"/>
    </row>
    <row r="87" spans="1:24" s="60" customFormat="1">
      <c r="A87" s="1442"/>
      <c r="B87" s="1432" t="s">
        <v>1066</v>
      </c>
      <c r="C87" s="1416"/>
      <c r="D87" s="1416"/>
      <c r="E87" s="1416"/>
      <c r="F87" s="1416"/>
      <c r="G87" s="1416"/>
      <c r="H87" s="1416"/>
      <c r="I87" s="1416"/>
      <c r="J87" s="1416"/>
      <c r="K87" s="1416"/>
      <c r="L87" s="1416"/>
      <c r="M87" s="1416"/>
      <c r="N87" s="1416"/>
      <c r="O87" s="1416"/>
      <c r="P87" s="1416"/>
      <c r="Q87" s="1416"/>
      <c r="R87" s="1416"/>
      <c r="S87" s="232"/>
      <c r="T87" s="231"/>
      <c r="U87" s="953"/>
      <c r="V87" s="94"/>
      <c r="W87" s="94"/>
      <c r="X87" s="94"/>
    </row>
    <row r="88" spans="1:24" s="60" customFormat="1" ht="24.75">
      <c r="A88" s="1442"/>
      <c r="B88" s="1415" t="s">
        <v>1063</v>
      </c>
      <c r="C88" s="1412">
        <f>C47+C70+C72+C82+C85</f>
        <v>255907479.99999997</v>
      </c>
      <c r="D88" s="1412">
        <f t="shared" ref="D88:R88" si="19">D47+D70+D72+D82+D85</f>
        <v>281466000</v>
      </c>
      <c r="E88" s="1412">
        <f t="shared" si="19"/>
        <v>356931178.92699999</v>
      </c>
      <c r="F88" s="1412">
        <f t="shared" si="19"/>
        <v>448286780.48000002</v>
      </c>
      <c r="G88" s="1412">
        <f t="shared" si="19"/>
        <v>591473799.04999995</v>
      </c>
      <c r="H88" s="1412">
        <f t="shared" si="19"/>
        <v>685042000</v>
      </c>
      <c r="I88" s="1412">
        <f t="shared" si="19"/>
        <v>781547490.4084816</v>
      </c>
      <c r="J88" s="1412">
        <f t="shared" si="19"/>
        <v>918908916.15961874</v>
      </c>
      <c r="K88" s="1412">
        <f t="shared" si="19"/>
        <v>1058311180.3759687</v>
      </c>
      <c r="L88" s="1412">
        <f t="shared" si="19"/>
        <v>1217661124.6656229</v>
      </c>
      <c r="M88" s="1412">
        <f t="shared" si="19"/>
        <v>1390338603.5886555</v>
      </c>
      <c r="N88" s="1412">
        <f t="shared" si="19"/>
        <v>1578920746.4032404</v>
      </c>
      <c r="O88" s="1412">
        <f t="shared" si="19"/>
        <v>1784644112.6150119</v>
      </c>
      <c r="P88" s="1412">
        <f t="shared" si="19"/>
        <v>2012318816.5627933</v>
      </c>
      <c r="Q88" s="1412">
        <f t="shared" si="19"/>
        <v>2272428139.2710662</v>
      </c>
      <c r="R88" s="1412">
        <f t="shared" si="19"/>
        <v>2565245892.3570199</v>
      </c>
      <c r="S88" s="232"/>
      <c r="T88" s="231"/>
      <c r="U88" s="953"/>
      <c r="V88" s="94"/>
      <c r="W88" s="94"/>
      <c r="X88" s="94"/>
    </row>
    <row r="89" spans="1:24" s="60" customFormat="1" ht="36.75">
      <c r="A89" s="1442"/>
      <c r="B89" s="1417" t="s">
        <v>1064</v>
      </c>
      <c r="C89" s="1418">
        <f>C47+C70+C72+C83+C85</f>
        <v>255907479.99999997</v>
      </c>
      <c r="D89" s="1418">
        <f t="shared" ref="D89:R89" si="20">D47+D70+D72+D83+D85</f>
        <v>281466000</v>
      </c>
      <c r="E89" s="1418">
        <f t="shared" si="20"/>
        <v>356931178.92699999</v>
      </c>
      <c r="F89" s="1418">
        <f t="shared" si="20"/>
        <v>448286780.48000002</v>
      </c>
      <c r="G89" s="1418">
        <f t="shared" si="20"/>
        <v>591473799.04999995</v>
      </c>
      <c r="H89" s="1418">
        <f t="shared" si="20"/>
        <v>685042000</v>
      </c>
      <c r="I89" s="1418">
        <f t="shared" si="20"/>
        <v>781547490.4084816</v>
      </c>
      <c r="J89" s="1418">
        <f t="shared" si="20"/>
        <v>918908916.15961874</v>
      </c>
      <c r="K89" s="1418">
        <f t="shared" si="20"/>
        <v>1058311180.3759687</v>
      </c>
      <c r="L89" s="1418">
        <f t="shared" si="20"/>
        <v>1217661124.6656229</v>
      </c>
      <c r="M89" s="1418">
        <f t="shared" si="20"/>
        <v>1390338603.5886555</v>
      </c>
      <c r="N89" s="1418">
        <f t="shared" si="20"/>
        <v>1578920746.4032404</v>
      </c>
      <c r="O89" s="1418">
        <f t="shared" si="20"/>
        <v>1784644112.6150119</v>
      </c>
      <c r="P89" s="1418">
        <f t="shared" si="20"/>
        <v>2012318816.5627933</v>
      </c>
      <c r="Q89" s="1418">
        <f t="shared" si="20"/>
        <v>2272428139.2710662</v>
      </c>
      <c r="R89" s="1418">
        <f t="shared" si="20"/>
        <v>2565245892.3570199</v>
      </c>
      <c r="S89" s="232"/>
      <c r="T89" s="231"/>
      <c r="U89" s="953"/>
      <c r="V89" s="94"/>
      <c r="W89" s="94"/>
      <c r="X89" s="94"/>
    </row>
    <row r="90" spans="1:24" s="1234" customFormat="1">
      <c r="B90" s="1408"/>
      <c r="C90" s="1280"/>
      <c r="D90" s="1280"/>
      <c r="E90" s="1280"/>
      <c r="F90" s="1280"/>
      <c r="G90" s="1280"/>
      <c r="H90" s="1280"/>
      <c r="I90" s="1280"/>
      <c r="J90" s="1280"/>
      <c r="K90" s="1280"/>
      <c r="L90" s="1280"/>
      <c r="M90" s="1280"/>
      <c r="N90" s="1280"/>
      <c r="O90" s="1280"/>
      <c r="P90" s="1280"/>
      <c r="Q90" s="1280"/>
      <c r="R90" s="1280"/>
      <c r="S90" s="1443"/>
      <c r="T90" s="1444"/>
      <c r="U90" s="1277"/>
      <c r="V90" s="1278"/>
      <c r="W90" s="1278"/>
      <c r="X90" s="1278"/>
    </row>
    <row r="91" spans="1:24" s="60" customFormat="1" ht="16.5" thickBot="1">
      <c r="B91" s="1445" t="s">
        <v>1067</v>
      </c>
      <c r="C91" s="1423"/>
      <c r="D91" s="1423"/>
      <c r="E91" s="1423"/>
      <c r="F91" s="1423"/>
      <c r="G91" s="1423"/>
      <c r="H91" s="1423"/>
      <c r="I91" s="1423"/>
      <c r="J91" s="1423"/>
      <c r="K91" s="1423"/>
      <c r="L91" s="1423"/>
      <c r="M91" s="1423"/>
      <c r="N91" s="1423"/>
      <c r="O91" s="1423"/>
      <c r="P91" s="1423"/>
      <c r="Q91" s="1423"/>
      <c r="R91" s="1423"/>
      <c r="S91" s="232"/>
      <c r="T91" s="231"/>
      <c r="U91" s="953"/>
      <c r="V91" s="94"/>
      <c r="W91" s="94"/>
      <c r="X91" s="94"/>
    </row>
    <row r="92" spans="1:24" s="60" customFormat="1" ht="16.5" thickBot="1">
      <c r="A92" s="1024" t="s">
        <v>672</v>
      </c>
      <c r="B92" s="1424" t="s">
        <v>62</v>
      </c>
      <c r="C92" s="1425">
        <f t="shared" ref="C92:R92" si="21">C47+C70+C72</f>
        <v>255907479.99999997</v>
      </c>
      <c r="D92" s="1426">
        <f t="shared" si="21"/>
        <v>281466000</v>
      </c>
      <c r="E92" s="1426">
        <f t="shared" si="21"/>
        <v>356931178.92699999</v>
      </c>
      <c r="F92" s="1426">
        <f t="shared" si="21"/>
        <v>448286780.48000002</v>
      </c>
      <c r="G92" s="1426">
        <f t="shared" si="21"/>
        <v>591473799.04999995</v>
      </c>
      <c r="H92" s="1426">
        <f t="shared" si="21"/>
        <v>685042000</v>
      </c>
      <c r="I92" s="1426">
        <f t="shared" si="21"/>
        <v>763802586.29371738</v>
      </c>
      <c r="J92" s="1426">
        <f t="shared" si="21"/>
        <v>877373099.71108425</v>
      </c>
      <c r="K92" s="1426">
        <f t="shared" si="21"/>
        <v>1002389012.8821763</v>
      </c>
      <c r="L92" s="1426">
        <f t="shared" si="21"/>
        <v>1144676302.8963153</v>
      </c>
      <c r="M92" s="1426">
        <f t="shared" si="21"/>
        <v>1300851167.6789532</v>
      </c>
      <c r="N92" s="1426">
        <f t="shared" si="21"/>
        <v>1469895442.2769575</v>
      </c>
      <c r="O92" s="1426">
        <f t="shared" si="21"/>
        <v>1661713214.4005201</v>
      </c>
      <c r="P92" s="1426">
        <f t="shared" si="21"/>
        <v>1874029225.4743965</v>
      </c>
      <c r="Q92" s="1426">
        <f t="shared" si="21"/>
        <v>2114604066.907887</v>
      </c>
      <c r="R92" s="1427">
        <f t="shared" si="21"/>
        <v>2387002378.7881994</v>
      </c>
      <c r="S92" s="1224"/>
      <c r="T92" s="1020"/>
      <c r="U92" s="953">
        <v>1</v>
      </c>
      <c r="V92" s="94">
        <v>1</v>
      </c>
      <c r="W92" s="94">
        <v>1</v>
      </c>
      <c r="X92" s="94">
        <v>1</v>
      </c>
    </row>
    <row r="93" spans="1:24" s="60" customFormat="1">
      <c r="B93" s="1428" t="s">
        <v>212</v>
      </c>
      <c r="C93" s="1429">
        <f>'IMF Data'!C50*1000</f>
        <v>255907479.99999997</v>
      </c>
      <c r="D93" s="1430">
        <f>'IMF Data'!D50*1000</f>
        <v>281466000</v>
      </c>
      <c r="E93" s="1430">
        <f>'IMF Data'!E50*1000</f>
        <v>356931178.92700005</v>
      </c>
      <c r="F93" s="1430">
        <f>'IMF Data'!F50*1000</f>
        <v>448286780.48000002</v>
      </c>
      <c r="G93" s="1430">
        <f>'IMF Data'!G50*1000</f>
        <v>591473799.05000007</v>
      </c>
      <c r="H93" s="1430">
        <f>'IMF Data'!H50*1000</f>
        <v>685042000</v>
      </c>
      <c r="I93" s="1430">
        <f>'IMF Data'!I50*1000</f>
        <v>763802586.29371738</v>
      </c>
      <c r="J93" s="1430">
        <f>'IMF Data'!J50*1000</f>
        <v>877373099.71108425</v>
      </c>
      <c r="K93" s="1430">
        <f>'IMF Data'!K50*1000</f>
        <v>1002389012.8821763</v>
      </c>
      <c r="L93" s="1430">
        <f>'IMF Data'!L50*1000</f>
        <v>1144676302.8963153</v>
      </c>
      <c r="M93" s="1430">
        <f>'IMF Data'!M50*1000</f>
        <v>1300851167.6789532</v>
      </c>
      <c r="N93" s="1430">
        <f>'IMF Data'!N50*1000</f>
        <v>1469895442.276958</v>
      </c>
      <c r="O93" s="1430">
        <f>'IMF Data'!O50*1000</f>
        <v>1661713214.4005201</v>
      </c>
      <c r="P93" s="1430">
        <f>'IMF Data'!P50*1000</f>
        <v>1874029225.4743962</v>
      </c>
      <c r="Q93" s="1430">
        <f>'IMF Data'!Q50*1000</f>
        <v>2114604066.9078875</v>
      </c>
      <c r="R93" s="1431">
        <f>'IMF Data'!R50*1000</f>
        <v>2387002378.7881999</v>
      </c>
      <c r="S93" s="308"/>
      <c r="T93" s="1017"/>
      <c r="U93" s="231"/>
      <c r="V93" s="231"/>
      <c r="W93" s="231"/>
      <c r="X93" s="231"/>
    </row>
    <row r="94" spans="1:24" s="60" customFormat="1">
      <c r="B94" s="709"/>
      <c r="C94" s="1007"/>
      <c r="D94" s="1008"/>
      <c r="E94" s="1008"/>
      <c r="F94" s="1008"/>
      <c r="G94" s="1008"/>
      <c r="H94" s="1008"/>
      <c r="I94" s="1007"/>
      <c r="J94" s="1008"/>
      <c r="K94" s="1008"/>
      <c r="L94" s="1008"/>
      <c r="M94" s="1008"/>
      <c r="N94" s="1008"/>
      <c r="O94" s="1008"/>
      <c r="P94" s="1008"/>
      <c r="Q94" s="1008"/>
      <c r="R94" s="1009"/>
      <c r="S94" s="1010"/>
    </row>
    <row r="95" spans="1:24" s="60" customFormat="1">
      <c r="B95" s="709" t="s">
        <v>674</v>
      </c>
      <c r="C95" s="1007"/>
      <c r="D95" s="1008"/>
      <c r="E95" s="1008"/>
      <c r="F95" s="1008"/>
      <c r="G95" s="1008"/>
      <c r="H95" s="1008"/>
      <c r="I95" s="1007"/>
      <c r="J95" s="1008"/>
      <c r="K95" s="1008"/>
      <c r="L95" s="1008"/>
      <c r="M95" s="1008"/>
      <c r="N95" s="1008"/>
      <c r="O95" s="1008"/>
      <c r="P95" s="1008"/>
      <c r="Q95" s="1008"/>
      <c r="R95" s="1009"/>
      <c r="S95" s="1010"/>
    </row>
    <row r="96" spans="1:24" s="60" customFormat="1">
      <c r="B96" s="298" t="s">
        <v>763</v>
      </c>
      <c r="C96" s="666"/>
      <c r="D96" s="667"/>
      <c r="E96" s="667"/>
      <c r="F96" s="667"/>
      <c r="G96" s="667"/>
      <c r="H96" s="668"/>
      <c r="I96" s="666"/>
      <c r="J96" s="667"/>
      <c r="K96" s="667"/>
      <c r="L96" s="667"/>
      <c r="M96" s="667"/>
      <c r="N96" s="667"/>
      <c r="O96" s="667"/>
      <c r="P96" s="667"/>
      <c r="Q96" s="667"/>
      <c r="R96" s="668"/>
      <c r="S96" s="1010"/>
    </row>
    <row r="97" spans="1:19" s="60" customFormat="1">
      <c r="A97" s="1343"/>
      <c r="B97" s="662"/>
      <c r="C97" s="1011">
        <v>2005</v>
      </c>
      <c r="D97" s="1012">
        <v>2006</v>
      </c>
      <c r="E97" s="1012">
        <v>2007</v>
      </c>
      <c r="F97" s="1012">
        <v>2008</v>
      </c>
      <c r="G97" s="1012">
        <v>2009</v>
      </c>
      <c r="H97" s="1012">
        <v>2010</v>
      </c>
      <c r="I97" s="1013">
        <v>2011</v>
      </c>
      <c r="J97" s="1013">
        <v>2012</v>
      </c>
      <c r="K97" s="1013">
        <v>2013</v>
      </c>
      <c r="L97" s="1013">
        <v>2014</v>
      </c>
      <c r="M97" s="1013">
        <v>2015</v>
      </c>
      <c r="N97" s="1013">
        <v>2016</v>
      </c>
      <c r="O97" s="1013">
        <v>2017</v>
      </c>
      <c r="P97" s="1013">
        <v>2018</v>
      </c>
      <c r="Q97" s="1013">
        <v>2019</v>
      </c>
      <c r="R97" s="1013">
        <v>2020</v>
      </c>
      <c r="S97" s="1010"/>
    </row>
    <row r="98" spans="1:19" s="63" customFormat="1">
      <c r="A98" s="1343"/>
      <c r="B98" s="1192" t="s">
        <v>859</v>
      </c>
      <c r="C98" s="1228">
        <f>C20/ECO!B$64*100</f>
        <v>26.751308852029503</v>
      </c>
      <c r="D98" s="1229">
        <f>D20/ECO!C$64*100</f>
        <v>27.874859509476369</v>
      </c>
      <c r="E98" s="1229">
        <f>E20/ECO!D$64*100</f>
        <v>28.144992243051409</v>
      </c>
      <c r="F98" s="1229">
        <f>F20/ECO!E$64*100</f>
        <v>28.358533586345942</v>
      </c>
      <c r="G98" s="1229">
        <f>G20/ECO!F$64*100</f>
        <v>26.279781161114791</v>
      </c>
      <c r="H98" s="1229">
        <f>H20/ECO!G$64*100</f>
        <v>27.890498679515584</v>
      </c>
      <c r="I98" s="1229">
        <f>I20/ECO!H$64*100</f>
        <v>27.577708355429998</v>
      </c>
      <c r="J98" s="1229">
        <f>J20/ECO!I$64*100</f>
        <v>27.893866463348783</v>
      </c>
      <c r="K98" s="1229">
        <f>K20/ECO!J$64*100</f>
        <v>27.932353544354438</v>
      </c>
      <c r="L98" s="1229">
        <f>L20/ECO!K$64*100</f>
        <v>28.06806079361499</v>
      </c>
      <c r="M98" s="1229">
        <f>M20/ECO!L$64*100</f>
        <v>28.295834725281711</v>
      </c>
      <c r="N98" s="1229">
        <f>N20/ECO!M$64*100</f>
        <v>28.262854627461749</v>
      </c>
      <c r="O98" s="1229">
        <f>O20/ECO!N$64*100</f>
        <v>28.109308367631865</v>
      </c>
      <c r="P98" s="1229">
        <f>P20/ECO!O$64*100</f>
        <v>28.009178870467679</v>
      </c>
      <c r="Q98" s="1229">
        <f>Q20/ECO!P$64*100</f>
        <v>27.887111308837152</v>
      </c>
      <c r="R98" s="1230">
        <f>R20/ECO!Q$64*100</f>
        <v>27.758192776929885</v>
      </c>
      <c r="S98" s="1034"/>
    </row>
    <row r="99" spans="1:19" s="63" customFormat="1">
      <c r="A99" s="1343"/>
      <c r="B99" s="1184" t="s">
        <v>321</v>
      </c>
      <c r="C99" s="1231">
        <f>C21/ECO!B$64*100</f>
        <v>7.9310183277210689</v>
      </c>
      <c r="D99" s="1232">
        <f>D21/ECO!C$64*100</f>
        <v>8.5547566627149685</v>
      </c>
      <c r="E99" s="1232">
        <f>E21/ECO!D$64*100</f>
        <v>6.8753120393816705</v>
      </c>
      <c r="F99" s="1232">
        <f>F21/ECO!E$64*100</f>
        <v>6.03371765570982</v>
      </c>
      <c r="G99" s="1232">
        <f>G21/ECO!F$64*100</f>
        <v>3.6481187465666984</v>
      </c>
      <c r="H99" s="1232">
        <f>H21/ECO!G$64*100</f>
        <v>3.4892783932108151</v>
      </c>
      <c r="I99" s="1232">
        <f>I21/ECO!H$64*100</f>
        <v>3.439531124104473</v>
      </c>
      <c r="J99" s="1232">
        <f>J21/ECO!I$64*100</f>
        <v>3.3877434113585849</v>
      </c>
      <c r="K99" s="1232">
        <f>K21/ECO!J$64*100</f>
        <v>3.1167160262428126</v>
      </c>
      <c r="L99" s="1232">
        <f>L21/ECO!K$64*100</f>
        <v>2.9153720163410273</v>
      </c>
      <c r="M99" s="1232">
        <f>M21/ECO!L$64*100</f>
        <v>2.7790301051572457</v>
      </c>
      <c r="N99" s="1232">
        <f>N21/ECO!M$64*100</f>
        <v>2.7109438675808937</v>
      </c>
      <c r="O99" s="1232">
        <f>O21/ECO!N$64*100</f>
        <v>2.5847494305450027</v>
      </c>
      <c r="P99" s="1232">
        <f>P21/ECO!O$64*100</f>
        <v>2.4156680465459011</v>
      </c>
      <c r="Q99" s="1232">
        <f>Q21/ECO!P$64*100</f>
        <v>2.2215449623254733</v>
      </c>
      <c r="R99" s="1233">
        <f>R21/ECO!Q$64*100</f>
        <v>2.0174405189118207</v>
      </c>
      <c r="S99" s="1034"/>
    </row>
    <row r="100" spans="1:19">
      <c r="A100" s="1342"/>
      <c r="B100" s="1182" t="s">
        <v>999</v>
      </c>
      <c r="C100" s="1238">
        <f>C22/ECO!B$64*100</f>
        <v>5.4005470814774217</v>
      </c>
      <c r="D100" s="1239">
        <f>D22/ECO!C$64*100</f>
        <v>5.822440506433054</v>
      </c>
      <c r="E100" s="1239">
        <f>E22/ECO!D$64*100</f>
        <v>4.9989186020345393</v>
      </c>
      <c r="F100" s="1239">
        <f>F22/ECO!E$64*100</f>
        <v>4.3839282227121457</v>
      </c>
      <c r="G100" s="1239">
        <f>G22/ECO!F$64*100</f>
        <v>2.7257175487777596</v>
      </c>
      <c r="H100" s="1239">
        <f>H22/ECO!G$64*100</f>
        <v>2.4556819577559548</v>
      </c>
      <c r="I100" s="1239">
        <f>I22/ECO!H$64*100</f>
        <v>2.434424942936988</v>
      </c>
      <c r="J100" s="1239">
        <f>J22/ECO!I$64*100</f>
        <v>2.3977707319130741</v>
      </c>
      <c r="K100" s="1239">
        <f>K22/ECO!J$64*100</f>
        <v>2.2059434732728112</v>
      </c>
      <c r="L100" s="1239">
        <f>L22/ECO!K$64*100</f>
        <v>2.0634365843597244</v>
      </c>
      <c r="M100" s="1239">
        <f>M22/ECO!L$64*100</f>
        <v>1.9669367600006951</v>
      </c>
      <c r="N100" s="1239">
        <f>N22/ECO!M$64*100</f>
        <v>1.9187468093806785</v>
      </c>
      <c r="O100" s="1239">
        <f>O22/ECO!N$64*100</f>
        <v>1.8294291454040077</v>
      </c>
      <c r="P100" s="1239">
        <f>P22/ECO!O$64*100</f>
        <v>1.7097570378574043</v>
      </c>
      <c r="Q100" s="1239">
        <f>Q22/ECO!P$64*100</f>
        <v>1.572360962295184</v>
      </c>
      <c r="R100" s="1240">
        <f>R22/ECO!Q$64*100</f>
        <v>1.4279002988843139</v>
      </c>
      <c r="S100" s="1241"/>
    </row>
    <row r="101" spans="1:19">
      <c r="A101" s="1342"/>
      <c r="B101" s="1182" t="s">
        <v>861</v>
      </c>
      <c r="C101" s="1238">
        <f>C23/ECO!B$64*100</f>
        <v>2.5304712462436463</v>
      </c>
      <c r="D101" s="1239">
        <f>D23/ECO!C$64*100</f>
        <v>2.7323161562819149</v>
      </c>
      <c r="E101" s="1239">
        <f>E23/ECO!D$64*100</f>
        <v>1.8763934373471305</v>
      </c>
      <c r="F101" s="1239">
        <f>F23/ECO!E$64*100</f>
        <v>1.6497894329976743</v>
      </c>
      <c r="G101" s="1239">
        <f>G23/ECO!F$64*100</f>
        <v>0.92240119778893848</v>
      </c>
      <c r="H101" s="1239">
        <f>H23/ECO!G$64*100</f>
        <v>1.0335964354548601</v>
      </c>
      <c r="I101" s="1239">
        <f>I23/ECO!H$64*100</f>
        <v>1.0051061811674848</v>
      </c>
      <c r="J101" s="1239">
        <f>J23/ECO!I$64*100</f>
        <v>0.98997267944551071</v>
      </c>
      <c r="K101" s="1239">
        <f>K23/ECO!J$64*100</f>
        <v>0.91077255297000204</v>
      </c>
      <c r="L101" s="1239">
        <f>L23/ECO!K$64*100</f>
        <v>0.85193543198130262</v>
      </c>
      <c r="M101" s="1239">
        <f>M23/ECO!L$64*100</f>
        <v>0.81209334515655063</v>
      </c>
      <c r="N101" s="1239">
        <f>N23/ECO!M$64*100</f>
        <v>0.79219705820021513</v>
      </c>
      <c r="O101" s="1239">
        <f>O23/ECO!N$64*100</f>
        <v>0.75532028514099514</v>
      </c>
      <c r="P101" s="1239">
        <f>P23/ECO!O$64*100</f>
        <v>0.70591100868849688</v>
      </c>
      <c r="Q101" s="1239">
        <f>Q23/ECO!P$64*100</f>
        <v>0.64918400003028931</v>
      </c>
      <c r="R101" s="1240">
        <f>R23/ECO!Q$64*100</f>
        <v>0.58954022002750661</v>
      </c>
      <c r="S101" s="1241"/>
    </row>
    <row r="102" spans="1:19" s="63" customFormat="1">
      <c r="A102" s="1343"/>
      <c r="B102" s="1184" t="s">
        <v>322</v>
      </c>
      <c r="C102" s="1231">
        <f>C24/ECO!B$64*100</f>
        <v>18.82029052430844</v>
      </c>
      <c r="D102" s="1232">
        <f>D24/ECO!C$64*100</f>
        <v>19.320102846761404</v>
      </c>
      <c r="E102" s="1232">
        <f>E24/ECO!D$64*100</f>
        <v>21.26968020366974</v>
      </c>
      <c r="F102" s="1232">
        <f>F24/ECO!E$64*100</f>
        <v>22.32481593063612</v>
      </c>
      <c r="G102" s="1232">
        <f>G24/ECO!F$64*100</f>
        <v>22.631662414548096</v>
      </c>
      <c r="H102" s="1232">
        <f>H24/ECO!G$64*100</f>
        <v>24.40122028630477</v>
      </c>
      <c r="I102" s="1232">
        <f>I24/ECO!H$64*100</f>
        <v>24.138177231325521</v>
      </c>
      <c r="J102" s="1232">
        <f>J24/ECO!I$64*100</f>
        <v>24.506123051990201</v>
      </c>
      <c r="K102" s="1232">
        <f>K24/ECO!J$64*100</f>
        <v>24.815637518111629</v>
      </c>
      <c r="L102" s="1232">
        <f>L24/ECO!K$64*100</f>
        <v>25.152688777273969</v>
      </c>
      <c r="M102" s="1232">
        <f>M24/ECO!L$64*100</f>
        <v>25.516804620124461</v>
      </c>
      <c r="N102" s="1232">
        <f>N24/ECO!M$64*100</f>
        <v>25.551910759880851</v>
      </c>
      <c r="O102" s="1232">
        <f>O24/ECO!N$64*100</f>
        <v>25.524558937086862</v>
      </c>
      <c r="P102" s="1232">
        <f>P24/ECO!O$64*100</f>
        <v>25.593510823921779</v>
      </c>
      <c r="Q102" s="1232">
        <f>Q24/ECO!P$64*100</f>
        <v>25.665566346511682</v>
      </c>
      <c r="R102" s="1233">
        <f>R24/ECO!Q$64*100</f>
        <v>25.740752258018063</v>
      </c>
      <c r="S102" s="1034"/>
    </row>
    <row r="103" spans="1:19">
      <c r="A103" s="1342"/>
      <c r="B103" s="1183" t="s">
        <v>998</v>
      </c>
      <c r="C103" s="1238">
        <f>C25/ECO!B$64*100</f>
        <v>0.50452134378393287</v>
      </c>
      <c r="D103" s="1239">
        <f>D25/ECO!C$64*100</f>
        <v>0.53158021688144386</v>
      </c>
      <c r="E103" s="1239">
        <f>E25/ECO!D$64*100</f>
        <v>0.6483256450392334</v>
      </c>
      <c r="F103" s="1239">
        <f>F25/ECO!E$64*100</f>
        <v>0.87135817399958782</v>
      </c>
      <c r="G103" s="1239">
        <f>G25/ECO!F$64*100</f>
        <v>0.86403129784387145</v>
      </c>
      <c r="H103" s="1239">
        <f>H25/ECO!G$64*100</f>
        <v>1.0591876666937896</v>
      </c>
      <c r="I103" s="1239">
        <f>I25/ECO!H$64*100</f>
        <v>1.1158524860876551</v>
      </c>
      <c r="J103" s="1239">
        <f>J25/ECO!I$64*100</f>
        <v>1.15519316570978</v>
      </c>
      <c r="K103" s="1239">
        <f>K25/ECO!J$64*100</f>
        <v>1.1970048088619194</v>
      </c>
      <c r="L103" s="1239">
        <f>L25/ECO!K$64*100</f>
        <v>1.2395385822590146</v>
      </c>
      <c r="M103" s="1239">
        <f>M25/ECO!L$64*100</f>
        <v>1.2821885498237642</v>
      </c>
      <c r="N103" s="1239">
        <f>N25/ECO!M$64*100</f>
        <v>1.2821885498237642</v>
      </c>
      <c r="O103" s="1239">
        <f>O25/ECO!N$64*100</f>
        <v>1.282188549823764</v>
      </c>
      <c r="P103" s="1239">
        <f>P25/ECO!O$64*100</f>
        <v>1.282188549823764</v>
      </c>
      <c r="Q103" s="1239">
        <f>Q25/ECO!P$64*100</f>
        <v>1.2821885498237642</v>
      </c>
      <c r="R103" s="1240">
        <f>R25/ECO!Q$64*100</f>
        <v>1.2821885498237642</v>
      </c>
      <c r="S103" s="1241"/>
    </row>
    <row r="104" spans="1:19">
      <c r="A104" s="1342"/>
      <c r="B104" s="1183" t="s">
        <v>999</v>
      </c>
      <c r="C104" s="1238">
        <f>C26/ECO!B$64*100</f>
        <v>3.6373438873416513</v>
      </c>
      <c r="D104" s="1239">
        <f>D26/ECO!C$64*100</f>
        <v>4.4207684767491386</v>
      </c>
      <c r="E104" s="1239">
        <f>E26/ECO!D$64*100</f>
        <v>4.142481736452841</v>
      </c>
      <c r="F104" s="1239">
        <f>F26/ECO!E$64*100</f>
        <v>4.857518797498785</v>
      </c>
      <c r="G104" s="1239">
        <f>G26/ECO!F$64*100</f>
        <v>4.0321661564325382</v>
      </c>
      <c r="H104" s="1239">
        <f>H26/ECO!G$64*100</f>
        <v>4.7078682263151661</v>
      </c>
      <c r="I104" s="1239">
        <f>I26/ECO!H$64*100</f>
        <v>4.4438617675826215</v>
      </c>
      <c r="J104" s="1239">
        <f>J26/ECO!I$64*100</f>
        <v>4.6005352923210383</v>
      </c>
      <c r="K104" s="1239">
        <f>K26/ECO!J$64*100</f>
        <v>4.7670493833502752</v>
      </c>
      <c r="L104" s="1239">
        <f>L26/ECO!K$64*100</f>
        <v>4.9364393446462218</v>
      </c>
      <c r="M104" s="1239">
        <f>M26/ECO!L$64*100</f>
        <v>5.1062920470532873</v>
      </c>
      <c r="N104" s="1239">
        <f>N26/ECO!M$64*100</f>
        <v>5.1062920470532873</v>
      </c>
      <c r="O104" s="1239">
        <f>O26/ECO!N$64*100</f>
        <v>5.1062920470532864</v>
      </c>
      <c r="P104" s="1239">
        <f>P26/ECO!O$64*100</f>
        <v>5.1062920470532864</v>
      </c>
      <c r="Q104" s="1239">
        <f>Q26/ECO!P$64*100</f>
        <v>5.1062920470532873</v>
      </c>
      <c r="R104" s="1240">
        <f>R26/ECO!Q$64*100</f>
        <v>5.1062920470532864</v>
      </c>
      <c r="S104" s="1241"/>
    </row>
    <row r="105" spans="1:19">
      <c r="A105" s="1342"/>
      <c r="B105" s="1183" t="s">
        <v>863</v>
      </c>
      <c r="C105" s="1238">
        <f>C27/ECO!B$64*100</f>
        <v>1.8727107791469744</v>
      </c>
      <c r="D105" s="1239">
        <f>D27/ECO!C$64*100</f>
        <v>1.7649202219108762</v>
      </c>
      <c r="E105" s="1239">
        <f>E27/ECO!D$64*100</f>
        <v>1.5182973467439365</v>
      </c>
      <c r="F105" s="1239">
        <f>F27/ECO!E$64*100</f>
        <v>1.4897261888247977</v>
      </c>
      <c r="G105" s="1239">
        <f>G27/ECO!F$64*100</f>
        <v>1.7521823890534729</v>
      </c>
      <c r="H105" s="1239">
        <f>H27/ECO!G$64*100</f>
        <v>1.9473558765540782</v>
      </c>
      <c r="I105" s="1239">
        <f>I27/ECO!H$64*100</f>
        <v>2.080244221310521</v>
      </c>
      <c r="J105" s="1239">
        <f>J27/ECO!I$64*100</f>
        <v>2.1612949752935617</v>
      </c>
      <c r="K105" s="1239">
        <f>K27/ECO!J$64*100</f>
        <v>2.2477448424501389</v>
      </c>
      <c r="L105" s="1239">
        <f>L27/ECO!K$64*100</f>
        <v>2.3360106887938197</v>
      </c>
      <c r="M105" s="1239">
        <f>M27/ECO!L$64*100</f>
        <v>2.4248369011466564</v>
      </c>
      <c r="N105" s="1239">
        <f>N27/ECO!M$64*100</f>
        <v>2.4248369011466564</v>
      </c>
      <c r="O105" s="1239">
        <f>O27/ECO!N$64*100</f>
        <v>2.4248369011466564</v>
      </c>
      <c r="P105" s="1239">
        <f>P27/ECO!O$64*100</f>
        <v>2.4248369011466564</v>
      </c>
      <c r="Q105" s="1239">
        <f>Q27/ECO!P$64*100</f>
        <v>2.4248369011466568</v>
      </c>
      <c r="R105" s="1240">
        <f>R27/ECO!Q$64*100</f>
        <v>2.4248369011466568</v>
      </c>
      <c r="S105" s="1241"/>
    </row>
    <row r="106" spans="1:19" s="63" customFormat="1">
      <c r="A106" s="1343"/>
      <c r="B106" s="1193" t="s">
        <v>776</v>
      </c>
      <c r="C106" s="1231">
        <f>C28/ECO!B$64*100</f>
        <v>5.4667997662067247</v>
      </c>
      <c r="D106" s="1232">
        <f>D28/ECO!C$64*100</f>
        <v>5.6604722534423377</v>
      </c>
      <c r="E106" s="1232">
        <f>E28/ECO!D$64*100</f>
        <v>6.104805644999507</v>
      </c>
      <c r="F106" s="1232">
        <f>F28/ECO!E$64*100</f>
        <v>6.1618625247300063</v>
      </c>
      <c r="G106" s="1232">
        <f>G28/ECO!F$64*100</f>
        <v>6.4233421712276195</v>
      </c>
      <c r="H106" s="1232">
        <f>H28/ECO!G$64*100</f>
        <v>7.5568344793427711</v>
      </c>
      <c r="I106" s="1232">
        <f>I28/ECO!H$64*100</f>
        <v>7.8307992412022669</v>
      </c>
      <c r="J106" s="1232">
        <f>J28/ECO!I$64*100</f>
        <v>8.0129278731853919</v>
      </c>
      <c r="K106" s="1232">
        <f>K28/ECO!J$64*100</f>
        <v>8.2378502945008893</v>
      </c>
      <c r="L106" s="1232">
        <f>L28/ECO!K$64*100</f>
        <v>8.4700710615836439</v>
      </c>
      <c r="M106" s="1232">
        <f>M28/ECO!L$64*100</f>
        <v>8.7064164118548302</v>
      </c>
      <c r="N106" s="1232">
        <f>N28/ECO!M$64*100</f>
        <v>8.7378850622706885</v>
      </c>
      <c r="O106" s="1232">
        <f>O28/ECO!N$64*100</f>
        <v>8.7695110559386276</v>
      </c>
      <c r="P106" s="1232">
        <f>P28/ECO!O$64*100</f>
        <v>8.8966475504837454</v>
      </c>
      <c r="Q106" s="1232">
        <f>Q28/ECO!P$64*100</f>
        <v>9.0263267749197649</v>
      </c>
      <c r="R106" s="1233">
        <f>R28/ECO!Q$64*100</f>
        <v>9.158599583844504</v>
      </c>
      <c r="S106" s="1034"/>
    </row>
    <row r="107" spans="1:19">
      <c r="A107" s="1342"/>
      <c r="B107" s="1185" t="s">
        <v>323</v>
      </c>
      <c r="C107" s="1238">
        <f>C29/ECO!B$64*100</f>
        <v>3.7444682822546782</v>
      </c>
      <c r="D107" s="1239">
        <f>D29/ECO!C$64*100</f>
        <v>3.9622689925225676</v>
      </c>
      <c r="E107" s="1239">
        <f>E29/ECO!D$64*100</f>
        <v>4.1845726286338092</v>
      </c>
      <c r="F107" s="1239">
        <f>F29/ECO!E$64*100</f>
        <v>4.0755186062578872</v>
      </c>
      <c r="G107" s="1239">
        <f>G29/ECO!F$64*100</f>
        <v>4.6973297579759636</v>
      </c>
      <c r="H107" s="1239">
        <f>H29/ECO!G$64*100</f>
        <v>4.9793507707810791</v>
      </c>
      <c r="I107" s="1239">
        <f>I29/ECO!H$64*100</f>
        <v>5.3191436611600666</v>
      </c>
      <c r="J107" s="1239">
        <f>J29/ECO!I$64*100</f>
        <v>5.526388848943613</v>
      </c>
      <c r="K107" s="1239">
        <f>K29/ECO!J$64*100</f>
        <v>5.7761766605015286</v>
      </c>
      <c r="L107" s="1239">
        <f>L29/ECO!K$64*100</f>
        <v>6.0330141639242747</v>
      </c>
      <c r="M107" s="1239">
        <f>M29/ECO!L$64*100</f>
        <v>6.2937300831720568</v>
      </c>
      <c r="N107" s="1239">
        <f>N29/ECO!M$64*100</f>
        <v>6.3251987335879152</v>
      </c>
      <c r="O107" s="1239">
        <f>O29/ECO!N$64*100</f>
        <v>6.3568247272558525</v>
      </c>
      <c r="P107" s="1239">
        <f>P29/ECO!O$64*100</f>
        <v>6.4839612218009712</v>
      </c>
      <c r="Q107" s="1239">
        <f>Q29/ECO!P$64*100</f>
        <v>6.6136404462369907</v>
      </c>
      <c r="R107" s="1240">
        <f>R29/ECO!Q$64*100</f>
        <v>6.7459132551617298</v>
      </c>
      <c r="S107" s="1241"/>
    </row>
    <row r="108" spans="1:19">
      <c r="A108" s="1342"/>
      <c r="B108" s="1185" t="s">
        <v>864</v>
      </c>
      <c r="C108" s="1238">
        <f>C30/ECO!B$64*100</f>
        <v>1.7223314839520467</v>
      </c>
      <c r="D108" s="1239">
        <f>D30/ECO!C$64*100</f>
        <v>1.6982032609197701</v>
      </c>
      <c r="E108" s="1239">
        <f>E30/ECO!D$64*100</f>
        <v>1.9202330163656973</v>
      </c>
      <c r="F108" s="1239">
        <f>F30/ECO!E$64*100</f>
        <v>2.08634391847212</v>
      </c>
      <c r="G108" s="1239">
        <f>G30/ECO!F$64*100</f>
        <v>1.7260124132516559</v>
      </c>
      <c r="H108" s="1239">
        <f>H30/ECO!G$64*100</f>
        <v>2.577483708561692</v>
      </c>
      <c r="I108" s="1239">
        <f>I30/ECO!H$64*100</f>
        <v>2.5116555800422016</v>
      </c>
      <c r="J108" s="1239">
        <f>J30/ECO!I$64*100</f>
        <v>2.4865390242417797</v>
      </c>
      <c r="K108" s="1239">
        <f>K30/ECO!J$64*100</f>
        <v>2.4616736339993626</v>
      </c>
      <c r="L108" s="1239">
        <f>L30/ECO!K$64*100</f>
        <v>2.4370568976593687</v>
      </c>
      <c r="M108" s="1239">
        <f>M30/ECO!L$64*100</f>
        <v>2.4126863286827742</v>
      </c>
      <c r="N108" s="1239">
        <f>N30/ECO!M$64*100</f>
        <v>2.4126863286827742</v>
      </c>
      <c r="O108" s="1239">
        <f>O30/ECO!N$64*100</f>
        <v>2.4126863286827742</v>
      </c>
      <c r="P108" s="1239">
        <f>P30/ECO!O$64*100</f>
        <v>2.4126863286827742</v>
      </c>
      <c r="Q108" s="1239">
        <f>Q30/ECO!P$64*100</f>
        <v>2.4126863286827747</v>
      </c>
      <c r="R108" s="1240">
        <f>R30/ECO!Q$64*100</f>
        <v>2.4126863286827742</v>
      </c>
      <c r="S108" s="1241"/>
    </row>
    <row r="109" spans="1:19">
      <c r="A109" s="1342"/>
      <c r="B109" s="1183" t="s">
        <v>865</v>
      </c>
      <c r="C109" s="1238">
        <f>C31/ECO!B$64*100</f>
        <v>2.8193138861426199</v>
      </c>
      <c r="D109" s="1239">
        <f>D31/ECO!C$64*100</f>
        <v>2.6974180536096437</v>
      </c>
      <c r="E109" s="1239">
        <f>E31/ECO!D$64*100</f>
        <v>3.3495222030759262</v>
      </c>
      <c r="F109" s="1239">
        <f>F31/ECO!E$64*100</f>
        <v>4.072219027391891</v>
      </c>
      <c r="G109" s="1239">
        <f>G31/ECO!F$64*100</f>
        <v>4.6454722022396435</v>
      </c>
      <c r="H109" s="1239">
        <f>H31/ECO!G$64*100</f>
        <v>3.928935606621494</v>
      </c>
      <c r="I109" s="1239">
        <f>I31/ECO!H$64*100</f>
        <v>3.6319774012228607</v>
      </c>
      <c r="J109" s="1239">
        <f>J31/ECO!I$64*100</f>
        <v>3.6063722843217079</v>
      </c>
      <c r="K109" s="1239">
        <f>K31/ECO!J$64*100</f>
        <v>3.5170162889584633</v>
      </c>
      <c r="L109" s="1239">
        <f>L31/ECO!K$64*100</f>
        <v>3.4349943853848064</v>
      </c>
      <c r="M109" s="1239">
        <f>M31/ECO!L$64*100</f>
        <v>3.3680618100388604</v>
      </c>
      <c r="N109" s="1239">
        <f>N31/ECO!M$64*100</f>
        <v>3.3716992993793946</v>
      </c>
      <c r="O109" s="1239">
        <f>O31/ECO!N$64*100</f>
        <v>3.3127214829174654</v>
      </c>
      <c r="P109" s="1239">
        <f>P31/ECO!O$64*100</f>
        <v>3.2545368752072652</v>
      </c>
      <c r="Q109" s="1239">
        <f>Q31/ECO!P$64*100</f>
        <v>3.1969131733611476</v>
      </c>
      <c r="R109" s="1240">
        <f>R31/ECO!Q$64*100</f>
        <v>3.1398262759427835</v>
      </c>
      <c r="S109" s="1241"/>
    </row>
    <row r="110" spans="1:19">
      <c r="A110" s="1342"/>
      <c r="B110" s="1183" t="s">
        <v>50</v>
      </c>
      <c r="C110" s="1238">
        <f>C32/ECO!B$64*100</f>
        <v>0.61414808830004497</v>
      </c>
      <c r="D110" s="1239">
        <f>D32/ECO!C$64*100</f>
        <v>0.62744735775174099</v>
      </c>
      <c r="E110" s="1239">
        <f>E32/ECO!D$64*100</f>
        <v>0.84558626375440726</v>
      </c>
      <c r="F110" s="1239">
        <f>F32/ECO!E$64*100</f>
        <v>0.95869600643215935</v>
      </c>
      <c r="G110" s="1239">
        <f>G32/ECO!F$64*100</f>
        <v>0.94754608237271232</v>
      </c>
      <c r="H110" s="1239">
        <f>H32/ECO!G$64*100</f>
        <v>0.93810470632021137</v>
      </c>
      <c r="I110" s="1239">
        <f>I32/ECO!H$64*100</f>
        <v>1.0021213471058283</v>
      </c>
      <c r="J110" s="1239">
        <f>J32/ECO!I$64*100</f>
        <v>1.0344615235859627</v>
      </c>
      <c r="K110" s="1239">
        <f>K32/ECO!J$64*100</f>
        <v>1.0687338799768917</v>
      </c>
      <c r="L110" s="1239">
        <f>L32/ECO!K$64*100</f>
        <v>1.1034950666698753</v>
      </c>
      <c r="M110" s="1239">
        <f>M32/ECO!L$64*100</f>
        <v>1.1382499672881639</v>
      </c>
      <c r="N110" s="1239">
        <f>N32/ECO!M$64*100</f>
        <v>1.1382499672881636</v>
      </c>
      <c r="O110" s="1239">
        <f>O32/ECO!N$64*100</f>
        <v>1.1382499672881634</v>
      </c>
      <c r="P110" s="1239">
        <f>P32/ECO!O$64*100</f>
        <v>1.1382499672881634</v>
      </c>
      <c r="Q110" s="1239">
        <f>Q32/ECO!P$64*100</f>
        <v>1.1382499672881634</v>
      </c>
      <c r="R110" s="1240">
        <f>R32/ECO!Q$64*100</f>
        <v>1.1382499672881636</v>
      </c>
      <c r="S110" s="1241"/>
    </row>
    <row r="111" spans="1:19">
      <c r="A111" s="1342"/>
      <c r="B111" s="1183" t="s">
        <v>866</v>
      </c>
      <c r="C111" s="1238">
        <f>C33/ECO!B$64*100</f>
        <v>1.8420867863854082</v>
      </c>
      <c r="D111" s="1239">
        <f>D33/ECO!C$64*100</f>
        <v>1.7868854982987175</v>
      </c>
      <c r="E111" s="1239">
        <f>E33/ECO!D$64*100</f>
        <v>2.7248912646861378</v>
      </c>
      <c r="F111" s="1239">
        <f>F33/ECO!E$64*100</f>
        <v>2.2144214491481025</v>
      </c>
      <c r="G111" s="1239">
        <f>G33/ECO!F$64*100</f>
        <v>2.269853454165458</v>
      </c>
      <c r="H111" s="1239">
        <f>H33/ECO!G$64*100</f>
        <v>2.4363301637030683</v>
      </c>
      <c r="I111" s="1239">
        <f>I33/ECO!H$64*100</f>
        <v>2.0820690476837282</v>
      </c>
      <c r="J111" s="1239">
        <f>J33/ECO!I$64*100</f>
        <v>2.0670760839097935</v>
      </c>
      <c r="K111" s="1239">
        <f>K33/ECO!J$64*100</f>
        <v>2.0111062911572439</v>
      </c>
      <c r="L111" s="1239">
        <f>L33/ECO!K$64*100</f>
        <v>1.9558100627253712</v>
      </c>
      <c r="M111" s="1239">
        <f>M33/ECO!L$64*100</f>
        <v>1.9006400134518229</v>
      </c>
      <c r="N111" s="1239">
        <f>N33/ECO!M$64*100</f>
        <v>1.9006400134518233</v>
      </c>
      <c r="O111" s="1239">
        <f>O33/ECO!N$64*100</f>
        <v>1.9006400134518229</v>
      </c>
      <c r="P111" s="1239">
        <f>P33/ECO!O$64*100</f>
        <v>1.9006400134518229</v>
      </c>
      <c r="Q111" s="1239">
        <f>Q33/ECO!P$64*100</f>
        <v>1.9006400134518233</v>
      </c>
      <c r="R111" s="1240">
        <f>R33/ECO!Q$64*100</f>
        <v>1.9006400134518233</v>
      </c>
      <c r="S111" s="1241"/>
    </row>
    <row r="112" spans="1:19">
      <c r="A112" s="1342"/>
      <c r="B112" s="1183" t="s">
        <v>867</v>
      </c>
      <c r="C112" s="1238">
        <f>C34/ECO!B$64*100</f>
        <v>2.0633659870010823</v>
      </c>
      <c r="D112" s="1239">
        <f>D34/ECO!C$64*100</f>
        <v>1.8306107681175039</v>
      </c>
      <c r="E112" s="1239">
        <f>E34/ECO!D$64*100</f>
        <v>1.9357700989177502</v>
      </c>
      <c r="F112" s="1239">
        <f>F34/ECO!E$64*100</f>
        <v>1.6990137626107884</v>
      </c>
      <c r="G112" s="1239">
        <f>G34/ECO!F$64*100</f>
        <v>1.6970686612127794</v>
      </c>
      <c r="H112" s="1239">
        <f>H34/ECO!G$64*100</f>
        <v>1.8266035607541939</v>
      </c>
      <c r="I112" s="1239">
        <f>I34/ECO!H$64*100</f>
        <v>1.9512517191300416</v>
      </c>
      <c r="J112" s="1239">
        <f>J34/ECO!I$64*100</f>
        <v>1.8682618536629618</v>
      </c>
      <c r="K112" s="1239">
        <f>K34/ECO!J$64*100</f>
        <v>1.7691317288558046</v>
      </c>
      <c r="L112" s="1239">
        <f>L34/ECO!K$64*100</f>
        <v>1.676329585211215</v>
      </c>
      <c r="M112" s="1239">
        <f>M34/ECO!L$64*100</f>
        <v>1.5901189194670751</v>
      </c>
      <c r="N112" s="1239">
        <f>N34/ECO!M$64*100</f>
        <v>1.5901189194670751</v>
      </c>
      <c r="O112" s="1239">
        <f>O34/ECO!N$64*100</f>
        <v>1.5901189194670751</v>
      </c>
      <c r="P112" s="1239">
        <f>P34/ECO!O$64*100</f>
        <v>1.5901189194670751</v>
      </c>
      <c r="Q112" s="1239">
        <f>Q34/ECO!P$64*100</f>
        <v>1.5901189194670755</v>
      </c>
      <c r="R112" s="1240">
        <f>R34/ECO!Q$64*100</f>
        <v>1.5901189194670755</v>
      </c>
      <c r="S112" s="1241"/>
    </row>
    <row r="113" spans="1:19" s="1237" customFormat="1" ht="6" customHeight="1">
      <c r="A113" s="1343"/>
      <c r="B113" s="1235"/>
      <c r="C113" s="1247"/>
      <c r="D113" s="1248"/>
      <c r="E113" s="1248"/>
      <c r="F113" s="1248"/>
      <c r="G113" s="1248"/>
      <c r="H113" s="1248"/>
      <c r="I113" s="1248"/>
      <c r="J113" s="1248"/>
      <c r="K113" s="1248"/>
      <c r="L113" s="1248"/>
      <c r="M113" s="1248"/>
      <c r="N113" s="1248"/>
      <c r="O113" s="1248"/>
      <c r="P113" s="1248"/>
      <c r="Q113" s="1248"/>
      <c r="R113" s="1249"/>
      <c r="S113" s="1236"/>
    </row>
    <row r="114" spans="1:19" s="60" customFormat="1">
      <c r="A114" s="1343"/>
      <c r="B114" s="256" t="s">
        <v>34</v>
      </c>
      <c r="C114" s="1242">
        <f>C36/ECO!B$64*100</f>
        <v>0.45149536409950913</v>
      </c>
      <c r="D114" s="1243">
        <f>D36/ECO!C$64*100</f>
        <v>0.81055975530271529</v>
      </c>
      <c r="E114" s="1243">
        <f>E36/ECO!D$64*100</f>
        <v>0.52565526338177637</v>
      </c>
      <c r="F114" s="1243">
        <f>F36/ECO!E$64*100</f>
        <v>0.63298043551747496</v>
      </c>
      <c r="G114" s="1243">
        <f>G36/ECO!F$64*100</f>
        <v>0.39315263186140287</v>
      </c>
      <c r="H114" s="1243">
        <f>H36/ECO!G$64*100</f>
        <v>0.27764966629539017</v>
      </c>
      <c r="I114" s="1243">
        <f>I36/ECO!H$64*100</f>
        <v>0.20766183811281783</v>
      </c>
      <c r="J114" s="1243">
        <f>J36/ECO!I$64*100</f>
        <v>0.20350860135056148</v>
      </c>
      <c r="K114" s="1243">
        <f>K36/ECO!J$64*100</f>
        <v>0.19536825729653903</v>
      </c>
      <c r="L114" s="1243">
        <f>L36/ECO!K$64*100</f>
        <v>0.18364616185874663</v>
      </c>
      <c r="M114" s="1243">
        <f>M36/ECO!L$64*100</f>
        <v>0.16895446891004692</v>
      </c>
      <c r="N114" s="1243">
        <f>N36/ECO!M$64*100</f>
        <v>0.15205902201904223</v>
      </c>
      <c r="O114" s="1243">
        <f>O36/ECO!N$64*100</f>
        <v>0.13685311981713799</v>
      </c>
      <c r="P114" s="1243">
        <f>P36/ECO!O$64*100</f>
        <v>0.12316780783542419</v>
      </c>
      <c r="Q114" s="1243">
        <f>Q36/ECO!P$64*100</f>
        <v>0.1108510270518818</v>
      </c>
      <c r="R114" s="1244">
        <f>R36/ECO!Q$64*100</f>
        <v>9.9765924346693624E-2</v>
      </c>
      <c r="S114" s="1010"/>
    </row>
    <row r="115" spans="1:19" s="60" customFormat="1">
      <c r="A115" s="1343"/>
      <c r="B115" s="95" t="s">
        <v>63</v>
      </c>
      <c r="C115" s="1245">
        <f>C37/ECO!B$64*100</f>
        <v>27.202804216129017</v>
      </c>
      <c r="D115" s="1245">
        <f>D37/ECO!C$64*100</f>
        <v>28.685419264779089</v>
      </c>
      <c r="E115" s="1245">
        <f>E37/ECO!D$64*100</f>
        <v>28.670647506433188</v>
      </c>
      <c r="F115" s="1245">
        <f>F37/ECO!E$64*100</f>
        <v>28.991514021863413</v>
      </c>
      <c r="G115" s="1245">
        <f>G37/ECO!F$64*100</f>
        <v>26.672933792976195</v>
      </c>
      <c r="H115" s="1245">
        <f>H37/ECO!G$64*100</f>
        <v>28.168148345810973</v>
      </c>
      <c r="I115" s="1245">
        <f>I37/ECO!H$64*100</f>
        <v>27.785370193542818</v>
      </c>
      <c r="J115" s="1245">
        <f>J37/ECO!I$64*100</f>
        <v>28.097375064699349</v>
      </c>
      <c r="K115" s="1245">
        <f>K37/ECO!J$64*100</f>
        <v>28.127721801650978</v>
      </c>
      <c r="L115" s="1245">
        <f>L37/ECO!K$64*100</f>
        <v>28.251706955473736</v>
      </c>
      <c r="M115" s="1245">
        <f>M37/ECO!L$64*100</f>
        <v>28.464789194191749</v>
      </c>
      <c r="N115" s="1245">
        <f>N37/ECO!M$64*100</f>
        <v>28.414913649480795</v>
      </c>
      <c r="O115" s="1245">
        <f>O37/ECO!N$64*100</f>
        <v>28.246161487448994</v>
      </c>
      <c r="P115" s="1245">
        <f>P37/ECO!O$64*100</f>
        <v>28.132346678303101</v>
      </c>
      <c r="Q115" s="1245">
        <f>Q37/ECO!P$64*100</f>
        <v>27.997962335889039</v>
      </c>
      <c r="R115" s="1245">
        <f>R37/ECO!Q$64*100</f>
        <v>27.857958701276576</v>
      </c>
      <c r="S115" s="1010"/>
    </row>
    <row r="116" spans="1:19" s="60" customFormat="1">
      <c r="A116" s="1343"/>
      <c r="B116" s="95" t="s">
        <v>579</v>
      </c>
      <c r="C116" s="1246">
        <f>C98+C114</f>
        <v>27.20280421612901</v>
      </c>
      <c r="D116" s="1246">
        <f t="shared" ref="D116:R116" si="22">D98+D114</f>
        <v>28.685419264779085</v>
      </c>
      <c r="E116" s="1246">
        <f t="shared" si="22"/>
        <v>28.670647506433184</v>
      </c>
      <c r="F116" s="1246">
        <f t="shared" si="22"/>
        <v>28.991514021863416</v>
      </c>
      <c r="G116" s="1246">
        <f t="shared" si="22"/>
        <v>26.672933792976192</v>
      </c>
      <c r="H116" s="1246">
        <f t="shared" si="22"/>
        <v>28.168148345810973</v>
      </c>
      <c r="I116" s="1246">
        <f t="shared" si="22"/>
        <v>27.785370193542814</v>
      </c>
      <c r="J116" s="1246">
        <f t="shared" si="22"/>
        <v>28.097375064699342</v>
      </c>
      <c r="K116" s="1246">
        <f t="shared" si="22"/>
        <v>28.127721801650978</v>
      </c>
      <c r="L116" s="1246">
        <f t="shared" si="22"/>
        <v>28.251706955473736</v>
      </c>
      <c r="M116" s="1246">
        <f t="shared" si="22"/>
        <v>28.464789194191759</v>
      </c>
      <c r="N116" s="1246">
        <f t="shared" si="22"/>
        <v>28.414913649480791</v>
      </c>
      <c r="O116" s="1246">
        <f t="shared" si="22"/>
        <v>28.246161487449005</v>
      </c>
      <c r="P116" s="1246">
        <f t="shared" si="22"/>
        <v>28.132346678303104</v>
      </c>
      <c r="Q116" s="1246">
        <f t="shared" si="22"/>
        <v>27.997962335889035</v>
      </c>
      <c r="R116" s="1246">
        <f t="shared" si="22"/>
        <v>27.85795870127658</v>
      </c>
      <c r="S116" s="1010"/>
    </row>
    <row r="117" spans="1:19" s="60" customFormat="1">
      <c r="A117" s="1343"/>
      <c r="B117" s="307" t="s">
        <v>208</v>
      </c>
      <c r="C117" s="1341">
        <f>'IMF Data'!C94</f>
        <v>27.202804216129017</v>
      </c>
      <c r="D117" s="1341">
        <f>'IMF Data'!D94</f>
        <v>28.685419264779085</v>
      </c>
      <c r="E117" s="1341">
        <f>'IMF Data'!E94</f>
        <v>28.670647506433184</v>
      </c>
      <c r="F117" s="1341">
        <f>'IMF Data'!F94</f>
        <v>28.991514021863413</v>
      </c>
      <c r="G117" s="1341">
        <f>'IMF Data'!G94</f>
        <v>26.672933792976195</v>
      </c>
      <c r="H117" s="1341">
        <f>'IMF Data'!H94</f>
        <v>28.168148345810973</v>
      </c>
      <c r="I117" s="1341">
        <f>'IMF Data'!I94</f>
        <v>27.785370193542821</v>
      </c>
      <c r="J117" s="1341">
        <f>'IMF Data'!J94</f>
        <v>28.097375064699346</v>
      </c>
      <c r="K117" s="1341">
        <f>'IMF Data'!K94</f>
        <v>28.127721801650981</v>
      </c>
      <c r="L117" s="1341">
        <f>'IMF Data'!L94</f>
        <v>28.25170695547374</v>
      </c>
      <c r="M117" s="1341">
        <f>'IMF Data'!M94</f>
        <v>28.464789194191745</v>
      </c>
      <c r="N117" s="1341">
        <f>'IMF Data'!N94</f>
        <v>28.414913649480791</v>
      </c>
      <c r="O117" s="1341">
        <f>'IMF Data'!O94</f>
        <v>28.246161487448997</v>
      </c>
      <c r="P117" s="1341">
        <f>'IMF Data'!P94</f>
        <v>28.132346678303101</v>
      </c>
      <c r="Q117" s="1341">
        <f>'IMF Data'!Q94</f>
        <v>27.997962335889035</v>
      </c>
      <c r="R117" s="1341">
        <f>'IMF Data'!R94</f>
        <v>27.857958701276576</v>
      </c>
      <c r="S117" s="1010"/>
    </row>
    <row r="118" spans="1:19" s="60" customFormat="1">
      <c r="B118" s="299"/>
      <c r="C118" s="1025"/>
      <c r="D118" s="1025"/>
      <c r="E118" s="1025"/>
      <c r="F118" s="1025"/>
      <c r="G118" s="1025"/>
      <c r="H118" s="1025"/>
      <c r="I118" s="1025"/>
      <c r="J118" s="1025"/>
      <c r="K118" s="1025"/>
      <c r="L118" s="1025"/>
      <c r="M118" s="1025"/>
      <c r="N118" s="1025"/>
      <c r="O118" s="1025"/>
      <c r="P118" s="1025"/>
      <c r="Q118" s="1025"/>
      <c r="R118" s="1025"/>
      <c r="S118" s="1010"/>
    </row>
    <row r="119" spans="1:19" s="60" customFormat="1">
      <c r="B119" s="644"/>
      <c r="C119" s="1517" t="s">
        <v>730</v>
      </c>
      <c r="D119" s="1518"/>
      <c r="E119" s="1518"/>
      <c r="F119" s="1518"/>
      <c r="G119" s="1518"/>
      <c r="H119" s="1518"/>
      <c r="I119" s="1517" t="s">
        <v>734</v>
      </c>
      <c r="J119" s="1518"/>
      <c r="K119" s="1518"/>
      <c r="L119" s="1518"/>
      <c r="M119" s="1518"/>
      <c r="N119" s="1518"/>
      <c r="O119" s="1518"/>
      <c r="P119" s="1518"/>
      <c r="Q119" s="1518"/>
      <c r="R119" s="1519"/>
      <c r="S119" s="1010"/>
    </row>
    <row r="120" spans="1:19" s="60" customFormat="1">
      <c r="B120" s="1018" t="s">
        <v>764</v>
      </c>
      <c r="C120" s="646">
        <v>2005</v>
      </c>
      <c r="D120" s="647">
        <v>2006</v>
      </c>
      <c r="E120" s="647">
        <v>2007</v>
      </c>
      <c r="F120" s="647">
        <v>2008</v>
      </c>
      <c r="G120" s="647">
        <v>2009</v>
      </c>
      <c r="H120" s="647">
        <v>2010</v>
      </c>
      <c r="I120" s="646">
        <v>2011</v>
      </c>
      <c r="J120" s="647">
        <v>2012</v>
      </c>
      <c r="K120" s="647">
        <v>2013</v>
      </c>
      <c r="L120" s="647">
        <v>2014</v>
      </c>
      <c r="M120" s="647">
        <v>2015</v>
      </c>
      <c r="N120" s="647">
        <v>2016</v>
      </c>
      <c r="O120" s="647">
        <v>2017</v>
      </c>
      <c r="P120" s="647">
        <v>2018</v>
      </c>
      <c r="Q120" s="647">
        <v>2019</v>
      </c>
      <c r="R120" s="648">
        <v>2020</v>
      </c>
      <c r="S120" s="1010"/>
    </row>
    <row r="121" spans="1:19" s="60" customFormat="1">
      <c r="B121" s="1019"/>
      <c r="C121" s="97"/>
      <c r="D121" s="97"/>
      <c r="E121" s="97"/>
      <c r="F121" s="97"/>
      <c r="G121" s="97"/>
      <c r="H121" s="97"/>
      <c r="I121" s="97"/>
      <c r="J121" s="97"/>
      <c r="K121" s="97"/>
      <c r="L121" s="97"/>
      <c r="M121" s="97"/>
      <c r="N121" s="233"/>
      <c r="O121" s="233"/>
      <c r="P121" s="233"/>
      <c r="Q121" s="233"/>
      <c r="R121" s="233"/>
      <c r="S121" s="1010"/>
    </row>
    <row r="122" spans="1:19" s="60" customFormat="1">
      <c r="B122" s="1019"/>
      <c r="C122" s="97"/>
      <c r="D122" s="97"/>
      <c r="E122" s="97"/>
      <c r="F122" s="97"/>
      <c r="G122" s="97"/>
      <c r="H122" s="97"/>
      <c r="I122" s="97"/>
      <c r="J122" s="97"/>
      <c r="K122" s="97"/>
      <c r="L122" s="97"/>
      <c r="M122" s="97"/>
      <c r="N122" s="97"/>
      <c r="O122" s="97"/>
      <c r="P122" s="97"/>
      <c r="Q122" s="97"/>
      <c r="R122" s="97"/>
      <c r="S122" s="1010"/>
    </row>
    <row r="123" spans="1:19" s="60" customFormat="1">
      <c r="A123" s="1343"/>
      <c r="B123" s="256" t="s">
        <v>209</v>
      </c>
      <c r="C123" s="1441">
        <f>C47/ECO!B$64*100</f>
        <v>17.861175669297367</v>
      </c>
      <c r="D123" s="1441">
        <f>D47/ECO!C$64*100</f>
        <v>18.482548382626902</v>
      </c>
      <c r="E123" s="1441">
        <f>E47/ECO!D$64*100</f>
        <v>20.268913627443048</v>
      </c>
      <c r="F123" s="1441">
        <f>F47/ECO!E$64*100</f>
        <v>19.687711694919592</v>
      </c>
      <c r="G123" s="1441">
        <f>G47/ECO!F$64*100</f>
        <v>20.92880500292754</v>
      </c>
      <c r="H123" s="1441">
        <f>H47/ECO!G$64*100</f>
        <v>21.053921786391889</v>
      </c>
      <c r="I123" s="1441">
        <f>I47/ECO!H$64*100</f>
        <v>21.825906688765446</v>
      </c>
      <c r="J123" s="1441">
        <f>J47/ECO!I$64*100</f>
        <v>22.031818943053931</v>
      </c>
      <c r="K123" s="1441">
        <f>K47/ECO!J$64*100</f>
        <v>21.923530444151481</v>
      </c>
      <c r="L123" s="1441">
        <f>L47/ECO!K$64*100</f>
        <v>21.885442752461437</v>
      </c>
      <c r="M123" s="1441">
        <f>M47/ECO!L$64*100</f>
        <v>21.804386208205674</v>
      </c>
      <c r="N123" s="1441">
        <f>N47/ECO!M$64*100</f>
        <v>21.752215026703986</v>
      </c>
      <c r="O123" s="1441">
        <f>O47/ECO!N$64*100</f>
        <v>21.770093080287868</v>
      </c>
      <c r="P123" s="1441">
        <f>P47/ECO!O$64*100</f>
        <v>21.807154653610858</v>
      </c>
      <c r="Q123" s="1441">
        <f>Q47/ECO!P$64*100</f>
        <v>21.847819169699811</v>
      </c>
      <c r="R123" s="1441">
        <f>R47/ECO!Q$64*100</f>
        <v>21.87514334390201</v>
      </c>
      <c r="S123" s="1010"/>
    </row>
    <row r="124" spans="1:19" s="60" customFormat="1">
      <c r="A124" s="1343"/>
      <c r="B124" s="257" t="s">
        <v>1000</v>
      </c>
      <c r="C124" s="1440">
        <f>C48/ECO!B$64*100</f>
        <v>2.2355514715943232</v>
      </c>
      <c r="D124" s="1440">
        <f>D48/ECO!C$64*100</f>
        <v>1.9004069734620457</v>
      </c>
      <c r="E124" s="1440">
        <f>E48/ECO!D$64*100</f>
        <v>2.8041067784292992</v>
      </c>
      <c r="F124" s="1440">
        <f>F48/ECO!E$64*100</f>
        <v>2.5605405383565945</v>
      </c>
      <c r="G124" s="1440">
        <f>G48/ECO!F$64*100</f>
        <v>2.5472691350151613</v>
      </c>
      <c r="H124" s="1440">
        <f>H48/ECO!G$64*100</f>
        <v>2.5843683184026229</v>
      </c>
      <c r="I124" s="1440">
        <f>I48/ECO!H$64*100</f>
        <v>2.6586100211106043</v>
      </c>
      <c r="J124" s="1440">
        <f>J48/ECO!I$64*100</f>
        <v>2.6586100211106052</v>
      </c>
      <c r="K124" s="1440">
        <f>K48/ECO!J$64*100</f>
        <v>2.6586100211106052</v>
      </c>
      <c r="L124" s="1440">
        <f>L48/ECO!K$64*100</f>
        <v>2.6586100211106038</v>
      </c>
      <c r="M124" s="1440">
        <f>M48/ECO!L$64*100</f>
        <v>2.6586100211106043</v>
      </c>
      <c r="N124" s="1440">
        <f>N48/ECO!M$64*100</f>
        <v>2.6586100211106038</v>
      </c>
      <c r="O124" s="1440">
        <f>O48/ECO!N$64*100</f>
        <v>2.6586100211106038</v>
      </c>
      <c r="P124" s="1440">
        <f>P48/ECO!O$64*100</f>
        <v>2.6586100211106038</v>
      </c>
      <c r="Q124" s="1440">
        <f>Q48/ECO!P$64*100</f>
        <v>2.6586100211106038</v>
      </c>
      <c r="R124" s="1440">
        <f>R48/ECO!Q$64*100</f>
        <v>2.6586100211106038</v>
      </c>
      <c r="S124" s="1010"/>
    </row>
    <row r="125" spans="1:19" s="60" customFormat="1">
      <c r="A125" s="1343"/>
      <c r="B125" s="257" t="s">
        <v>1001</v>
      </c>
      <c r="C125" s="1440">
        <f>C49/ECO!B$64*100</f>
        <v>1.406201317428954</v>
      </c>
      <c r="D125" s="1440">
        <f>D49/ECO!C$64*100</f>
        <v>1.4587406917009231</v>
      </c>
      <c r="E125" s="1440">
        <f>E49/ECO!D$64*100</f>
        <v>1.3933536721976028</v>
      </c>
      <c r="F125" s="1440">
        <f>F49/ECO!E$64*100</f>
        <v>1.4271015287150901</v>
      </c>
      <c r="G125" s="1440">
        <f>G49/ECO!F$64*100</f>
        <v>1.5325388009181511</v>
      </c>
      <c r="H125" s="1440">
        <f>H49/ECO!G$64*100</f>
        <v>1.5548591506770799</v>
      </c>
      <c r="I125" s="1440">
        <f>I49/ECO!H$64*100</f>
        <v>1.5995259228222753</v>
      </c>
      <c r="J125" s="1440">
        <f>J49/ECO!I$64*100</f>
        <v>1.5995259228222758</v>
      </c>
      <c r="K125" s="1440">
        <f>K49/ECO!J$64*100</f>
        <v>1.5995259228222762</v>
      </c>
      <c r="L125" s="1440">
        <f>L49/ECO!K$64*100</f>
        <v>1.5995259228222753</v>
      </c>
      <c r="M125" s="1440">
        <f>M49/ECO!L$64*100</f>
        <v>1.5995259228222758</v>
      </c>
      <c r="N125" s="1440">
        <f>N49/ECO!M$64*100</f>
        <v>1.5995259228222753</v>
      </c>
      <c r="O125" s="1440">
        <f>O49/ECO!N$64*100</f>
        <v>1.5995259228222753</v>
      </c>
      <c r="P125" s="1440">
        <f>P49/ECO!O$64*100</f>
        <v>1.5995259228222753</v>
      </c>
      <c r="Q125" s="1440">
        <f>Q49/ECO!P$64*100</f>
        <v>1.5995259228222751</v>
      </c>
      <c r="R125" s="1440">
        <f>R49/ECO!Q$64*100</f>
        <v>1.5995259228222751</v>
      </c>
      <c r="S125" s="1010"/>
    </row>
    <row r="126" spans="1:19" s="60" customFormat="1">
      <c r="A126" s="1343"/>
      <c r="B126" s="717" t="s">
        <v>1002</v>
      </c>
      <c r="C126" s="1441">
        <f>C50/ECO!B$64*100</f>
        <v>7.3253305642695494</v>
      </c>
      <c r="D126" s="1441">
        <f>D50/ECO!C$64*100</f>
        <v>8.0121938076396049</v>
      </c>
      <c r="E126" s="1441">
        <f>E50/ECO!D$64*100</f>
        <v>8.046460075125772</v>
      </c>
      <c r="F126" s="1441">
        <f>F50/ECO!E$64*100</f>
        <v>7.6779180061385635</v>
      </c>
      <c r="G126" s="1441">
        <f>G50/ECO!F$64*100</f>
        <v>8.3617659543881828</v>
      </c>
      <c r="H126" s="1441">
        <f>H50/ECO!G$64*100</f>
        <v>8.4835491944552093</v>
      </c>
      <c r="I126" s="1441">
        <f>I50/ECO!H$64*100</f>
        <v>8.727257930829353</v>
      </c>
      <c r="J126" s="1441">
        <f>J50/ECO!I$64*100</f>
        <v>8.727257930829353</v>
      </c>
      <c r="K126" s="1441">
        <f>K50/ECO!J$64*100</f>
        <v>8.7272579308293565</v>
      </c>
      <c r="L126" s="1441">
        <f>L50/ECO!K$64*100</f>
        <v>8.7272579308293547</v>
      </c>
      <c r="M126" s="1441">
        <f>M50/ECO!L$64*100</f>
        <v>8.727257930829353</v>
      </c>
      <c r="N126" s="1441">
        <f>N50/ECO!M$64*100</f>
        <v>8.7272579308293512</v>
      </c>
      <c r="O126" s="1441">
        <f>O50/ECO!N$64*100</f>
        <v>8.727257930829353</v>
      </c>
      <c r="P126" s="1441">
        <f>P50/ECO!O$64*100</f>
        <v>8.7272579308293512</v>
      </c>
      <c r="Q126" s="1441">
        <f>Q50/ECO!P$64*100</f>
        <v>8.7272579308293512</v>
      </c>
      <c r="R126" s="1441">
        <f>R50/ECO!Q$64*100</f>
        <v>8.7272579308293512</v>
      </c>
      <c r="S126" s="1010"/>
    </row>
    <row r="127" spans="1:19" s="60" customFormat="1">
      <c r="A127" s="1343"/>
      <c r="B127" s="942" t="s">
        <v>52</v>
      </c>
      <c r="C127" s="1440">
        <f>C51/ECO!B$64*100</f>
        <v>2.6252030526461563</v>
      </c>
      <c r="D127" s="1440">
        <f>D51/ECO!C$64*100</f>
        <v>3.0922798211985443</v>
      </c>
      <c r="E127" s="1440">
        <f>E51/ECO!D$64*100</f>
        <v>3.0812908667538363</v>
      </c>
      <c r="F127" s="1440">
        <f>F51/ECO!E$64*100</f>
        <v>2.9234268752718786</v>
      </c>
      <c r="G127" s="1440">
        <f>G51/ECO!F$64*100</f>
        <v>3.152937479439851</v>
      </c>
      <c r="H127" s="1440">
        <f>H51/ECO!G$64*100</f>
        <v>3.198857796280751</v>
      </c>
      <c r="I127" s="1440">
        <f>I51/ECO!H$64*100</f>
        <v>3.2907520699512216</v>
      </c>
      <c r="J127" s="1440">
        <f>J51/ECO!I$64*100</f>
        <v>3.290752069951222</v>
      </c>
      <c r="K127" s="1440">
        <f>K51/ECO!J$64*100</f>
        <v>3.290752069951222</v>
      </c>
      <c r="L127" s="1440">
        <f>L51/ECO!K$64*100</f>
        <v>3.2907520699512207</v>
      </c>
      <c r="M127" s="1440">
        <f>M51/ECO!L$64*100</f>
        <v>3.2907520699512207</v>
      </c>
      <c r="N127" s="1440">
        <f>N51/ECO!M$64*100</f>
        <v>3.2907520699512207</v>
      </c>
      <c r="O127" s="1440">
        <f>O51/ECO!N$64*100</f>
        <v>3.2907520699512207</v>
      </c>
      <c r="P127" s="1440">
        <f>P51/ECO!O$64*100</f>
        <v>3.2907520699512207</v>
      </c>
      <c r="Q127" s="1440">
        <f>Q51/ECO!P$64*100</f>
        <v>3.2907520699512207</v>
      </c>
      <c r="R127" s="1440">
        <f>R51/ECO!Q$64*100</f>
        <v>3.2907520699512207</v>
      </c>
      <c r="S127" s="1010"/>
    </row>
    <row r="128" spans="1:19" s="60" customFormat="1">
      <c r="A128" s="1343"/>
      <c r="B128" s="942" t="s">
        <v>1003</v>
      </c>
      <c r="C128" s="1440">
        <f>C52/ECO!B$64*100</f>
        <v>0.78406954230001857</v>
      </c>
      <c r="D128" s="1440">
        <f>D52/ECO!C$64*100</f>
        <v>0.73953185221679929</v>
      </c>
      <c r="E128" s="1440">
        <f>E52/ECO!D$64*100</f>
        <v>0.76555787293478827</v>
      </c>
      <c r="F128" s="1440">
        <f>F52/ECO!E$64*100</f>
        <v>0.68321484029364898</v>
      </c>
      <c r="G128" s="1440">
        <f>G52/ECO!F$64*100</f>
        <v>0.80173059661445534</v>
      </c>
      <c r="H128" s="1440">
        <f>H52/ECO!G$64*100</f>
        <v>0.81340723887509425</v>
      </c>
      <c r="I128" s="1440">
        <f>I52/ECO!H$64*100</f>
        <v>0.83677416300083574</v>
      </c>
      <c r="J128" s="1440">
        <f>J52/ECO!I$64*100</f>
        <v>0.83677416300083596</v>
      </c>
      <c r="K128" s="1440">
        <f>K52/ECO!J$64*100</f>
        <v>0.83677416300083607</v>
      </c>
      <c r="L128" s="1440">
        <f>L52/ECO!K$64*100</f>
        <v>0.83677416300083574</v>
      </c>
      <c r="M128" s="1440">
        <f>M52/ECO!L$64*100</f>
        <v>0.83677416300083596</v>
      </c>
      <c r="N128" s="1440">
        <f>N52/ECO!M$64*100</f>
        <v>0.83677416300083574</v>
      </c>
      <c r="O128" s="1440">
        <f>O52/ECO!N$64*100</f>
        <v>0.83677416300083574</v>
      </c>
      <c r="P128" s="1440">
        <f>P52/ECO!O$64*100</f>
        <v>0.83677416300083574</v>
      </c>
      <c r="Q128" s="1440">
        <f>Q52/ECO!P$64*100</f>
        <v>0.83677416300083562</v>
      </c>
      <c r="R128" s="1440">
        <f>R52/ECO!Q$64*100</f>
        <v>0.83677416300083562</v>
      </c>
      <c r="S128" s="1010"/>
    </row>
    <row r="129" spans="1:19" s="60" customFormat="1">
      <c r="A129" s="1343"/>
      <c r="B129" s="942" t="s">
        <v>53</v>
      </c>
      <c r="C129" s="1441">
        <f>C53/ECO!B$64*100</f>
        <v>0.90656551334628277</v>
      </c>
      <c r="D129" s="1441">
        <f>D53/ECO!C$64*100</f>
        <v>1.1832509635468789</v>
      </c>
      <c r="E129" s="1441">
        <f>E53/ECO!D$64*100</f>
        <v>1.1093669297717861</v>
      </c>
      <c r="F129" s="1441">
        <f>F53/ECO!E$64*100</f>
        <v>0.9685947430301447</v>
      </c>
      <c r="G129" s="1441">
        <f>G53/ECO!F$64*100</f>
        <v>1.1214016803677638</v>
      </c>
      <c r="H129" s="1441">
        <f>H53/ECO!G$64*100</f>
        <v>1.1377341071298552</v>
      </c>
      <c r="I129" s="1441">
        <f>I53/ECO!H$64*100</f>
        <v>1.1704180387276832</v>
      </c>
      <c r="J129" s="1441">
        <f>J53/ECO!I$64*100</f>
        <v>1.1704180387276835</v>
      </c>
      <c r="K129" s="1441">
        <f>K53/ECO!J$64*100</f>
        <v>1.1704180387276835</v>
      </c>
      <c r="L129" s="1441">
        <f>L53/ECO!K$64*100</f>
        <v>1.170418038727683</v>
      </c>
      <c r="M129" s="1441">
        <f>M53/ECO!L$64*100</f>
        <v>1.1704180387276832</v>
      </c>
      <c r="N129" s="1441">
        <f>N53/ECO!M$64*100</f>
        <v>1.170418038727683</v>
      </c>
      <c r="O129" s="1441">
        <f>O53/ECO!N$64*100</f>
        <v>1.1704180387276828</v>
      </c>
      <c r="P129" s="1441">
        <f>P53/ECO!O$64*100</f>
        <v>1.1704180387276828</v>
      </c>
      <c r="Q129" s="1441">
        <f>Q53/ECO!P$64*100</f>
        <v>1.170418038727683</v>
      </c>
      <c r="R129" s="1441">
        <f>R53/ECO!Q$64*100</f>
        <v>1.1704180387276828</v>
      </c>
      <c r="S129" s="1010"/>
    </row>
    <row r="130" spans="1:19" s="60" customFormat="1">
      <c r="A130" s="1343"/>
      <c r="B130" s="942" t="s">
        <v>1004</v>
      </c>
      <c r="C130" s="1440">
        <f>C54/ECO!B$64*100</f>
        <v>0.30790816068438415</v>
      </c>
      <c r="D130" s="1440">
        <f>D54/ECO!C$64*100</f>
        <v>0.26070935525755307</v>
      </c>
      <c r="E130" s="1440">
        <f>E54/ECO!D$64*100</f>
        <v>0.25640120756271773</v>
      </c>
      <c r="F130" s="1440">
        <f>F54/ECO!E$64*100</f>
        <v>0.21487665635492154</v>
      </c>
      <c r="G130" s="1440">
        <f>G54/ECO!F$64*100</f>
        <v>0.28137788516947171</v>
      </c>
      <c r="H130" s="1440">
        <f>H54/ECO!G$64*100</f>
        <v>0.28547595616620458</v>
      </c>
      <c r="I130" s="1440">
        <f>I54/ECO!H$64*100</f>
        <v>0.29367688515803952</v>
      </c>
      <c r="J130" s="1440">
        <f>J54/ECO!I$64*100</f>
        <v>0.29367688515803964</v>
      </c>
      <c r="K130" s="1440">
        <f>K54/ECO!J$64*100</f>
        <v>0.29367688515803969</v>
      </c>
      <c r="L130" s="1440">
        <f>L54/ECO!K$64*100</f>
        <v>0.29367688515803958</v>
      </c>
      <c r="M130" s="1440">
        <f>M54/ECO!L$64*100</f>
        <v>0.29367688515803964</v>
      </c>
      <c r="N130" s="1440">
        <f>N54/ECO!M$64*100</f>
        <v>0.29367688515803958</v>
      </c>
      <c r="O130" s="1440">
        <f>O54/ECO!N$64*100</f>
        <v>0.29367688515803952</v>
      </c>
      <c r="P130" s="1440">
        <f>P54/ECO!O$64*100</f>
        <v>0.29367688515803952</v>
      </c>
      <c r="Q130" s="1440">
        <f>Q54/ECO!P$64*100</f>
        <v>0.29367688515803947</v>
      </c>
      <c r="R130" s="1440">
        <f>R54/ECO!Q$64*100</f>
        <v>0.29367688515803952</v>
      </c>
      <c r="S130" s="1010"/>
    </row>
    <row r="131" spans="1:19" s="60" customFormat="1">
      <c r="A131" s="1343"/>
      <c r="B131" s="942" t="s">
        <v>1005</v>
      </c>
      <c r="C131" s="1440">
        <f>C55/ECO!B$64*100</f>
        <v>0.25011580080360774</v>
      </c>
      <c r="D131" s="1440">
        <f>D55/ECO!C$64*100</f>
        <v>0.19235013061128131</v>
      </c>
      <c r="E131" s="1440">
        <f>E55/ECO!D$64*100</f>
        <v>0.19555564904851641</v>
      </c>
      <c r="F131" s="1440">
        <f>F55/ECO!E$64*100</f>
        <v>0.17925467227101261</v>
      </c>
      <c r="G131" s="1440">
        <f>G55/ECO!F$64*100</f>
        <v>0.22120888891306364</v>
      </c>
      <c r="H131" s="1440">
        <f>H55/ECO!G$64*100</f>
        <v>0.22443064079782221</v>
      </c>
      <c r="I131" s="1440">
        <f>I55/ECO!H$64*100</f>
        <v>0.2308779079284502</v>
      </c>
      <c r="J131" s="1440">
        <f>J55/ECO!I$64*100</f>
        <v>0.23087790792845025</v>
      </c>
      <c r="K131" s="1440">
        <f>K55/ECO!J$64*100</f>
        <v>0.23087790792845025</v>
      </c>
      <c r="L131" s="1440">
        <f>L55/ECO!K$64*100</f>
        <v>0.23087790792845017</v>
      </c>
      <c r="M131" s="1440">
        <f>M55/ECO!L$64*100</f>
        <v>0.2308779079284502</v>
      </c>
      <c r="N131" s="1440">
        <f>N55/ECO!M$64*100</f>
        <v>0.23087790792845017</v>
      </c>
      <c r="O131" s="1440">
        <f>O55/ECO!N$64*100</f>
        <v>0.23087790792845017</v>
      </c>
      <c r="P131" s="1440">
        <f>P55/ECO!O$64*100</f>
        <v>0.23087790792845017</v>
      </c>
      <c r="Q131" s="1440">
        <f>Q55/ECO!P$64*100</f>
        <v>0.23087790792845012</v>
      </c>
      <c r="R131" s="1440">
        <f>R55/ECO!Q$64*100</f>
        <v>0.23087790792845017</v>
      </c>
      <c r="S131" s="1010"/>
    </row>
    <row r="132" spans="1:19" s="60" customFormat="1">
      <c r="A132" s="1343"/>
      <c r="B132" s="942" t="s">
        <v>1006</v>
      </c>
      <c r="C132" s="1440">
        <f>C56/ECO!B$64*100</f>
        <v>0.17444951518650867</v>
      </c>
      <c r="D132" s="1440">
        <f>D56/ECO!C$64*100</f>
        <v>0.12152751048226096</v>
      </c>
      <c r="E132" s="1440">
        <f>E56/ECO!D$64*100</f>
        <v>0.11716201811902532</v>
      </c>
      <c r="F132" s="1440">
        <f>F56/ECO!E$64*100</f>
        <v>9.2455546592073737E-2</v>
      </c>
      <c r="G132" s="1440">
        <f>G56/ECO!F$64*100</f>
        <v>0.13736383687805587</v>
      </c>
      <c r="H132" s="1440">
        <f>H56/ECO!G$64*100</f>
        <v>0.13936444455044228</v>
      </c>
      <c r="I132" s="1440">
        <f>I56/ECO!H$64*100</f>
        <v>0.14336799682536414</v>
      </c>
      <c r="J132" s="1440">
        <f>J56/ECO!I$64*100</f>
        <v>0.14336799682536416</v>
      </c>
      <c r="K132" s="1440">
        <f>K56/ECO!J$64*100</f>
        <v>0.14336799682536416</v>
      </c>
      <c r="L132" s="1440">
        <f>L56/ECO!K$64*100</f>
        <v>0.14336799682536414</v>
      </c>
      <c r="M132" s="1440">
        <f>M56/ECO!L$64*100</f>
        <v>0.14336799682536416</v>
      </c>
      <c r="N132" s="1440">
        <f>N56/ECO!M$64*100</f>
        <v>0.14336799682536414</v>
      </c>
      <c r="O132" s="1440">
        <f>O56/ECO!N$64*100</f>
        <v>0.14336799682536411</v>
      </c>
      <c r="P132" s="1440">
        <f>P56/ECO!O$64*100</f>
        <v>0.14336799682536414</v>
      </c>
      <c r="Q132" s="1440">
        <f>Q56/ECO!P$64*100</f>
        <v>0.14336799682536411</v>
      </c>
      <c r="R132" s="1440">
        <f>R56/ECO!Q$64*100</f>
        <v>0.14336799682536411</v>
      </c>
      <c r="S132" s="1010"/>
    </row>
    <row r="133" spans="1:19" s="60" customFormat="1">
      <c r="A133" s="1343"/>
      <c r="B133" s="942" t="s">
        <v>1007</v>
      </c>
      <c r="C133" s="1440">
        <f>C57/ECO!B$64*100</f>
        <v>0.10474120481485048</v>
      </c>
      <c r="D133" s="1440">
        <f>D57/ECO!C$64*100</f>
        <v>9.8125253396149914E-2</v>
      </c>
      <c r="E133" s="1440">
        <f>E57/ECO!D$64*100</f>
        <v>9.1631190290103401E-2</v>
      </c>
      <c r="F133" s="1440">
        <f>F57/ECO!E$64*100</f>
        <v>7.535160716426112E-2</v>
      </c>
      <c r="G133" s="1440">
        <f>G57/ECO!F$64*100</f>
        <v>0.10003399717877041</v>
      </c>
      <c r="H133" s="1440">
        <f>H57/ECO!G$64*100</f>
        <v>0.10149092199103371</v>
      </c>
      <c r="I133" s="1440">
        <f>I57/ECO!H$64*100</f>
        <v>0.10440647346423644</v>
      </c>
      <c r="J133" s="1440">
        <f>J57/ECO!I$64*100</f>
        <v>0.10440647346423647</v>
      </c>
      <c r="K133" s="1440">
        <f>K57/ECO!J$64*100</f>
        <v>0.10440647346423647</v>
      </c>
      <c r="L133" s="1440">
        <f>L57/ECO!K$64*100</f>
        <v>0.10440647346423644</v>
      </c>
      <c r="M133" s="1440">
        <f>M57/ECO!L$64*100</f>
        <v>0.10440647346423647</v>
      </c>
      <c r="N133" s="1440">
        <f>N57/ECO!M$64*100</f>
        <v>0.10440647346423644</v>
      </c>
      <c r="O133" s="1440">
        <f>O57/ECO!N$64*100</f>
        <v>0.10440647346423643</v>
      </c>
      <c r="P133" s="1440">
        <f>P57/ECO!O$64*100</f>
        <v>0.10440647346423644</v>
      </c>
      <c r="Q133" s="1440">
        <f>Q57/ECO!P$64*100</f>
        <v>0.10440647346423643</v>
      </c>
      <c r="R133" s="1440">
        <f>R57/ECO!Q$64*100</f>
        <v>0.10440647346423643</v>
      </c>
      <c r="S133" s="1010"/>
    </row>
    <row r="134" spans="1:19" s="60" customFormat="1">
      <c r="A134" s="1343"/>
      <c r="B134" s="942" t="s">
        <v>1008</v>
      </c>
      <c r="C134" s="1440">
        <f>C58/ECO!B$64*100</f>
        <v>5.7554040870958799E-2</v>
      </c>
      <c r="D134" s="1440">
        <f>D58/ECO!C$64*100</f>
        <v>5.0191682961001363E-2</v>
      </c>
      <c r="E134" s="1440">
        <f>E58/ECO!D$64*100</f>
        <v>4.8788362768967267E-2</v>
      </c>
      <c r="F134" s="1440">
        <f>F58/ECO!E$64*100</f>
        <v>3.9998976457168101E-2</v>
      </c>
      <c r="G134" s="1440">
        <f>G58/ECO!F$64*100</f>
        <v>5.3173389524696579E-2</v>
      </c>
      <c r="H134" s="1440">
        <f>H58/ECO!G$64*100</f>
        <v>5.3947822544824983E-2</v>
      </c>
      <c r="I134" s="1440">
        <f>I58/ECO!H$64*100</f>
        <v>5.5497593208161153E-2</v>
      </c>
      <c r="J134" s="1440">
        <f>J58/ECO!I$64*100</f>
        <v>5.5497593208161174E-2</v>
      </c>
      <c r="K134" s="1440">
        <f>K58/ECO!J$64*100</f>
        <v>5.5497593208161174E-2</v>
      </c>
      <c r="L134" s="1440">
        <f>L58/ECO!K$64*100</f>
        <v>5.5497593208161167E-2</v>
      </c>
      <c r="M134" s="1440">
        <f>M58/ECO!L$64*100</f>
        <v>5.5497593208161167E-2</v>
      </c>
      <c r="N134" s="1440">
        <f>N58/ECO!M$64*100</f>
        <v>5.5497593208161153E-2</v>
      </c>
      <c r="O134" s="1440">
        <f>O58/ECO!N$64*100</f>
        <v>5.5497593208161153E-2</v>
      </c>
      <c r="P134" s="1440">
        <f>P58/ECO!O$64*100</f>
        <v>5.5497593208161153E-2</v>
      </c>
      <c r="Q134" s="1440">
        <f>Q58/ECO!P$64*100</f>
        <v>5.5497593208161153E-2</v>
      </c>
      <c r="R134" s="1440">
        <f>R58/ECO!Q$64*100</f>
        <v>5.5497593208161153E-2</v>
      </c>
      <c r="S134" s="1010"/>
    </row>
    <row r="135" spans="1:19" s="60" customFormat="1">
      <c r="A135" s="1343"/>
      <c r="B135" s="942" t="s">
        <v>54</v>
      </c>
      <c r="C135" s="1440">
        <f>C59/ECO!B$64*100</f>
        <v>2.1147237336167826</v>
      </c>
      <c r="D135" s="1440">
        <f>D59/ECO!C$64*100</f>
        <v>2.2742272379691357</v>
      </c>
      <c r="E135" s="1440">
        <f>E59/ECO!D$64*100</f>
        <v>2.3807059778760307</v>
      </c>
      <c r="F135" s="1440">
        <f>F59/ECO!E$64*100</f>
        <v>2.500744088703454</v>
      </c>
      <c r="G135" s="1440">
        <f>G59/ECO!F$64*100</f>
        <v>2.4925382003020524</v>
      </c>
      <c r="H135" s="1440">
        <f>H59/ECO!G$64*100</f>
        <v>2.5288402661191807</v>
      </c>
      <c r="I135" s="1440">
        <f>I59/ECO!H$64*100</f>
        <v>2.6014868025653621</v>
      </c>
      <c r="J135" s="1440">
        <f>J59/ECO!I$64*100</f>
        <v>2.6014868025653621</v>
      </c>
      <c r="K135" s="1440">
        <f>K59/ECO!J$64*100</f>
        <v>2.601486802565363</v>
      </c>
      <c r="L135" s="1440">
        <f>L59/ECO!K$64*100</f>
        <v>2.6014868025653617</v>
      </c>
      <c r="M135" s="1440">
        <f>M59/ECO!L$64*100</f>
        <v>2.6014868025653621</v>
      </c>
      <c r="N135" s="1440">
        <f>N59/ECO!M$64*100</f>
        <v>2.6014868025653617</v>
      </c>
      <c r="O135" s="1440">
        <f>O59/ECO!N$64*100</f>
        <v>2.6014868025653612</v>
      </c>
      <c r="P135" s="1440">
        <f>P59/ECO!O$64*100</f>
        <v>2.6014868025653612</v>
      </c>
      <c r="Q135" s="1440">
        <f>Q59/ECO!P$64*100</f>
        <v>2.6014868025653612</v>
      </c>
      <c r="R135" s="1440">
        <f>R59/ECO!Q$64*100</f>
        <v>2.6014868025653612</v>
      </c>
      <c r="S135" s="1010"/>
    </row>
    <row r="136" spans="1:19" s="60" customFormat="1">
      <c r="A136" s="1343"/>
      <c r="B136" s="257" t="s">
        <v>1009</v>
      </c>
      <c r="C136" s="1440">
        <f>C60/ECO!B$64*100</f>
        <v>1.9396784209057292</v>
      </c>
      <c r="D136" s="1440">
        <f>D60/ECO!C$64*100</f>
        <v>2.1120537020215235</v>
      </c>
      <c r="E136" s="1440">
        <f>E60/ECO!D$64*100</f>
        <v>2.2889110230635863</v>
      </c>
      <c r="F136" s="1440">
        <f>F60/ECO!E$64*100</f>
        <v>2.1822337206185969</v>
      </c>
      <c r="G136" s="1440">
        <f>G60/ECO!F$64*100</f>
        <v>2.2909052878116296</v>
      </c>
      <c r="H136" s="1440">
        <f>H60/ECO!G$64*100</f>
        <v>2.3242707120722761</v>
      </c>
      <c r="I136" s="1440">
        <f>I60/ECO!H$64*100</f>
        <v>2.3910405350846529</v>
      </c>
      <c r="J136" s="1440">
        <f>J60/ECO!I$64*100</f>
        <v>2.3910405350846533</v>
      </c>
      <c r="K136" s="1440">
        <f>K60/ECO!J$64*100</f>
        <v>2.3910405350846533</v>
      </c>
      <c r="L136" s="1440">
        <f>L60/ECO!K$64*100</f>
        <v>2.3910405350846524</v>
      </c>
      <c r="M136" s="1440">
        <f>M60/ECO!L$64*100</f>
        <v>2.3910405350846529</v>
      </c>
      <c r="N136" s="1440">
        <f>N60/ECO!M$64*100</f>
        <v>2.3910405350846524</v>
      </c>
      <c r="O136" s="1440">
        <f>O60/ECO!N$64*100</f>
        <v>2.3910405350846524</v>
      </c>
      <c r="P136" s="1440">
        <f>P60/ECO!O$64*100</f>
        <v>2.3910405350846524</v>
      </c>
      <c r="Q136" s="1440">
        <f>Q60/ECO!P$64*100</f>
        <v>2.391040535084652</v>
      </c>
      <c r="R136" s="1440">
        <f>R60/ECO!Q$64*100</f>
        <v>2.391040535084652</v>
      </c>
      <c r="S136" s="1010"/>
    </row>
    <row r="137" spans="1:19" s="60" customFormat="1">
      <c r="A137" s="1343"/>
      <c r="B137" s="257" t="s">
        <v>1010</v>
      </c>
      <c r="C137" s="1440">
        <f>C61/ECO!B$64*100</f>
        <v>0.86581296266746732</v>
      </c>
      <c r="D137" s="1440">
        <f>D61/ECO!C$64*100</f>
        <v>1.0247725208233898</v>
      </c>
      <c r="E137" s="1440">
        <f>E61/ECO!D$64*100</f>
        <v>1.0581699193700052</v>
      </c>
      <c r="F137" s="1440">
        <f>F61/ECO!E$64*100</f>
        <v>1.1120927545288404</v>
      </c>
      <c r="G137" s="1440">
        <f>G61/ECO!F$64*100</f>
        <v>1.0907111764164055</v>
      </c>
      <c r="H137" s="1440">
        <f>H61/ECO!G$64*100</f>
        <v>1.1065966175739164</v>
      </c>
      <c r="I137" s="1440">
        <f>I61/ECO!H$64*100</f>
        <v>1.1383860558341561</v>
      </c>
      <c r="J137" s="1440">
        <f>J61/ECO!I$64*100</f>
        <v>1.1383860558341565</v>
      </c>
      <c r="K137" s="1440">
        <f>K61/ECO!J$64*100</f>
        <v>1.1383860558341565</v>
      </c>
      <c r="L137" s="1440">
        <f>L61/ECO!K$64*100</f>
        <v>1.1383860558341561</v>
      </c>
      <c r="M137" s="1440">
        <f>M61/ECO!L$64*100</f>
        <v>1.1383860558341563</v>
      </c>
      <c r="N137" s="1440">
        <f>N61/ECO!M$64*100</f>
        <v>1.1383860558341561</v>
      </c>
      <c r="O137" s="1440">
        <f>O61/ECO!N$64*100</f>
        <v>1.1383860558341561</v>
      </c>
      <c r="P137" s="1440">
        <f>P61/ECO!O$64*100</f>
        <v>1.1383860558341559</v>
      </c>
      <c r="Q137" s="1440">
        <f>Q61/ECO!P$64*100</f>
        <v>1.1383860558341559</v>
      </c>
      <c r="R137" s="1440">
        <f>R61/ECO!Q$64*100</f>
        <v>1.1383860558341559</v>
      </c>
      <c r="S137" s="1010"/>
    </row>
    <row r="138" spans="1:19" s="60" customFormat="1">
      <c r="A138" s="1343"/>
      <c r="B138" s="257" t="s">
        <v>1011</v>
      </c>
      <c r="C138" s="1440">
        <f>C62/ECO!B$64*100</f>
        <v>1.5470478522311764</v>
      </c>
      <c r="D138" s="1440">
        <f>D62/ECO!C$64*100</f>
        <v>1.700974580837862</v>
      </c>
      <c r="E138" s="1440">
        <f>E62/ECO!D$64*100</f>
        <v>1.894352451169256</v>
      </c>
      <c r="F138" s="1440">
        <f>F62/ECO!E$64*100</f>
        <v>1.5414420371734596</v>
      </c>
      <c r="G138" s="1440">
        <f>G62/ECO!F$64*100</f>
        <v>1.7969456786066305</v>
      </c>
      <c r="H138" s="1440">
        <f>H62/ECO!G$64*100</f>
        <v>1.8231169285745055</v>
      </c>
      <c r="I138" s="1440">
        <f>I62/ECO!H$64*100</f>
        <v>1.8754899994132532</v>
      </c>
      <c r="J138" s="1440">
        <f>J62/ECO!I$64*100</f>
        <v>1.8754899994132535</v>
      </c>
      <c r="K138" s="1440">
        <f>K62/ECO!J$64*100</f>
        <v>1.8754899994132539</v>
      </c>
      <c r="L138" s="1440">
        <f>L62/ECO!K$64*100</f>
        <v>1.8754899994132532</v>
      </c>
      <c r="M138" s="1440">
        <f>M62/ECO!L$64*100</f>
        <v>1.8754899994132532</v>
      </c>
      <c r="N138" s="1440">
        <f>N62/ECO!M$64*100</f>
        <v>1.8754899994132532</v>
      </c>
      <c r="O138" s="1440">
        <f>O62/ECO!N$64*100</f>
        <v>1.8754899994132528</v>
      </c>
      <c r="P138" s="1440">
        <f>P62/ECO!O$64*100</f>
        <v>1.8754899994132528</v>
      </c>
      <c r="Q138" s="1440">
        <f>Q62/ECO!P$64*100</f>
        <v>1.8754899994132528</v>
      </c>
      <c r="R138" s="1440">
        <f>R62/ECO!Q$64*100</f>
        <v>1.8754899994132528</v>
      </c>
      <c r="S138" s="1010"/>
    </row>
    <row r="139" spans="1:19" s="60" customFormat="1">
      <c r="A139" s="1343"/>
      <c r="B139" s="717" t="s">
        <v>55</v>
      </c>
      <c r="C139" s="1440">
        <f>C63/ECO!B$64*100</f>
        <v>1.7525979981988862</v>
      </c>
      <c r="D139" s="1440">
        <f>D63/ECO!C$64*100</f>
        <v>1.4559693717828308</v>
      </c>
      <c r="E139" s="1440">
        <f>E63/ECO!D$64*100</f>
        <v>1.6934283335293152</v>
      </c>
      <c r="F139" s="1440">
        <f>F63/ECO!E$64*100</f>
        <v>2.0600819642325652</v>
      </c>
      <c r="G139" s="1440">
        <f>G63/ECO!F$64*100</f>
        <v>1.8730847563064152</v>
      </c>
      <c r="H139" s="1440">
        <f>H63/ECO!G$64*100</f>
        <v>1.9003649183902924</v>
      </c>
      <c r="I139" s="1440">
        <f>I63/ECO!H$64*100</f>
        <v>1.9549571087925539</v>
      </c>
      <c r="J139" s="1440">
        <f>J63/ECO!I$64*100</f>
        <v>1.9549571087925544</v>
      </c>
      <c r="K139" s="1440">
        <f>K63/ECO!J$64*100</f>
        <v>1.9549571087925548</v>
      </c>
      <c r="L139" s="1440">
        <f>L63/ECO!K$64*100</f>
        <v>1.9549571087925539</v>
      </c>
      <c r="M139" s="1440">
        <f>M63/ECO!L$64*100</f>
        <v>1.9549571087925539</v>
      </c>
      <c r="N139" s="1440">
        <f>N63/ECO!M$64*100</f>
        <v>1.9549571087925539</v>
      </c>
      <c r="O139" s="1440">
        <f>O63/ECO!N$64*100</f>
        <v>1.9549571087925537</v>
      </c>
      <c r="P139" s="1440">
        <f>P63/ECO!O$64*100</f>
        <v>1.9549571087925539</v>
      </c>
      <c r="Q139" s="1440">
        <f>Q63/ECO!P$64*100</f>
        <v>1.9549571087925532</v>
      </c>
      <c r="R139" s="1440">
        <f>R63/ECO!Q$64*100</f>
        <v>1.9549571087925532</v>
      </c>
      <c r="S139" s="1010"/>
    </row>
    <row r="140" spans="1:19" s="60" customFormat="1">
      <c r="A140" s="1343"/>
      <c r="B140" s="942" t="s">
        <v>1012</v>
      </c>
      <c r="C140" s="1440">
        <f>C64/ECO!B$64*100</f>
        <v>1.2750067025243461</v>
      </c>
      <c r="D140" s="1440">
        <f>D64/ECO!C$64*100</f>
        <v>0.97909706291409404</v>
      </c>
      <c r="E140" s="1440">
        <f>E64/ECO!D$64*100</f>
        <v>0.90774333739680679</v>
      </c>
      <c r="F140" s="1440">
        <f>F64/ECO!E$64*100</f>
        <v>1.5070321432852225</v>
      </c>
      <c r="G140" s="1440">
        <f>G64/ECO!F$64*100</f>
        <v>1.2603141240967144</v>
      </c>
      <c r="H140" s="1440">
        <f>H64/ECO!G$64*100</f>
        <v>1.278669712900798</v>
      </c>
      <c r="I140" s="1440">
        <f>I64/ECO!H$64*100</f>
        <v>1.3154023318587478</v>
      </c>
      <c r="J140" s="1440">
        <f>J64/ECO!I$64*100</f>
        <v>1.3154023318587478</v>
      </c>
      <c r="K140" s="1440">
        <f>K64/ECO!J$64*100</f>
        <v>1.3154023318587482</v>
      </c>
      <c r="L140" s="1440">
        <f>L64/ECO!K$64*100</f>
        <v>1.3154023318587478</v>
      </c>
      <c r="M140" s="1440">
        <f>M64/ECO!L$64*100</f>
        <v>1.3154023318587478</v>
      </c>
      <c r="N140" s="1440">
        <f>N64/ECO!M$64*100</f>
        <v>1.3154023318587478</v>
      </c>
      <c r="O140" s="1440">
        <f>O64/ECO!N$64*100</f>
        <v>1.3154023318587478</v>
      </c>
      <c r="P140" s="1440">
        <f>P64/ECO!O$64*100</f>
        <v>1.3154023318587478</v>
      </c>
      <c r="Q140" s="1440">
        <f>Q64/ECO!P$64*100</f>
        <v>1.3154023318587473</v>
      </c>
      <c r="R140" s="1440">
        <f>R64/ECO!Q$64*100</f>
        <v>1.3154023318587476</v>
      </c>
      <c r="S140" s="1010"/>
    </row>
    <row r="141" spans="1:19" s="60" customFormat="1">
      <c r="A141" s="1343"/>
      <c r="B141" s="942" t="s">
        <v>899</v>
      </c>
      <c r="C141" s="1440">
        <f>C65/ECO!B$64*100</f>
        <v>0.47759129567454012</v>
      </c>
      <c r="D141" s="1440">
        <f>D65/ECO!C$64*100</f>
        <v>0.47687230886873688</v>
      </c>
      <c r="E141" s="1440">
        <f>E65/ECO!D$64*100</f>
        <v>0.78568499613250864</v>
      </c>
      <c r="F141" s="1440">
        <f>F65/ECO!E$64*100</f>
        <v>0.55304982094734279</v>
      </c>
      <c r="G141" s="1440">
        <f>G65/ECO!F$64*100</f>
        <v>0.61277063220970085</v>
      </c>
      <c r="H141" s="1440">
        <f>H65/ECO!G$64*100</f>
        <v>0.6216952054894942</v>
      </c>
      <c r="I141" s="1440">
        <f>I65/ECO!H$64*100</f>
        <v>0.63955477693380625</v>
      </c>
      <c r="J141" s="1440">
        <f>J65/ECO!I$64*100</f>
        <v>0.63955477693380636</v>
      </c>
      <c r="K141" s="1440">
        <f>K65/ECO!J$64*100</f>
        <v>0.63955477693380647</v>
      </c>
      <c r="L141" s="1440">
        <f>L65/ECO!K$64*100</f>
        <v>0.63955477693380625</v>
      </c>
      <c r="M141" s="1440">
        <f>M65/ECO!L$64*100</f>
        <v>0.63955477693380636</v>
      </c>
      <c r="N141" s="1440">
        <f>N65/ECO!M$64*100</f>
        <v>0.63955477693380625</v>
      </c>
      <c r="O141" s="1440">
        <f>O65/ECO!N$64*100</f>
        <v>0.63955477693380614</v>
      </c>
      <c r="P141" s="1440">
        <f>P65/ECO!O$64*100</f>
        <v>0.63955477693380614</v>
      </c>
      <c r="Q141" s="1440">
        <f>Q65/ECO!P$64*100</f>
        <v>0.63955477693380614</v>
      </c>
      <c r="R141" s="1440">
        <f>R65/ECO!Q$64*100</f>
        <v>0.63955477693380614</v>
      </c>
      <c r="S141" s="1010"/>
    </row>
    <row r="142" spans="1:19" s="60" customFormat="1">
      <c r="A142" s="1343"/>
      <c r="B142" s="1041" t="s">
        <v>210</v>
      </c>
      <c r="C142" s="1440">
        <f>C66/ECO!B$64*100</f>
        <v>0.78895508200127995</v>
      </c>
      <c r="D142" s="1440">
        <f>D66/ECO!C$64*100</f>
        <v>0.81753937583716951</v>
      </c>
      <c r="E142" s="1440">
        <f>E66/ECO!D$64*100</f>
        <v>1.1069187681991497</v>
      </c>
      <c r="F142" s="1440">
        <f>F66/ECO!E$64*100</f>
        <v>1.1265704985326974</v>
      </c>
      <c r="G142" s="1440">
        <f>G66/ECO!F$64*100</f>
        <v>1.439951663934095</v>
      </c>
      <c r="H142" s="1440">
        <f>H66/ECO!G$64*100</f>
        <v>1.281227005559455</v>
      </c>
      <c r="I142" s="1440">
        <f>I66/ECO!H$64*100</f>
        <v>1.4851974661828728</v>
      </c>
      <c r="J142" s="1440">
        <f>J66/ECO!I$64*100</f>
        <v>1.6911097204713499</v>
      </c>
      <c r="K142" s="1440">
        <f>K66/ECO!J$64*100</f>
        <v>1.5828212215688988</v>
      </c>
      <c r="L142" s="1440">
        <f>L66/ECO!K$64*100</f>
        <v>1.5447335298788598</v>
      </c>
      <c r="M142" s="1440">
        <f>M66/ECO!L$64*100</f>
        <v>1.4636769856230982</v>
      </c>
      <c r="N142" s="1440">
        <f>N66/ECO!M$64*100</f>
        <v>1.4115058041214095</v>
      </c>
      <c r="O142" s="1440">
        <f>O66/ECO!N$64*100</f>
        <v>1.4293838577052949</v>
      </c>
      <c r="P142" s="1440">
        <f>P66/ECO!O$64*100</f>
        <v>1.4664454310282813</v>
      </c>
      <c r="Q142" s="1440">
        <f>Q66/ECO!P$64*100</f>
        <v>1.5071099471172389</v>
      </c>
      <c r="R142" s="1440">
        <f>R66/ECO!Q$64*100</f>
        <v>1.5344341213194355</v>
      </c>
      <c r="S142" s="1010"/>
    </row>
    <row r="143" spans="1:19" s="60" customFormat="1" ht="8.25" customHeight="1">
      <c r="A143" s="1343"/>
      <c r="B143" s="1016"/>
      <c r="C143" s="1440"/>
      <c r="D143" s="1440"/>
      <c r="E143" s="1440"/>
      <c r="F143" s="1440"/>
      <c r="G143" s="1440"/>
      <c r="H143" s="1440"/>
      <c r="I143" s="1440"/>
      <c r="J143" s="1440"/>
      <c r="K143" s="1440"/>
      <c r="L143" s="1440"/>
      <c r="M143" s="1440"/>
      <c r="N143" s="1440"/>
      <c r="O143" s="1440"/>
      <c r="P143" s="1440"/>
      <c r="Q143" s="1440"/>
      <c r="R143" s="1440"/>
      <c r="S143" s="1010"/>
    </row>
    <row r="144" spans="1:19" s="63" customFormat="1">
      <c r="A144" s="1344"/>
      <c r="B144" s="256" t="s">
        <v>56</v>
      </c>
      <c r="C144" s="1441">
        <f>C70/ECO!B$64*100</f>
        <v>9.4373136292734294</v>
      </c>
      <c r="D144" s="1441">
        <f>D70/ECO!C$64*100</f>
        <v>9.0674508475620073</v>
      </c>
      <c r="E144" s="1441">
        <f>E70/ECO!D$64*100</f>
        <v>9.1195330095832237</v>
      </c>
      <c r="F144" s="1441">
        <f>F70/ECO!E$64*100</f>
        <v>8.0443732752966604</v>
      </c>
      <c r="G144" s="1441">
        <f>G70/ECO!F$64*100</f>
        <v>10.869645179749746</v>
      </c>
      <c r="H144" s="1441">
        <f>H70/ECO!G$64*100</f>
        <v>8.9933251000952286</v>
      </c>
      <c r="I144" s="1441">
        <f>I70/ECO!H$64*100</f>
        <v>7.1289061378824128</v>
      </c>
      <c r="J144" s="1441">
        <f>J70/ECO!I$64*100</f>
        <v>7.1289061378824128</v>
      </c>
      <c r="K144" s="1441">
        <f>K70/ECO!J$64*100</f>
        <v>7.1289061378824128</v>
      </c>
      <c r="L144" s="1441">
        <f>L70/ECO!K$64*100</f>
        <v>7.128906137882411</v>
      </c>
      <c r="M144" s="1441">
        <f>M70/ECO!L$64*100</f>
        <v>7.128906137882411</v>
      </c>
      <c r="N144" s="1441">
        <f>N70/ECO!M$64*100</f>
        <v>7.0576170765035862</v>
      </c>
      <c r="O144" s="1441">
        <f>O70/ECO!N$64*100</f>
        <v>6.9870409057385512</v>
      </c>
      <c r="P144" s="1441">
        <f>P70/ECO!O$64*100</f>
        <v>6.84730008762378</v>
      </c>
      <c r="Q144" s="1441">
        <f>Q70/ECO!P$64*100</f>
        <v>6.7103540858713044</v>
      </c>
      <c r="R144" s="1441">
        <f>R70/ECO!Q$64*100</f>
        <v>6.5761470041538788</v>
      </c>
      <c r="S144" s="1034"/>
    </row>
    <row r="145" spans="1:19" s="60" customFormat="1" ht="8.25" customHeight="1">
      <c r="A145" s="1343"/>
      <c r="B145" s="256"/>
      <c r="C145" s="1440"/>
      <c r="D145" s="1440"/>
      <c r="E145" s="1440"/>
      <c r="F145" s="1440"/>
      <c r="G145" s="1440"/>
      <c r="H145" s="1440"/>
      <c r="I145" s="1440"/>
      <c r="J145" s="1440"/>
      <c r="K145" s="1440"/>
      <c r="L145" s="1440"/>
      <c r="M145" s="1440"/>
      <c r="N145" s="1440"/>
      <c r="O145" s="1440"/>
      <c r="P145" s="1440"/>
      <c r="Q145" s="1440"/>
      <c r="R145" s="1440"/>
      <c r="S145" s="1010"/>
    </row>
    <row r="146" spans="1:19" s="63" customFormat="1">
      <c r="A146" s="1344"/>
      <c r="B146" s="256" t="s">
        <v>57</v>
      </c>
      <c r="C146" s="1441">
        <f>C72/ECO!B$64*100</f>
        <v>3.1953193206922927</v>
      </c>
      <c r="D146" s="1441">
        <f>D72/ECO!C$64*100</f>
        <v>1.3400871426152019</v>
      </c>
      <c r="E146" s="1441">
        <f>E72/ECO!D$64*100</f>
        <v>1.8195960888619671</v>
      </c>
      <c r="F146" s="1441">
        <f>F72/ECO!E$64*100</f>
        <v>2.4548045558430158</v>
      </c>
      <c r="G146" s="1441">
        <f>G72/ECO!F$64*100</f>
        <v>3.867114353146337</v>
      </c>
      <c r="H146" s="1441">
        <f>H72/ECO!G$64*100</f>
        <v>4.5348772404813618</v>
      </c>
      <c r="I146" s="1441">
        <f>I72/ECO!H$64*100</f>
        <v>2.7677169783676359</v>
      </c>
      <c r="J146" s="1441">
        <f>J72/ECO!I$64*100</f>
        <v>2.6936730733701295</v>
      </c>
      <c r="K146" s="1441">
        <f>K72/ECO!J$64*100</f>
        <v>2.6397996119027267</v>
      </c>
      <c r="L146" s="1441">
        <f>L72/ECO!K$64*100</f>
        <v>2.5870036196646722</v>
      </c>
      <c r="M146" s="1441">
        <f>M72/ECO!L$64*100</f>
        <v>2.5695926447847262</v>
      </c>
      <c r="N146" s="1441">
        <f>N72/ECO!M$64*100</f>
        <v>2.543896718336879</v>
      </c>
      <c r="O146" s="1441">
        <f>O72/ECO!N$64*100</f>
        <v>2.5184577511535102</v>
      </c>
      <c r="P146" s="1441">
        <f>P72/ECO!O$64*100</f>
        <v>2.46808859613044</v>
      </c>
      <c r="Q146" s="1441">
        <f>Q72/ECO!P$64*100</f>
        <v>2.4187268242078312</v>
      </c>
      <c r="R146" s="1441">
        <f>R72/ECO!Q$64*100</f>
        <v>2.382445921844714</v>
      </c>
      <c r="S146" s="1034"/>
    </row>
    <row r="147" spans="1:19" s="60" customFormat="1">
      <c r="A147" s="1343"/>
      <c r="B147" s="981" t="s">
        <v>315</v>
      </c>
      <c r="C147" s="1440">
        <f>C73/ECO!B$64*100</f>
        <v>1.2240064344233723</v>
      </c>
      <c r="D147" s="1440">
        <f>D73/ECO!C$64*100</f>
        <v>0.86146992861285165</v>
      </c>
      <c r="E147" s="1440">
        <f>E73/ECO!D$64*100</f>
        <v>1.4562189640092289</v>
      </c>
      <c r="F147" s="1440">
        <f>F73/ECO!E$64*100</f>
        <v>1.8181352935076409</v>
      </c>
      <c r="G147" s="1440">
        <f>G73/ECO!F$64*100</f>
        <v>2.7737762370589771</v>
      </c>
      <c r="H147" s="1440">
        <f>H73/ECO!G$64*100</f>
        <v>2.8269784204621544</v>
      </c>
      <c r="I147" s="1440">
        <f>I73/ECO!H$64*100</f>
        <v>1.8689565430153603</v>
      </c>
      <c r="J147" s="1440">
        <f>J73/ECO!I$64*100</f>
        <v>1.8128878467248994</v>
      </c>
      <c r="K147" s="1440">
        <f>K73/ECO!J$64*100</f>
        <v>1.7766300897904013</v>
      </c>
      <c r="L147" s="1440">
        <f>L73/ECO!K$64*100</f>
        <v>1.7410974879945935</v>
      </c>
      <c r="M147" s="1440">
        <f>M73/ECO!L$64*100</f>
        <v>1.7236865131146473</v>
      </c>
      <c r="N147" s="1440">
        <f>N73/ECO!M$64*100</f>
        <v>1.706449647983501</v>
      </c>
      <c r="O147" s="1440">
        <f>O73/ECO!N$64*100</f>
        <v>1.689385151503666</v>
      </c>
      <c r="P147" s="1440">
        <f>P73/ECO!O$64*100</f>
        <v>1.6555974484735927</v>
      </c>
      <c r="Q147" s="1440">
        <f>Q73/ECO!P$64*100</f>
        <v>1.6224854995041214</v>
      </c>
      <c r="R147" s="1440">
        <f>R73/ECO!Q$64*100</f>
        <v>1.5981482170115593</v>
      </c>
      <c r="S147" s="1010"/>
    </row>
    <row r="148" spans="1:19" s="60" customFormat="1">
      <c r="A148" s="1343"/>
      <c r="B148" s="954" t="s">
        <v>58</v>
      </c>
      <c r="C148" s="1440">
        <f>C74/ECO!B$64*100</f>
        <v>0.2027939654665942</v>
      </c>
      <c r="D148" s="1440">
        <f>D74/ECO!C$64*100</f>
        <v>0</v>
      </c>
      <c r="E148" s="1440">
        <f>E74/ECO!D$64*100</f>
        <v>0</v>
      </c>
      <c r="F148" s="1440">
        <f>F74/ECO!E$64*100</f>
        <v>0</v>
      </c>
      <c r="G148" s="1440">
        <f>G74/ECO!F$64*100</f>
        <v>0</v>
      </c>
      <c r="H148" s="1440">
        <f>H74/ECO!G$64*100</f>
        <v>0</v>
      </c>
      <c r="I148" s="1440">
        <f>I74/ECO!H$64*100</f>
        <v>0</v>
      </c>
      <c r="J148" s="1440">
        <f>J74/ECO!I$64*100</f>
        <v>0</v>
      </c>
      <c r="K148" s="1440">
        <f>K74/ECO!J$64*100</f>
        <v>0</v>
      </c>
      <c r="L148" s="1440">
        <f>L74/ECO!K$64*100</f>
        <v>0</v>
      </c>
      <c r="M148" s="1440">
        <f>M74/ECO!L$64*100</f>
        <v>0</v>
      </c>
      <c r="N148" s="1440">
        <f>N74/ECO!M$64*100</f>
        <v>0</v>
      </c>
      <c r="O148" s="1440">
        <f>O74/ECO!N$64*100</f>
        <v>0</v>
      </c>
      <c r="P148" s="1440">
        <f>P74/ECO!O$64*100</f>
        <v>0</v>
      </c>
      <c r="Q148" s="1440">
        <f>Q74/ECO!P$64*100</f>
        <v>0</v>
      </c>
      <c r="R148" s="1440">
        <f>R74/ECO!Q$64*100</f>
        <v>0</v>
      </c>
      <c r="S148" s="1010"/>
    </row>
    <row r="149" spans="1:19" s="60" customFormat="1">
      <c r="A149" s="1343"/>
      <c r="B149" s="954" t="s">
        <v>59</v>
      </c>
      <c r="C149" s="1440">
        <f>C75/ECO!B$64*100</f>
        <v>0.76772001212353524</v>
      </c>
      <c r="D149" s="1440">
        <f>D75/ECO!C$64*100</f>
        <v>0.69321408318065403</v>
      </c>
      <c r="E149" s="1440">
        <f>E75/ECO!D$64*100</f>
        <v>1.1743701322655071</v>
      </c>
      <c r="F149" s="1440">
        <f>F75/ECO!E$64*100</f>
        <v>1.4646344419599733</v>
      </c>
      <c r="G149" s="1440">
        <f>G75/ECO!F$64*100</f>
        <v>2.2344696929836241</v>
      </c>
      <c r="H149" s="1440">
        <f>H75/ECO!G$64*100</f>
        <v>2.2773277522699789</v>
      </c>
      <c r="I149" s="1440">
        <f>I75/ECO!H$64*100</f>
        <v>1.5055744933842234</v>
      </c>
      <c r="J149" s="1440">
        <f>J75/ECO!I$64*100</f>
        <v>1.4604072585826968</v>
      </c>
      <c r="K149" s="1440">
        <f>K75/ECO!J$64*100</f>
        <v>1.4311991134110429</v>
      </c>
      <c r="L149" s="1440">
        <f>L75/ECO!K$64*100</f>
        <v>1.4025751311428221</v>
      </c>
      <c r="M149" s="1440">
        <f>M75/ECO!L$64*100</f>
        <v>1.3885493798313937</v>
      </c>
      <c r="N149" s="1440">
        <f>N75/ECO!M$64*100</f>
        <v>1.37466388603308</v>
      </c>
      <c r="O149" s="1440">
        <f>O75/ECO!N$64*100</f>
        <v>1.3609172471727489</v>
      </c>
      <c r="P149" s="1440">
        <f>P75/ECO!O$64*100</f>
        <v>1.333698902229294</v>
      </c>
      <c r="Q149" s="1440">
        <f>Q75/ECO!P$64*100</f>
        <v>1.3070249241847085</v>
      </c>
      <c r="R149" s="1440">
        <f>R75/ECO!Q$64*100</f>
        <v>1.2874195503219379</v>
      </c>
      <c r="S149" s="1010"/>
    </row>
    <row r="150" spans="1:19" s="60" customFormat="1">
      <c r="A150" s="1343"/>
      <c r="B150" s="954" t="s">
        <v>60</v>
      </c>
      <c r="C150" s="1440">
        <f>C76/ECO!B$64*100</f>
        <v>0</v>
      </c>
      <c r="D150" s="1440">
        <f>D76/ECO!C$64*100</f>
        <v>0</v>
      </c>
      <c r="E150" s="1440">
        <f>E76/ECO!D$64*100</f>
        <v>0</v>
      </c>
      <c r="F150" s="1440">
        <f>F76/ECO!E$64*100</f>
        <v>0</v>
      </c>
      <c r="G150" s="1440">
        <f>G76/ECO!F$64*100</f>
        <v>0</v>
      </c>
      <c r="H150" s="1440">
        <f>H76/ECO!G$64*100</f>
        <v>0</v>
      </c>
      <c r="I150" s="1440">
        <f>I76/ECO!H$64*100</f>
        <v>0</v>
      </c>
      <c r="J150" s="1440">
        <f>J76/ECO!I$64*100</f>
        <v>0</v>
      </c>
      <c r="K150" s="1440">
        <f>K76/ECO!J$64*100</f>
        <v>0</v>
      </c>
      <c r="L150" s="1440">
        <f>L76/ECO!K$64*100</f>
        <v>0</v>
      </c>
      <c r="M150" s="1440">
        <f>M76/ECO!L$64*100</f>
        <v>0</v>
      </c>
      <c r="N150" s="1440">
        <f>N76/ECO!M$64*100</f>
        <v>0</v>
      </c>
      <c r="O150" s="1440">
        <f>O76/ECO!N$64*100</f>
        <v>0</v>
      </c>
      <c r="P150" s="1440">
        <f>P76/ECO!O$64*100</f>
        <v>0</v>
      </c>
      <c r="Q150" s="1440">
        <f>Q76/ECO!P$64*100</f>
        <v>0</v>
      </c>
      <c r="R150" s="1440">
        <f>R76/ECO!Q$64*100</f>
        <v>0</v>
      </c>
      <c r="S150" s="1010"/>
    </row>
    <row r="151" spans="1:19" s="60" customFormat="1">
      <c r="A151" s="1343"/>
      <c r="B151" s="954" t="s">
        <v>61</v>
      </c>
      <c r="C151" s="1440">
        <f>C77/ECO!B$64*100</f>
        <v>0.25349245683324279</v>
      </c>
      <c r="D151" s="1440">
        <f>D77/ECO!C$64*100</f>
        <v>0.1682558454321976</v>
      </c>
      <c r="E151" s="1440">
        <f>E77/ECO!D$64*100</f>
        <v>0.28184883174372177</v>
      </c>
      <c r="F151" s="1440">
        <f>F77/ECO!E$64*100</f>
        <v>0.35350085154766764</v>
      </c>
      <c r="G151" s="1440">
        <f>G77/ECO!F$64*100</f>
        <v>0.53930654407535306</v>
      </c>
      <c r="H151" s="1440">
        <f>H77/ECO!G$64*100</f>
        <v>0.54965066819217556</v>
      </c>
      <c r="I151" s="1440">
        <f>I77/ECO!H$64*100</f>
        <v>0.36338204963113679</v>
      </c>
      <c r="J151" s="1440">
        <f>J77/ECO!I$64*100</f>
        <v>0.35248058814220268</v>
      </c>
      <c r="K151" s="1440">
        <f>K77/ECO!J$64*100</f>
        <v>0.34543097637935855</v>
      </c>
      <c r="L151" s="1440">
        <f>L77/ECO!K$64*100</f>
        <v>0.3385223568517714</v>
      </c>
      <c r="M151" s="1440">
        <f>M77/ECO!L$64*100</f>
        <v>0.33513713328325373</v>
      </c>
      <c r="N151" s="1440">
        <f>N77/ECO!M$64*100</f>
        <v>0.3317857619504212</v>
      </c>
      <c r="O151" s="1440">
        <f>O77/ECO!N$64*100</f>
        <v>0.32846790433091694</v>
      </c>
      <c r="P151" s="1440">
        <f>P77/ECO!O$64*100</f>
        <v>0.32189854624429859</v>
      </c>
      <c r="Q151" s="1440">
        <f>Q77/ECO!P$64*100</f>
        <v>0.31546057531941268</v>
      </c>
      <c r="R151" s="1440">
        <f>R77/ECO!Q$64*100</f>
        <v>0.31072866668962157</v>
      </c>
      <c r="S151" s="1010"/>
    </row>
    <row r="152" spans="1:19" s="60" customFormat="1">
      <c r="A152" s="1343"/>
      <c r="B152" s="1016" t="s">
        <v>211</v>
      </c>
      <c r="C152" s="1440">
        <f>C78/ECO!B$64*100</f>
        <v>1.9713128862689202</v>
      </c>
      <c r="D152" s="1440">
        <f>D78/ECO!C$64*100</f>
        <v>0.47861721400235041</v>
      </c>
      <c r="E152" s="1440">
        <f>E78/ECO!D$64*100</f>
        <v>0.36337712485273838</v>
      </c>
      <c r="F152" s="1440">
        <f>F78/ECO!E$64*100</f>
        <v>0.63666926233537446</v>
      </c>
      <c r="G152" s="1440">
        <f>G78/ECO!F$64*100</f>
        <v>0.49034328194410359</v>
      </c>
      <c r="H152" s="1440">
        <f>H78/ECO!G$64*100</f>
        <v>1.6069353050027018</v>
      </c>
      <c r="I152" s="1440">
        <f>I78/ECO!H$64*100</f>
        <v>0.89876043535227557</v>
      </c>
      <c r="J152" s="1440">
        <f>J78/ECO!I$64*100</f>
        <v>0.88078522664523007</v>
      </c>
      <c r="K152" s="1440">
        <f>K78/ECO!J$64*100</f>
        <v>0.86316952211232556</v>
      </c>
      <c r="L152" s="1440">
        <f>L78/ECO!K$64*100</f>
        <v>0.84590613167007878</v>
      </c>
      <c r="M152" s="1440">
        <f>M78/ECO!L$64*100</f>
        <v>0.84590613167007878</v>
      </c>
      <c r="N152" s="1440">
        <f>N78/ECO!M$64*100</f>
        <v>0.83744707035337795</v>
      </c>
      <c r="O152" s="1440">
        <f>O78/ECO!N$64*100</f>
        <v>0.82907259964984437</v>
      </c>
      <c r="P152" s="1440">
        <f>P78/ECO!O$64*100</f>
        <v>0.81249114765684727</v>
      </c>
      <c r="Q152" s="1440">
        <f>Q78/ECO!P$64*100</f>
        <v>0.79624132470371056</v>
      </c>
      <c r="R152" s="1440">
        <f>R78/ECO!Q$64*100</f>
        <v>0.78429770483315475</v>
      </c>
      <c r="S152" s="1010"/>
    </row>
    <row r="153" spans="1:19" s="60" customFormat="1">
      <c r="A153" s="1343"/>
      <c r="B153" s="981" t="s">
        <v>316</v>
      </c>
      <c r="C153" s="1440">
        <f>C79/ECO!B$64*100</f>
        <v>0</v>
      </c>
      <c r="D153" s="1440">
        <f>D79/ECO!C$64*100</f>
        <v>0</v>
      </c>
      <c r="E153" s="1440">
        <f>E79/ECO!D$64*100</f>
        <v>0</v>
      </c>
      <c r="F153" s="1440">
        <f>F79/ECO!E$64*100</f>
        <v>0</v>
      </c>
      <c r="G153" s="1440">
        <f>G79/ECO!F$64*100</f>
        <v>0.60299483414325583</v>
      </c>
      <c r="H153" s="1440">
        <f>H79/ECO!G$64*100</f>
        <v>0.10096351501650551</v>
      </c>
      <c r="I153" s="1440">
        <f>I79/ECO!H$64*100</f>
        <v>0</v>
      </c>
      <c r="J153" s="1440">
        <f>J79/ECO!I$64*100</f>
        <v>0</v>
      </c>
      <c r="K153" s="1440">
        <f>K79/ECO!J$64*100</f>
        <v>0</v>
      </c>
      <c r="L153" s="1440">
        <f>L79/ECO!K$64*100</f>
        <v>0</v>
      </c>
      <c r="M153" s="1440">
        <f>M79/ECO!L$64*100</f>
        <v>0</v>
      </c>
      <c r="N153" s="1440">
        <f>N79/ECO!M$64*100</f>
        <v>0</v>
      </c>
      <c r="O153" s="1440">
        <f>O79/ECO!N$64*100</f>
        <v>0</v>
      </c>
      <c r="P153" s="1440">
        <f>P79/ECO!O$64*100</f>
        <v>0</v>
      </c>
      <c r="Q153" s="1440">
        <f>Q79/ECO!P$64*100</f>
        <v>0</v>
      </c>
      <c r="R153" s="1440">
        <f>R79/ECO!Q$64*100</f>
        <v>0</v>
      </c>
      <c r="S153" s="1010"/>
    </row>
    <row r="154" spans="1:19" s="1234" customFormat="1" ht="8.25" customHeight="1">
      <c r="B154" s="1408"/>
      <c r="C154" s="1433"/>
      <c r="D154" s="1433"/>
      <c r="E154" s="1433"/>
      <c r="F154" s="1433"/>
      <c r="G154" s="1433"/>
      <c r="H154" s="1433"/>
      <c r="I154" s="1433"/>
      <c r="J154" s="1433"/>
      <c r="K154" s="1433"/>
      <c r="L154" s="1433"/>
      <c r="M154" s="1433"/>
      <c r="N154" s="1433"/>
      <c r="O154" s="1433"/>
      <c r="P154" s="1433"/>
      <c r="Q154" s="1433"/>
      <c r="R154" s="1433"/>
      <c r="S154" s="1434"/>
    </row>
    <row r="155" spans="1:19" s="60" customFormat="1">
      <c r="A155" s="1442"/>
      <c r="B155" s="1413" t="s">
        <v>1065</v>
      </c>
      <c r="C155" s="1440">
        <f>C81/ECO!B$64*100</f>
        <v>0</v>
      </c>
      <c r="D155" s="1440">
        <f>D81/ECO!C$64*100</f>
        <v>0</v>
      </c>
      <c r="E155" s="1440">
        <f>E81/ECO!D$64*100</f>
        <v>0</v>
      </c>
      <c r="F155" s="1440">
        <f>F81/ECO!E$64*100</f>
        <v>0</v>
      </c>
      <c r="G155" s="1440">
        <f>G81/ECO!F$64*100</f>
        <v>0</v>
      </c>
      <c r="H155" s="1440">
        <f>H81/ECO!G$64*100</f>
        <v>0</v>
      </c>
      <c r="I155" s="1440">
        <f>I81/ECO!H$64*100</f>
        <v>0</v>
      </c>
      <c r="J155" s="1440">
        <f>J81/ECO!I$64*100</f>
        <v>0</v>
      </c>
      <c r="K155" s="1440">
        <f>K81/ECO!J$64*100</f>
        <v>0</v>
      </c>
      <c r="L155" s="1440">
        <f>L81/ECO!K$64*100</f>
        <v>0</v>
      </c>
      <c r="M155" s="1440">
        <f>M81/ECO!L$64*100</f>
        <v>0</v>
      </c>
      <c r="N155" s="1440">
        <f>N81/ECO!M$64*100</f>
        <v>0</v>
      </c>
      <c r="O155" s="1440">
        <f>O81/ECO!N$64*100</f>
        <v>0</v>
      </c>
      <c r="P155" s="1440">
        <f>P81/ECO!O$64*100</f>
        <v>0</v>
      </c>
      <c r="Q155" s="1440">
        <f>Q81/ECO!P$64*100</f>
        <v>0</v>
      </c>
      <c r="R155" s="1440">
        <f>R81/ECO!Q$64*100</f>
        <v>0</v>
      </c>
      <c r="S155" s="1010"/>
    </row>
    <row r="156" spans="1:19" s="60" customFormat="1" ht="24.75">
      <c r="A156" s="1442"/>
      <c r="B156" s="1415" t="s">
        <v>1063</v>
      </c>
      <c r="C156" s="1440">
        <f>C82/ECO!B$64*100</f>
        <v>0</v>
      </c>
      <c r="D156" s="1440">
        <f>D82/ECO!C$64*100</f>
        <v>0</v>
      </c>
      <c r="E156" s="1440">
        <f>E82/ECO!D$64*100</f>
        <v>0</v>
      </c>
      <c r="F156" s="1440">
        <f>F82/ECO!E$64*100</f>
        <v>0</v>
      </c>
      <c r="G156" s="1440">
        <f>G82/ECO!F$64*100</f>
        <v>0</v>
      </c>
      <c r="H156" s="1440">
        <f>H82/ECO!G$64*100</f>
        <v>0</v>
      </c>
      <c r="I156" s="1440">
        <f>I82/ECO!H$64*100</f>
        <v>0.73694974416044834</v>
      </c>
      <c r="J156" s="1440">
        <f>J82/ECO!I$64*100</f>
        <v>1.5079190702771905</v>
      </c>
      <c r="K156" s="1440">
        <f>K82/ECO!J$64*100</f>
        <v>1.7678719680920025</v>
      </c>
      <c r="L156" s="1440">
        <f>L82/ECO!K$64*100</f>
        <v>2.0146078448307554</v>
      </c>
      <c r="M156" s="1440">
        <f>M82/ECO!L$64*100</f>
        <v>2.1667330783923386</v>
      </c>
      <c r="N156" s="1440">
        <f>N82/ECO!M$64*100</f>
        <v>2.3250990312568409</v>
      </c>
      <c r="O156" s="1440">
        <f>O82/ECO!N$64*100</f>
        <v>2.3131622385922666</v>
      </c>
      <c r="P156" s="1440">
        <f>P82/ECO!O$64*100</f>
        <v>2.2959657640307451</v>
      </c>
      <c r="Q156" s="1440">
        <f>Q82/ECO!P$64*100</f>
        <v>2.3112257646732717</v>
      </c>
      <c r="R156" s="1440">
        <f>R82/ECO!Q$64*100</f>
        <v>2.301553137697534</v>
      </c>
      <c r="S156" s="1010"/>
    </row>
    <row r="157" spans="1:19" s="60" customFormat="1" ht="36.75">
      <c r="A157" s="1442"/>
      <c r="B157" s="1415" t="s">
        <v>1064</v>
      </c>
      <c r="C157" s="1440">
        <f>C83/ECO!B$64*100</f>
        <v>0</v>
      </c>
      <c r="D157" s="1440">
        <f>D83/ECO!C$64*100</f>
        <v>0</v>
      </c>
      <c r="E157" s="1440">
        <f>E83/ECO!D$64*100</f>
        <v>0</v>
      </c>
      <c r="F157" s="1440">
        <f>F83/ECO!E$64*100</f>
        <v>0</v>
      </c>
      <c r="G157" s="1440">
        <f>G83/ECO!F$64*100</f>
        <v>0</v>
      </c>
      <c r="H157" s="1440">
        <f>H83/ECO!G$64*100</f>
        <v>0</v>
      </c>
      <c r="I157" s="1440">
        <f>I83/ECO!H$64*100</f>
        <v>0.73694974416044834</v>
      </c>
      <c r="J157" s="1440">
        <f>J83/ECO!I$64*100</f>
        <v>1.5079190702771905</v>
      </c>
      <c r="K157" s="1440">
        <f>K83/ECO!J$64*100</f>
        <v>1.7678719680920025</v>
      </c>
      <c r="L157" s="1440">
        <f>L83/ECO!K$64*100</f>
        <v>2.0146078448307554</v>
      </c>
      <c r="M157" s="1440">
        <f>M83/ECO!L$64*100</f>
        <v>2.1667330783923386</v>
      </c>
      <c r="N157" s="1440">
        <f>N83/ECO!M$64*100</f>
        <v>2.3250990312568409</v>
      </c>
      <c r="O157" s="1440">
        <f>O83/ECO!N$64*100</f>
        <v>2.3131622385922666</v>
      </c>
      <c r="P157" s="1440">
        <f>P83/ECO!O$64*100</f>
        <v>2.2959657640307451</v>
      </c>
      <c r="Q157" s="1440">
        <f>Q83/ECO!P$64*100</f>
        <v>2.3112257646732717</v>
      </c>
      <c r="R157" s="1440">
        <f>R83/ECO!Q$64*100</f>
        <v>2.301553137697534</v>
      </c>
      <c r="S157" s="1010"/>
    </row>
    <row r="158" spans="1:19" s="1234" customFormat="1">
      <c r="A158" s="1442"/>
      <c r="B158" s="1410"/>
      <c r="C158" s="1433">
        <f>C84/ECO!B$64*100</f>
        <v>0</v>
      </c>
      <c r="D158" s="1433">
        <f>D84/ECO!C$64*100</f>
        <v>0</v>
      </c>
      <c r="E158" s="1433">
        <f>E84/ECO!D$64*100</f>
        <v>0</v>
      </c>
      <c r="F158" s="1433">
        <f>F84/ECO!E$64*100</f>
        <v>0</v>
      </c>
      <c r="G158" s="1433">
        <f>G84/ECO!F$64*100</f>
        <v>0</v>
      </c>
      <c r="H158" s="1433">
        <f>H84/ECO!G$64*100</f>
        <v>0</v>
      </c>
      <c r="I158" s="1433">
        <f>I84/ECO!H$64*100</f>
        <v>0</v>
      </c>
      <c r="J158" s="1433">
        <f>J84/ECO!I$64*100</f>
        <v>0</v>
      </c>
      <c r="K158" s="1433">
        <f>K84/ECO!J$64*100</f>
        <v>0</v>
      </c>
      <c r="L158" s="1433">
        <f>L84/ECO!K$64*100</f>
        <v>0</v>
      </c>
      <c r="M158" s="1433">
        <f>M84/ECO!L$64*100</f>
        <v>0</v>
      </c>
      <c r="N158" s="1433">
        <f>N84/ECO!M$64*100</f>
        <v>0</v>
      </c>
      <c r="O158" s="1433">
        <f>O84/ECO!N$64*100</f>
        <v>0</v>
      </c>
      <c r="P158" s="1433">
        <f>P84/ECO!O$64*100</f>
        <v>0</v>
      </c>
      <c r="Q158" s="1433">
        <f>Q84/ECO!P$64*100</f>
        <v>0</v>
      </c>
      <c r="R158" s="1433">
        <f>R84/ECO!Q$64*100</f>
        <v>0</v>
      </c>
      <c r="S158" s="1434"/>
    </row>
    <row r="159" spans="1:19" s="60" customFormat="1">
      <c r="A159" s="1442"/>
      <c r="B159" s="1414" t="s">
        <v>1052</v>
      </c>
      <c r="C159" s="1440">
        <f>C85/ECO!B$64*100</f>
        <v>0</v>
      </c>
      <c r="D159" s="1440">
        <f>D85/ECO!C$64*100</f>
        <v>0</v>
      </c>
      <c r="E159" s="1440">
        <f>E85/ECO!D$64*100</f>
        <v>0</v>
      </c>
      <c r="F159" s="1440">
        <f>F85/ECO!E$64*100</f>
        <v>0</v>
      </c>
      <c r="G159" s="1440">
        <f>G85/ECO!F$64*100</f>
        <v>0</v>
      </c>
      <c r="H159" s="1440">
        <f>H85/ECO!G$64*100</f>
        <v>0</v>
      </c>
      <c r="I159" s="1440">
        <f>I85/ECO!H$64*100</f>
        <v>3.8136961079208298E-5</v>
      </c>
      <c r="J159" s="1440">
        <f>J85/ECO!I$64*100</f>
        <v>1.0349760356930284E-4</v>
      </c>
      <c r="K159" s="1440">
        <f>K85/ECO!J$64*100</f>
        <v>2.0261963142935058E-4</v>
      </c>
      <c r="L159" s="1440">
        <f>L85/ECO!K$64*100</f>
        <v>3.015883218486218E-4</v>
      </c>
      <c r="M159" s="1440">
        <f>M85/ECO!L$64*100</f>
        <v>3.9600726736694204E-4</v>
      </c>
      <c r="N159" s="1440">
        <f>N85/ECO!M$64*100</f>
        <v>4.7442243497391941E-4</v>
      </c>
      <c r="O159" s="1440">
        <f>O85/ECO!N$64*100</f>
        <v>5.5624852242666363E-4</v>
      </c>
      <c r="P159" s="1440">
        <f>P85/ECO!O$64*100</f>
        <v>6.4932246323520456E-4</v>
      </c>
      <c r="Q159" s="1440">
        <f>Q85/ECO!P$64*100</f>
        <v>7.4393040391411566E-4</v>
      </c>
      <c r="R159" s="1440">
        <f>R85/ECO!Q$64*100</f>
        <v>8.8004713722424446E-4</v>
      </c>
      <c r="S159" s="1010"/>
    </row>
    <row r="160" spans="1:19" s="1234" customFormat="1">
      <c r="A160" s="1442"/>
      <c r="B160" s="1408"/>
      <c r="C160" s="1433">
        <f>C86/ECO!B$64*100</f>
        <v>0</v>
      </c>
      <c r="D160" s="1433">
        <f>D86/ECO!C$64*100</f>
        <v>0</v>
      </c>
      <c r="E160" s="1433">
        <f>E86/ECO!D$64*100</f>
        <v>0</v>
      </c>
      <c r="F160" s="1433">
        <f>F86/ECO!E$64*100</f>
        <v>0</v>
      </c>
      <c r="G160" s="1433">
        <f>G86/ECO!F$64*100</f>
        <v>0</v>
      </c>
      <c r="H160" s="1433">
        <f>H86/ECO!G$64*100</f>
        <v>0</v>
      </c>
      <c r="I160" s="1433">
        <f>I86/ECO!H$64*100</f>
        <v>0</v>
      </c>
      <c r="J160" s="1433">
        <f>J86/ECO!I$64*100</f>
        <v>0</v>
      </c>
      <c r="K160" s="1433">
        <f>K86/ECO!J$64*100</f>
        <v>0</v>
      </c>
      <c r="L160" s="1433">
        <f>L86/ECO!K$64*100</f>
        <v>0</v>
      </c>
      <c r="M160" s="1433">
        <f>M86/ECO!L$64*100</f>
        <v>0</v>
      </c>
      <c r="N160" s="1433">
        <f>N86/ECO!M$64*100</f>
        <v>0</v>
      </c>
      <c r="O160" s="1433">
        <f>O86/ECO!N$64*100</f>
        <v>0</v>
      </c>
      <c r="P160" s="1433">
        <f>P86/ECO!O$64*100</f>
        <v>0</v>
      </c>
      <c r="Q160" s="1433">
        <f>Q86/ECO!P$64*100</f>
        <v>0</v>
      </c>
      <c r="R160" s="1433">
        <f>R86/ECO!Q$64*100</f>
        <v>0</v>
      </c>
      <c r="S160" s="1434"/>
    </row>
    <row r="161" spans="1:21" s="60" customFormat="1">
      <c r="A161" s="1442"/>
      <c r="B161" s="1432" t="s">
        <v>1066</v>
      </c>
      <c r="C161" s="1440">
        <f>C87/ECO!B$64*100</f>
        <v>0</v>
      </c>
      <c r="D161" s="1440">
        <f>D87/ECO!C$64*100</f>
        <v>0</v>
      </c>
      <c r="E161" s="1440">
        <f>E87/ECO!D$64*100</f>
        <v>0</v>
      </c>
      <c r="F161" s="1440">
        <f>F87/ECO!E$64*100</f>
        <v>0</v>
      </c>
      <c r="G161" s="1440">
        <f>G87/ECO!F$64*100</f>
        <v>0</v>
      </c>
      <c r="H161" s="1440">
        <f>H87/ECO!G$64*100</f>
        <v>0</v>
      </c>
      <c r="I161" s="1440">
        <f>I87/ECO!H$64*100</f>
        <v>0</v>
      </c>
      <c r="J161" s="1440">
        <f>J87/ECO!I$64*100</f>
        <v>0</v>
      </c>
      <c r="K161" s="1440">
        <f>K87/ECO!J$64*100</f>
        <v>0</v>
      </c>
      <c r="L161" s="1440">
        <f>L87/ECO!K$64*100</f>
        <v>0</v>
      </c>
      <c r="M161" s="1440">
        <f>M87/ECO!L$64*100</f>
        <v>0</v>
      </c>
      <c r="N161" s="1440">
        <f>N87/ECO!M$64*100</f>
        <v>0</v>
      </c>
      <c r="O161" s="1440">
        <f>O87/ECO!N$64*100</f>
        <v>0</v>
      </c>
      <c r="P161" s="1440">
        <f>P87/ECO!O$64*100</f>
        <v>0</v>
      </c>
      <c r="Q161" s="1440">
        <f>Q87/ECO!P$64*100</f>
        <v>0</v>
      </c>
      <c r="R161" s="1440">
        <f>R87/ECO!Q$64*100</f>
        <v>0</v>
      </c>
      <c r="S161" s="1010"/>
    </row>
    <row r="162" spans="1:21" s="60" customFormat="1" ht="24.75">
      <c r="A162" s="1442"/>
      <c r="B162" s="1415" t="s">
        <v>1063</v>
      </c>
      <c r="C162" s="1440">
        <f>C88/ECO!B$64*100</f>
        <v>30.493808619263085</v>
      </c>
      <c r="D162" s="1440">
        <f>D88/ECO!C$64*100</f>
        <v>28.89008637280411</v>
      </c>
      <c r="E162" s="1440">
        <f>E88/ECO!D$64*100</f>
        <v>31.208042725888241</v>
      </c>
      <c r="F162" s="1440">
        <f>F88/ECO!E$64*100</f>
        <v>30.186889526059268</v>
      </c>
      <c r="G162" s="1440">
        <f>G88/ECO!F$64*100</f>
        <v>35.66556453582362</v>
      </c>
      <c r="H162" s="1440">
        <f>H88/ECO!G$64*100</f>
        <v>34.58212412696848</v>
      </c>
      <c r="I162" s="1440">
        <f>I88/ECO!H$64*100</f>
        <v>32.459517686137026</v>
      </c>
      <c r="J162" s="1440">
        <f>J88/ECO!I$64*100</f>
        <v>33.362420722187231</v>
      </c>
      <c r="K162" s="1440">
        <f>K88/ECO!J$64*100</f>
        <v>33.460310781660056</v>
      </c>
      <c r="L162" s="1440">
        <f>L88/ECO!K$64*100</f>
        <v>33.616261943161128</v>
      </c>
      <c r="M162" s="1440">
        <f>M88/ECO!L$64*100</f>
        <v>33.670014076532524</v>
      </c>
      <c r="N162" s="1440">
        <f>N88/ECO!M$64*100</f>
        <v>33.67930227523626</v>
      </c>
      <c r="O162" s="1440">
        <f>O88/ECO!N$64*100</f>
        <v>33.589310224294621</v>
      </c>
      <c r="P162" s="1440">
        <f>P88/ECO!O$64*100</f>
        <v>33.419158423859059</v>
      </c>
      <c r="Q162" s="1440">
        <f>Q88/ECO!P$64*100</f>
        <v>33.288869774856131</v>
      </c>
      <c r="R162" s="1440">
        <f>R88/ECO!Q$64*100</f>
        <v>33.136169454735359</v>
      </c>
      <c r="S162" s="1010"/>
    </row>
    <row r="163" spans="1:21" s="60" customFormat="1" ht="36.75">
      <c r="A163" s="1442"/>
      <c r="B163" s="1417" t="s">
        <v>1064</v>
      </c>
      <c r="C163" s="1440">
        <f>C89/ECO!B$64*100</f>
        <v>30.493808619263085</v>
      </c>
      <c r="D163" s="1440">
        <f>D89/ECO!C$64*100</f>
        <v>28.89008637280411</v>
      </c>
      <c r="E163" s="1440">
        <f>E89/ECO!D$64*100</f>
        <v>31.208042725888241</v>
      </c>
      <c r="F163" s="1440">
        <f>F89/ECO!E$64*100</f>
        <v>30.186889526059268</v>
      </c>
      <c r="G163" s="1440">
        <f>G89/ECO!F$64*100</f>
        <v>35.66556453582362</v>
      </c>
      <c r="H163" s="1440">
        <f>H89/ECO!G$64*100</f>
        <v>34.58212412696848</v>
      </c>
      <c r="I163" s="1440">
        <f>I89/ECO!H$64*100</f>
        <v>32.459517686137026</v>
      </c>
      <c r="J163" s="1440">
        <f>J89/ECO!I$64*100</f>
        <v>33.362420722187231</v>
      </c>
      <c r="K163" s="1440">
        <f>K89/ECO!J$64*100</f>
        <v>33.460310781660056</v>
      </c>
      <c r="L163" s="1440">
        <f>L89/ECO!K$64*100</f>
        <v>33.616261943161128</v>
      </c>
      <c r="M163" s="1440">
        <f>M89/ECO!L$64*100</f>
        <v>33.670014076532524</v>
      </c>
      <c r="N163" s="1440">
        <f>N89/ECO!M$64*100</f>
        <v>33.67930227523626</v>
      </c>
      <c r="O163" s="1440">
        <f>O89/ECO!N$64*100</f>
        <v>33.589310224294621</v>
      </c>
      <c r="P163" s="1440">
        <f>P89/ECO!O$64*100</f>
        <v>33.419158423859059</v>
      </c>
      <c r="Q163" s="1440">
        <f>Q89/ECO!P$64*100</f>
        <v>33.288869774856131</v>
      </c>
      <c r="R163" s="1440">
        <f>R89/ECO!Q$64*100</f>
        <v>33.136169454735359</v>
      </c>
      <c r="S163" s="1010"/>
    </row>
    <row r="164" spans="1:21" s="1234" customFormat="1">
      <c r="B164" s="1408"/>
      <c r="C164" s="1433"/>
      <c r="D164" s="1433"/>
      <c r="E164" s="1433"/>
      <c r="F164" s="1433"/>
      <c r="G164" s="1433"/>
      <c r="H164" s="1433"/>
      <c r="I164" s="1433"/>
      <c r="J164" s="1433"/>
      <c r="K164" s="1433"/>
      <c r="L164" s="1433"/>
      <c r="M164" s="1433"/>
      <c r="N164" s="1433"/>
      <c r="O164" s="1433"/>
      <c r="P164" s="1433"/>
      <c r="Q164" s="1433"/>
      <c r="R164" s="1433"/>
      <c r="S164" s="1434"/>
    </row>
    <row r="165" spans="1:21" s="60" customFormat="1">
      <c r="A165" s="1343"/>
      <c r="B165" s="1411" t="s">
        <v>1067</v>
      </c>
      <c r="C165" s="1435"/>
      <c r="D165" s="1435"/>
      <c r="E165" s="1435"/>
      <c r="F165" s="1435"/>
      <c r="G165" s="1435"/>
      <c r="H165" s="1435"/>
      <c r="I165" s="1435"/>
      <c r="J165" s="1435"/>
      <c r="K165" s="1435"/>
      <c r="L165" s="1435"/>
      <c r="M165" s="1435"/>
      <c r="N165" s="1435"/>
      <c r="O165" s="1435"/>
      <c r="P165" s="1435"/>
      <c r="Q165" s="1435"/>
      <c r="R165" s="1435"/>
      <c r="S165" s="1010"/>
    </row>
    <row r="166" spans="1:21" s="60" customFormat="1">
      <c r="A166" s="1343"/>
      <c r="B166" s="1436" t="s">
        <v>62</v>
      </c>
      <c r="C166" s="1437">
        <f>C123+C144+C146</f>
        <v>30.493808619263088</v>
      </c>
      <c r="D166" s="1437">
        <f t="shared" ref="D166:R166" si="23">D123+D144+D146</f>
        <v>28.890086372804113</v>
      </c>
      <c r="E166" s="1437">
        <f t="shared" si="23"/>
        <v>31.208042725888237</v>
      </c>
      <c r="F166" s="1437">
        <f t="shared" si="23"/>
        <v>30.186889526059268</v>
      </c>
      <c r="G166" s="1437">
        <f t="shared" si="23"/>
        <v>35.66556453582362</v>
      </c>
      <c r="H166" s="1437">
        <f t="shared" si="23"/>
        <v>34.58212412696848</v>
      </c>
      <c r="I166" s="1437">
        <f t="shared" si="23"/>
        <v>31.722529805015498</v>
      </c>
      <c r="J166" s="1437">
        <f t="shared" si="23"/>
        <v>31.854398154306473</v>
      </c>
      <c r="K166" s="1437">
        <f t="shared" si="23"/>
        <v>31.692236193936623</v>
      </c>
      <c r="L166" s="1437">
        <f t="shared" si="23"/>
        <v>31.601352510008518</v>
      </c>
      <c r="M166" s="1437">
        <f t="shared" si="23"/>
        <v>31.502884990872811</v>
      </c>
      <c r="N166" s="1437">
        <f t="shared" si="23"/>
        <v>31.353728821544451</v>
      </c>
      <c r="O166" s="1437">
        <f t="shared" si="23"/>
        <v>31.275591737179926</v>
      </c>
      <c r="P166" s="1437">
        <f t="shared" si="23"/>
        <v>31.122543337365077</v>
      </c>
      <c r="Q166" s="1437">
        <f t="shared" si="23"/>
        <v>30.976900079778947</v>
      </c>
      <c r="R166" s="1437">
        <f t="shared" si="23"/>
        <v>30.833736269900601</v>
      </c>
      <c r="S166" s="1010"/>
    </row>
    <row r="167" spans="1:21" s="60" customFormat="1">
      <c r="A167" s="1343"/>
      <c r="B167" s="1438" t="s">
        <v>212</v>
      </c>
      <c r="C167" s="1437">
        <f>C93/ECO!B$64*100</f>
        <v>30.493808619263085</v>
      </c>
      <c r="D167" s="1437">
        <f>D93/ECO!C$64*100</f>
        <v>28.89008637280411</v>
      </c>
      <c r="E167" s="1437">
        <f>E93/ECO!D$64*100</f>
        <v>31.208042725888248</v>
      </c>
      <c r="F167" s="1437">
        <f>F93/ECO!E$64*100</f>
        <v>30.186889526059268</v>
      </c>
      <c r="G167" s="1437">
        <f>G93/ECO!F$64*100</f>
        <v>35.665564535823627</v>
      </c>
      <c r="H167" s="1437">
        <f>H93/ECO!G$64*100</f>
        <v>34.58212412696848</v>
      </c>
      <c r="I167" s="1437">
        <f>I93/ECO!H$64*100</f>
        <v>31.722529805015498</v>
      </c>
      <c r="J167" s="1437">
        <f>J93/ECO!I$64*100</f>
        <v>31.854398154306473</v>
      </c>
      <c r="K167" s="1437">
        <f>K93/ECO!J$64*100</f>
        <v>31.692236193936619</v>
      </c>
      <c r="L167" s="1437">
        <f>L93/ECO!K$64*100</f>
        <v>31.601352510008518</v>
      </c>
      <c r="M167" s="1437">
        <f>M93/ECO!L$64*100</f>
        <v>31.502884990872815</v>
      </c>
      <c r="N167" s="1437">
        <f>N93/ECO!M$64*100</f>
        <v>31.353728821544458</v>
      </c>
      <c r="O167" s="1437">
        <f>O93/ECO!N$64*100</f>
        <v>31.275591737179926</v>
      </c>
      <c r="P167" s="1437">
        <f>P93/ECO!O$64*100</f>
        <v>31.122543337365073</v>
      </c>
      <c r="Q167" s="1437">
        <f>Q93/ECO!P$64*100</f>
        <v>30.97690007977895</v>
      </c>
      <c r="R167" s="1439">
        <f>R93/ECO!Q$64*100</f>
        <v>30.833736269900609</v>
      </c>
      <c r="S167" s="1010"/>
    </row>
    <row r="168" spans="1:21" s="60" customFormat="1">
      <c r="B168" s="709"/>
      <c r="C168" s="1007"/>
      <c r="D168" s="1008"/>
      <c r="E168" s="1008"/>
      <c r="F168" s="1008"/>
      <c r="G168" s="1008"/>
      <c r="H168" s="1008"/>
      <c r="I168" s="1007"/>
      <c r="J168" s="1008"/>
      <c r="K168" s="1008"/>
      <c r="L168" s="1008"/>
      <c r="M168" s="1008"/>
      <c r="N168" s="1008"/>
      <c r="O168" s="1008"/>
      <c r="P168" s="1008"/>
      <c r="Q168" s="1008"/>
      <c r="R168" s="1009"/>
      <c r="S168" s="1010"/>
    </row>
    <row r="169" spans="1:21" s="60" customFormat="1">
      <c r="B169" s="709"/>
      <c r="C169" s="1007"/>
      <c r="D169" s="1008"/>
      <c r="E169" s="1008"/>
      <c r="F169" s="1008"/>
      <c r="G169" s="1008"/>
      <c r="H169" s="1008"/>
      <c r="I169" s="1007"/>
      <c r="J169" s="1008"/>
      <c r="K169" s="1008"/>
      <c r="L169" s="1008"/>
      <c r="M169" s="1008"/>
      <c r="N169" s="1008"/>
      <c r="O169" s="1008"/>
      <c r="P169" s="1008"/>
      <c r="Q169" s="1008"/>
      <c r="R169" s="1009"/>
      <c r="S169" s="1010"/>
    </row>
    <row r="170" spans="1:21" s="60" customFormat="1" ht="18.75">
      <c r="B170" s="1033" t="s">
        <v>673</v>
      </c>
      <c r="C170" s="1007"/>
      <c r="D170" s="1008"/>
      <c r="E170" s="1008"/>
      <c r="F170" s="1008"/>
      <c r="G170" s="1008"/>
      <c r="H170" s="1008"/>
      <c r="I170" s="1007"/>
      <c r="J170" s="1008"/>
      <c r="K170" s="1008"/>
      <c r="L170" s="1008"/>
      <c r="M170" s="1008"/>
      <c r="N170" s="1008"/>
      <c r="O170" s="1008"/>
      <c r="P170" s="1008"/>
      <c r="Q170" s="1008"/>
      <c r="R170" s="1009"/>
      <c r="S170" s="1010"/>
    </row>
    <row r="171" spans="1:21" s="60" customFormat="1">
      <c r="B171" s="709"/>
      <c r="C171" s="1007"/>
      <c r="D171" s="1008"/>
      <c r="E171" s="1008"/>
      <c r="F171" s="1008"/>
      <c r="G171" s="1008"/>
      <c r="H171" s="1008"/>
      <c r="I171" s="1007"/>
      <c r="J171" s="1008"/>
      <c r="K171" s="1008"/>
      <c r="L171" s="1008"/>
      <c r="M171" s="1008"/>
      <c r="N171" s="1008"/>
      <c r="O171" s="1008"/>
      <c r="P171" s="1008"/>
      <c r="Q171" s="1008"/>
      <c r="R171" s="1009"/>
      <c r="S171" s="1010"/>
    </row>
    <row r="172" spans="1:21" ht="21" customHeight="1">
      <c r="B172" s="298" t="s">
        <v>763</v>
      </c>
      <c r="C172" s="666"/>
      <c r="D172" s="667"/>
      <c r="E172" s="667"/>
      <c r="F172" s="667"/>
      <c r="G172" s="667"/>
      <c r="H172" s="668"/>
      <c r="I172" s="666"/>
      <c r="J172" s="667"/>
      <c r="K172" s="667"/>
      <c r="L172" s="667"/>
      <c r="M172" s="667"/>
      <c r="N172" s="667"/>
      <c r="O172" s="667"/>
      <c r="P172" s="667"/>
      <c r="Q172" s="667"/>
      <c r="R172" s="668"/>
      <c r="S172" s="70"/>
    </row>
    <row r="173" spans="1:21" s="248" customFormat="1">
      <c r="B173" s="662"/>
      <c r="C173" s="663">
        <v>2005</v>
      </c>
      <c r="D173" s="664">
        <v>2006</v>
      </c>
      <c r="E173" s="664">
        <v>2007</v>
      </c>
      <c r="F173" s="664">
        <v>2008</v>
      </c>
      <c r="G173" s="664">
        <v>2009</v>
      </c>
      <c r="H173" s="664">
        <v>2010</v>
      </c>
      <c r="I173" s="665">
        <v>2011</v>
      </c>
      <c r="J173" s="665">
        <v>2012</v>
      </c>
      <c r="K173" s="665">
        <v>2013</v>
      </c>
      <c r="L173" s="665">
        <v>2014</v>
      </c>
      <c r="M173" s="665">
        <v>2015</v>
      </c>
      <c r="N173" s="665">
        <v>2016</v>
      </c>
      <c r="O173" s="665">
        <v>2017</v>
      </c>
      <c r="P173" s="665">
        <v>2018</v>
      </c>
      <c r="Q173" s="665">
        <v>2019</v>
      </c>
      <c r="R173" s="665">
        <v>2020</v>
      </c>
      <c r="S173" s="662" t="s">
        <v>744</v>
      </c>
      <c r="T173" s="247"/>
      <c r="U173" s="247"/>
    </row>
    <row r="174" spans="1:21" s="239" customFormat="1" ht="12.75">
      <c r="B174" s="256" t="s">
        <v>763</v>
      </c>
      <c r="C174" s="956"/>
      <c r="D174" s="957"/>
      <c r="E174" s="957"/>
      <c r="F174" s="957"/>
      <c r="G174" s="957"/>
      <c r="H174" s="957"/>
      <c r="I174" s="957"/>
      <c r="J174" s="957"/>
      <c r="K174" s="957"/>
      <c r="L174" s="957"/>
      <c r="M174" s="957"/>
      <c r="N174" s="957"/>
      <c r="O174" s="957"/>
      <c r="P174" s="957"/>
      <c r="Q174" s="957"/>
      <c r="R174" s="957"/>
      <c r="S174" s="99" t="s">
        <v>328</v>
      </c>
      <c r="U174" s="952"/>
    </row>
    <row r="175" spans="1:21" s="961" customFormat="1" ht="15">
      <c r="B175" s="962" t="s">
        <v>320</v>
      </c>
      <c r="C175" s="1299">
        <f>C230*ECO!B$64/100</f>
        <v>228289000</v>
      </c>
      <c r="D175" s="1297">
        <f>D230*ECO!C$64/100</f>
        <v>279472000</v>
      </c>
      <c r="E175" s="1297">
        <f>E230*ECO!D$64/100</f>
        <v>327910600</v>
      </c>
      <c r="F175" s="1297">
        <f>F230*ECO!E$64/100</f>
        <v>430535000</v>
      </c>
      <c r="G175" s="1297">
        <f>G230*ECO!F$64/100</f>
        <v>442341000</v>
      </c>
      <c r="H175" s="1297">
        <f>H230*ECO!G$64/100</f>
        <v>557986681.45034456</v>
      </c>
      <c r="I175" s="1297">
        <f>I230*ECO!H$64/100</f>
        <v>669005206.87984276</v>
      </c>
      <c r="J175" s="1297">
        <f>J230*ECO!I$64/100</f>
        <v>773892538.6329248</v>
      </c>
      <c r="K175" s="1297">
        <f>K230*ECO!J$64/100</f>
        <v>889647518.68079519</v>
      </c>
      <c r="L175" s="1297">
        <f>L230*ECO!K$64/100</f>
        <v>1023344157.7558947</v>
      </c>
      <c r="M175" s="1297">
        <f>M230*ECO!L$64/100</f>
        <v>1175398833.2093287</v>
      </c>
      <c r="N175" s="1297">
        <f>N230*ECO!M$64/100</f>
        <v>1332120728.0891364</v>
      </c>
      <c r="O175" s="1297">
        <f>O230*ECO!N$64/100</f>
        <v>1500755611.4114082</v>
      </c>
      <c r="P175" s="1297">
        <f>P230*ECO!O$64/100</f>
        <v>1693975948.0717642</v>
      </c>
      <c r="Q175" s="1297">
        <f>Q230*ECO!P$64/100</f>
        <v>1911250153.1182034</v>
      </c>
      <c r="R175" s="1297">
        <f>R230*ECO!Q$64/100</f>
        <v>2156631720.0761662</v>
      </c>
      <c r="S175" s="963"/>
      <c r="U175" s="964"/>
    </row>
    <row r="176" spans="1:21" s="231" customFormat="1" ht="12.75">
      <c r="B176" s="954" t="s">
        <v>321</v>
      </c>
      <c r="C176" s="1300">
        <f>C231*ECO!B$64/100</f>
        <v>66558000</v>
      </c>
      <c r="D176" s="1298">
        <f>D231*ECO!C$64/100</f>
        <v>83346000</v>
      </c>
      <c r="E176" s="1298">
        <f>E231*ECO!D$64/100</f>
        <v>78634000</v>
      </c>
      <c r="F176" s="1298">
        <f>F231*ECO!E$64/100</f>
        <v>89603000</v>
      </c>
      <c r="G176" s="1298">
        <f>G231*ECO!F$64/100</f>
        <v>60500000</v>
      </c>
      <c r="H176" s="1298">
        <f>H231*ECO!G$64/100</f>
        <v>69119590.232974514</v>
      </c>
      <c r="I176" s="1298">
        <f>I231*ECO!H$64/100</f>
        <v>82815676.567301124</v>
      </c>
      <c r="J176" s="1298">
        <f>J231*ECO!I$64/100</f>
        <v>93309404.982358754</v>
      </c>
      <c r="K176" s="1298">
        <f>K231*ECO!J$64/100</f>
        <v>98578146.453966826</v>
      </c>
      <c r="L176" s="1298">
        <f>L231*ECO!K$64/100</f>
        <v>105601722.59006023</v>
      </c>
      <c r="M176" s="1298">
        <f>M231*ECO!L$64/100</f>
        <v>114754714.00019889</v>
      </c>
      <c r="N176" s="1298">
        <f>N231*ECO!M$64/100</f>
        <v>127091870.24950279</v>
      </c>
      <c r="O176" s="1298">
        <f>O231*ECO!N$64/100</f>
        <v>137331127.7607224</v>
      </c>
      <c r="P176" s="1298">
        <f>P231*ECO!O$64/100</f>
        <v>145458308.76349372</v>
      </c>
      <c r="Q176" s="1298">
        <f>Q231*ECO!P$64/100</f>
        <v>151651327.28108981</v>
      </c>
      <c r="R176" s="1298">
        <f>R231*ECO!Q$64/100</f>
        <v>156180726.05774868</v>
      </c>
      <c r="S176" s="232"/>
      <c r="U176" s="953"/>
    </row>
    <row r="177" spans="2:24" s="231" customFormat="1" ht="12.75">
      <c r="B177" s="942" t="s">
        <v>322</v>
      </c>
      <c r="C177" s="1300">
        <f>C232*ECO!B$64/100</f>
        <v>157942000.00000003</v>
      </c>
      <c r="D177" s="1298">
        <f>D232*ECO!C$64/100</f>
        <v>188229000</v>
      </c>
      <c r="E177" s="1298">
        <f>E232*ECO!D$64/100</f>
        <v>243264600</v>
      </c>
      <c r="F177" s="1298">
        <f>F232*ECO!E$64/100</f>
        <v>331531999.99999994</v>
      </c>
      <c r="G177" s="1298">
        <f>G232*ECO!F$64/100</f>
        <v>375321000</v>
      </c>
      <c r="H177" s="1298">
        <f>H232*ECO!G$64/100</f>
        <v>483367091.21737009</v>
      </c>
      <c r="I177" s="1298">
        <f>I232*ECO!H$64/100</f>
        <v>581189530.3125416</v>
      </c>
      <c r="J177" s="1298">
        <f>J232*ECO!I$64/100</f>
        <v>674977848.8945998</v>
      </c>
      <c r="K177" s="1298">
        <f>K232*ECO!J$64/100</f>
        <v>784890098.74856675</v>
      </c>
      <c r="L177" s="1298">
        <f>L232*ECO!K$64/100</f>
        <v>911090333.50243282</v>
      </c>
      <c r="M177" s="1298">
        <f>M232*ECO!L$64/100</f>
        <v>1053667468.7141075</v>
      </c>
      <c r="N177" s="1298">
        <f>N232*ECO!M$64/100</f>
        <v>1197900172.6138654</v>
      </c>
      <c r="O177" s="1298">
        <f>O232*ECO!N$64/100</f>
        <v>1356153297.8792675</v>
      </c>
      <c r="P177" s="1298">
        <f>P232*ECO!O$64/100</f>
        <v>1541101148.0202951</v>
      </c>
      <c r="Q177" s="1298">
        <f>Q232*ECO!P$64/100</f>
        <v>1752031702.2055969</v>
      </c>
      <c r="R177" s="1298">
        <f>R232*ECO!Q$64/100</f>
        <v>1992727586.8823824</v>
      </c>
      <c r="S177" s="232"/>
      <c r="U177" s="953"/>
    </row>
    <row r="178" spans="2:24" s="231" customFormat="1" ht="12.75">
      <c r="B178" s="959" t="s">
        <v>323</v>
      </c>
      <c r="C178" s="1300">
        <f>C233*ECO!B$64/100</f>
        <v>134282000.00000003</v>
      </c>
      <c r="D178" s="1298">
        <f>D233*ECO!C$64/100</f>
        <v>161948999.99999997</v>
      </c>
      <c r="E178" s="1298">
        <f>E233*ECO!D$64/100</f>
        <v>204955600.00000003</v>
      </c>
      <c r="F178" s="1298">
        <f>F233*ECO!E$64/100</f>
        <v>271057999.99999994</v>
      </c>
      <c r="G178" s="1298">
        <f>G233*ECO!F$64/100</f>
        <v>298281000</v>
      </c>
      <c r="H178" s="1298">
        <f>H233*ECO!G$64/100</f>
        <v>405538271.45056236</v>
      </c>
      <c r="I178" s="1298">
        <f>I233*ECO!H$64/100</f>
        <v>493740208.03384507</v>
      </c>
      <c r="J178" s="1298">
        <f>J233*ECO!I$64/100</f>
        <v>575646697.99731898</v>
      </c>
      <c r="K178" s="1298">
        <f>K233*ECO!J$64/100</f>
        <v>673650914.97477889</v>
      </c>
      <c r="L178" s="1298">
        <f>L233*ECO!K$64/100</f>
        <v>786666650.29815912</v>
      </c>
      <c r="M178" s="1298">
        <f>M233*ECO!L$64/100</f>
        <v>914589821.07411122</v>
      </c>
      <c r="N178" s="1298">
        <f>N233*ECO!M$64/100</f>
        <v>1039831399.961833</v>
      </c>
      <c r="O178" s="1298">
        <f>O233*ECO!N$64/100</f>
        <v>1180144060.0668802</v>
      </c>
      <c r="P178" s="1298">
        <f>P233*ECO!O$64/100</f>
        <v>1345130749.5406797</v>
      </c>
      <c r="Q178" s="1298">
        <f>Q233*ECO!P$64/100</f>
        <v>1533797935.0910561</v>
      </c>
      <c r="R178" s="1298">
        <f>R233*ECO!Q$64/100</f>
        <v>1749657051.2829263</v>
      </c>
      <c r="S178" s="232"/>
      <c r="U178" s="953"/>
    </row>
    <row r="179" spans="2:24" s="231" customFormat="1" ht="12.75">
      <c r="B179" s="959" t="s">
        <v>324</v>
      </c>
      <c r="C179" s="1300">
        <f>C234*ECO!B$64/100</f>
        <v>23660000</v>
      </c>
      <c r="D179" s="1298">
        <f>D234*ECO!C$64/100</f>
        <v>26280000</v>
      </c>
      <c r="E179" s="1298">
        <f>E234*ECO!D$64/100</f>
        <v>38309000</v>
      </c>
      <c r="F179" s="1298">
        <f>F234*ECO!E$64/100</f>
        <v>60474000</v>
      </c>
      <c r="G179" s="1298">
        <f>G234*ECO!F$64/100</f>
        <v>77040000</v>
      </c>
      <c r="H179" s="1298">
        <f>H234*ECO!G$64/100</f>
        <v>77828819.766807675</v>
      </c>
      <c r="I179" s="1298">
        <f>I234*ECO!H$64/100</f>
        <v>87449322.278696477</v>
      </c>
      <c r="J179" s="1298">
        <f>J234*ECO!I$64/100</f>
        <v>99331150.897280812</v>
      </c>
      <c r="K179" s="1298">
        <f>K234*ECO!J$64/100</f>
        <v>111239183.77378792</v>
      </c>
      <c r="L179" s="1298">
        <f>L234*ECO!K$64/100</f>
        <v>124423683.20427375</v>
      </c>
      <c r="M179" s="1298">
        <f>M234*ECO!L$64/100</f>
        <v>139077647.63999638</v>
      </c>
      <c r="N179" s="1298">
        <f>N234*ECO!M$64/100</f>
        <v>158068772.65203235</v>
      </c>
      <c r="O179" s="1298">
        <f>O234*ECO!N$64/100</f>
        <v>176009237.81238735</v>
      </c>
      <c r="P179" s="1298">
        <f>P234*ECO!O$64/100</f>
        <v>195970398.47961539</v>
      </c>
      <c r="Q179" s="1298">
        <f>Q234*ECO!P$64/100</f>
        <v>218233767.1145409</v>
      </c>
      <c r="R179" s="1298">
        <f>R234*ECO!Q$64/100</f>
        <v>243070535.59945622</v>
      </c>
      <c r="S179" s="232"/>
      <c r="U179" s="953"/>
    </row>
    <row r="180" spans="2:24" s="231" customFormat="1" ht="12.75">
      <c r="B180" s="942" t="s">
        <v>34</v>
      </c>
      <c r="C180" s="1300">
        <f>C235*ECO!B$64/100</f>
        <v>3789000</v>
      </c>
      <c r="D180" s="1298">
        <f>D235*ECO!C$64/100</f>
        <v>7897000</v>
      </c>
      <c r="E180" s="1298">
        <f>E235*ECO!D$64/100</f>
        <v>6011999.9999999991</v>
      </c>
      <c r="F180" s="1298">
        <f>F235*ECO!E$64/100</f>
        <v>9400000</v>
      </c>
      <c r="G180" s="1298">
        <f>G235*ECO!F$64/100</f>
        <v>6520000</v>
      </c>
      <c r="H180" s="1298">
        <f>H235*ECO!G$64/100</f>
        <v>5500000</v>
      </c>
      <c r="I180" s="1298">
        <f>I235*ECO!H$64/100</f>
        <v>5000000</v>
      </c>
      <c r="J180" s="1298">
        <f>J235*ECO!I$64/100</f>
        <v>5605284.7559661232</v>
      </c>
      <c r="K180" s="1298">
        <f>K235*ECO!J$64/100</f>
        <v>6179273.4782614065</v>
      </c>
      <c r="L180" s="1298">
        <f>L235*ECO!K$64/100</f>
        <v>6652101.6634016149</v>
      </c>
      <c r="M180" s="1298">
        <f>M235*ECO!L$64/100</f>
        <v>6976650.4950225698</v>
      </c>
      <c r="N180" s="1298">
        <f>N235*ECO!M$64/100</f>
        <v>7128685.2257680474</v>
      </c>
      <c r="O180" s="1298">
        <f>O235*ECO!N$64/100</f>
        <v>7271185.7714184737</v>
      </c>
      <c r="P180" s="1298">
        <f>P235*ECO!O$64/100</f>
        <v>7416491.2879752191</v>
      </c>
      <c r="Q180" s="1298">
        <f>Q235*ECO!P$64/100</f>
        <v>7567123.6315166559</v>
      </c>
      <c r="R180" s="1298">
        <f>R235*ECO!Q$64/100</f>
        <v>7723407.1360346666</v>
      </c>
      <c r="S180" s="232"/>
      <c r="U180" s="953"/>
    </row>
    <row r="181" spans="2:24" s="61" customFormat="1" ht="15" customHeight="1">
      <c r="B181" s="95" t="s">
        <v>327</v>
      </c>
      <c r="C181" s="955">
        <f>C180+C177+C176</f>
        <v>228289000.00000003</v>
      </c>
      <c r="D181" s="955">
        <f t="shared" ref="D181:R181" si="24">D180+D177+D176</f>
        <v>279472000</v>
      </c>
      <c r="E181" s="955">
        <f t="shared" si="24"/>
        <v>327910600</v>
      </c>
      <c r="F181" s="955">
        <f t="shared" si="24"/>
        <v>430534999.99999994</v>
      </c>
      <c r="G181" s="955">
        <f t="shared" si="24"/>
        <v>442341000</v>
      </c>
      <c r="H181" s="955">
        <f t="shared" si="24"/>
        <v>557986681.45034456</v>
      </c>
      <c r="I181" s="955">
        <f t="shared" si="24"/>
        <v>669005206.87984276</v>
      </c>
      <c r="J181" s="955">
        <f t="shared" si="24"/>
        <v>773892538.63292456</v>
      </c>
      <c r="K181" s="955">
        <f t="shared" si="24"/>
        <v>889647518.68079495</v>
      </c>
      <c r="L181" s="955">
        <f t="shared" si="24"/>
        <v>1023344157.7558947</v>
      </c>
      <c r="M181" s="955">
        <f t="shared" si="24"/>
        <v>1175398833.2093289</v>
      </c>
      <c r="N181" s="955">
        <f t="shared" si="24"/>
        <v>1332120728.0891364</v>
      </c>
      <c r="O181" s="955">
        <f t="shared" si="24"/>
        <v>1500755611.4114084</v>
      </c>
      <c r="P181" s="955">
        <f t="shared" si="24"/>
        <v>1693975948.0717642</v>
      </c>
      <c r="Q181" s="955">
        <f t="shared" si="24"/>
        <v>1911250153.1182034</v>
      </c>
      <c r="R181" s="955">
        <f t="shared" si="24"/>
        <v>2156631720.0761657</v>
      </c>
      <c r="S181" s="308">
        <f>R181/ECO!Q64</f>
        <v>0.27857958701276569</v>
      </c>
      <c r="T181" s="396"/>
      <c r="U181" s="96"/>
      <c r="V181" s="231"/>
      <c r="W181" s="231"/>
      <c r="X181" s="231"/>
    </row>
    <row r="182" spans="2:24" s="61" customFormat="1" ht="15" customHeight="1">
      <c r="B182" s="395" t="s">
        <v>647</v>
      </c>
      <c r="C182" s="1301" t="e">
        <f>#REF!</f>
        <v>#REF!</v>
      </c>
      <c r="D182" s="1301" t="e">
        <f>#REF!</f>
        <v>#REF!</v>
      </c>
      <c r="E182" s="1301" t="e">
        <f>#REF!</f>
        <v>#REF!</v>
      </c>
      <c r="F182" s="1301" t="e">
        <f>#REF!</f>
        <v>#REF!</v>
      </c>
      <c r="G182" s="1301" t="e">
        <f>#REF!</f>
        <v>#REF!</v>
      </c>
      <c r="H182" s="1301" t="e">
        <f>#REF!</f>
        <v>#REF!</v>
      </c>
      <c r="I182" s="1301" t="e">
        <f>#REF!</f>
        <v>#REF!</v>
      </c>
      <c r="J182" s="1301" t="e">
        <f>#REF!</f>
        <v>#REF!</v>
      </c>
      <c r="K182" s="1301" t="e">
        <f>#REF!</f>
        <v>#REF!</v>
      </c>
      <c r="L182" s="1301" t="e">
        <f>#REF!</f>
        <v>#REF!</v>
      </c>
      <c r="M182" s="1301" t="e">
        <f>#REF!</f>
        <v>#REF!</v>
      </c>
      <c r="N182" s="1301" t="e">
        <f>#REF!</f>
        <v>#REF!</v>
      </c>
      <c r="O182" s="1301" t="e">
        <f>#REF!</f>
        <v>#REF!</v>
      </c>
      <c r="P182" s="1301" t="e">
        <f>#REF!</f>
        <v>#REF!</v>
      </c>
      <c r="Q182" s="1301" t="e">
        <f>#REF!</f>
        <v>#REF!</v>
      </c>
      <c r="R182" s="1301" t="e">
        <f>#REF!</f>
        <v>#REF!</v>
      </c>
      <c r="S182" s="308" t="s">
        <v>658</v>
      </c>
      <c r="T182" s="396"/>
      <c r="U182" s="96"/>
      <c r="V182" s="231"/>
      <c r="W182" s="231"/>
      <c r="X182" s="231"/>
    </row>
    <row r="183" spans="2:24" s="61" customFormat="1" ht="15" customHeight="1">
      <c r="B183" s="960" t="s">
        <v>579</v>
      </c>
      <c r="C183" s="1302">
        <f t="shared" ref="C183:R183" si="25">C181</f>
        <v>228289000.00000003</v>
      </c>
      <c r="D183" s="1302">
        <f t="shared" si="25"/>
        <v>279472000</v>
      </c>
      <c r="E183" s="1302">
        <f t="shared" si="25"/>
        <v>327910600</v>
      </c>
      <c r="F183" s="1302">
        <f t="shared" si="25"/>
        <v>430534999.99999994</v>
      </c>
      <c r="G183" s="1302">
        <f t="shared" si="25"/>
        <v>442341000</v>
      </c>
      <c r="H183" s="1302">
        <f t="shared" si="25"/>
        <v>557986681.45034456</v>
      </c>
      <c r="I183" s="1302">
        <f t="shared" si="25"/>
        <v>669005206.87984276</v>
      </c>
      <c r="J183" s="1302">
        <f t="shared" si="25"/>
        <v>773892538.63292456</v>
      </c>
      <c r="K183" s="1302">
        <f t="shared" si="25"/>
        <v>889647518.68079495</v>
      </c>
      <c r="L183" s="1302">
        <f t="shared" si="25"/>
        <v>1023344157.7558947</v>
      </c>
      <c r="M183" s="1302">
        <f t="shared" si="25"/>
        <v>1175398833.2093289</v>
      </c>
      <c r="N183" s="1302">
        <f t="shared" si="25"/>
        <v>1332120728.0891364</v>
      </c>
      <c r="O183" s="1302">
        <f t="shared" si="25"/>
        <v>1500755611.4114084</v>
      </c>
      <c r="P183" s="1302">
        <f t="shared" si="25"/>
        <v>1693975948.0717642</v>
      </c>
      <c r="Q183" s="1302">
        <f t="shared" si="25"/>
        <v>1911250153.1182034</v>
      </c>
      <c r="R183" s="1302">
        <f t="shared" si="25"/>
        <v>2156631720.0761657</v>
      </c>
      <c r="S183" s="308"/>
      <c r="T183" s="270"/>
      <c r="U183" s="96"/>
      <c r="V183" s="61">
        <f>POWER(M183/H183,1/5)</f>
        <v>1.1606794211600566</v>
      </c>
      <c r="W183" s="61">
        <f>POWER(M183/D183,1/9)</f>
        <v>1.1730494711158084</v>
      </c>
      <c r="X183" s="231"/>
    </row>
    <row r="184" spans="2:24" s="61" customFormat="1" ht="15" customHeight="1" thickBot="1">
      <c r="B184" s="307" t="s">
        <v>208</v>
      </c>
      <c r="C184" s="1303">
        <f>C183/ECO!B$64*100</f>
        <v>27.202804216129017</v>
      </c>
      <c r="D184" s="1303">
        <f>D183/ECO!C$64*100</f>
        <v>28.685419264779089</v>
      </c>
      <c r="E184" s="1303">
        <f>E183/ECO!D$64*100</f>
        <v>28.670647506433184</v>
      </c>
      <c r="F184" s="1303">
        <f>F183/ECO!E$64*100</f>
        <v>28.991514021863406</v>
      </c>
      <c r="G184" s="1303">
        <f>G183/ECO!F$64*100</f>
        <v>26.672933792976195</v>
      </c>
      <c r="H184" s="1303">
        <f>H183/ECO!G$64*100</f>
        <v>28.168148345810973</v>
      </c>
      <c r="I184" s="1303">
        <f>I183/ECO!H$64*100</f>
        <v>27.785370193542818</v>
      </c>
      <c r="J184" s="1303">
        <f>J183/ECO!I$64*100</f>
        <v>28.097375064699335</v>
      </c>
      <c r="K184" s="1303">
        <f>K183/ECO!J$64*100</f>
        <v>28.127721801650978</v>
      </c>
      <c r="L184" s="1303">
        <f>L183/ECO!K$64*100</f>
        <v>28.251706955473736</v>
      </c>
      <c r="M184" s="1303">
        <f>M183/ECO!L$64*100</f>
        <v>28.464789194191749</v>
      </c>
      <c r="N184" s="1303">
        <f>N183/ECO!M$64*100</f>
        <v>28.414913649480795</v>
      </c>
      <c r="O184" s="1303">
        <f>O183/ECO!N$64*100</f>
        <v>28.246161487449001</v>
      </c>
      <c r="P184" s="1303">
        <f>P183/ECO!O$64*100</f>
        <v>28.132346678303104</v>
      </c>
      <c r="Q184" s="1303">
        <f>Q183/ECO!P$64*100</f>
        <v>27.997962335889031</v>
      </c>
      <c r="R184" s="1303">
        <f>R183/ECO!Q$64*100</f>
        <v>27.857958701276569</v>
      </c>
      <c r="S184" s="715"/>
      <c r="T184" s="271"/>
      <c r="U184" s="231"/>
      <c r="V184" s="61">
        <f>POWER(M185/H185,1/5)</f>
        <v>0.9814301162481508</v>
      </c>
      <c r="W184" s="61">
        <f>POWER(M185/D185,1/9)</f>
        <v>0.99294080439375598</v>
      </c>
    </row>
    <row r="185" spans="2:24" s="336" customFormat="1" ht="15" customHeight="1">
      <c r="B185" s="364" t="s">
        <v>595</v>
      </c>
      <c r="C185" s="966"/>
      <c r="D185" s="967">
        <f>D183/C183</f>
        <v>1.2242026554060861</v>
      </c>
      <c r="E185" s="967">
        <f t="shared" ref="E185:R185" si="26">E183/D183</f>
        <v>1.1733218354611554</v>
      </c>
      <c r="F185" s="967">
        <f t="shared" si="26"/>
        <v>1.3129645702212736</v>
      </c>
      <c r="G185" s="967">
        <f t="shared" si="26"/>
        <v>1.027421696261628</v>
      </c>
      <c r="H185" s="967">
        <f t="shared" si="26"/>
        <v>1.2614401139626319</v>
      </c>
      <c r="I185" s="967">
        <f t="shared" si="26"/>
        <v>1.1989626797918076</v>
      </c>
      <c r="J185" s="967">
        <f t="shared" si="26"/>
        <v>1.1567810394813864</v>
      </c>
      <c r="K185" s="967">
        <f t="shared" si="26"/>
        <v>1.1495750046283566</v>
      </c>
      <c r="L185" s="967">
        <f t="shared" si="26"/>
        <v>1.1502804608204276</v>
      </c>
      <c r="M185" s="967">
        <f t="shared" si="26"/>
        <v>1.1485860590506296</v>
      </c>
      <c r="N185" s="967">
        <f t="shared" si="26"/>
        <v>1.1333350778066467</v>
      </c>
      <c r="O185" s="967">
        <f t="shared" si="26"/>
        <v>1.1265912914396061</v>
      </c>
      <c r="P185" s="967">
        <f t="shared" si="26"/>
        <v>1.1287487017813904</v>
      </c>
      <c r="Q185" s="967">
        <f t="shared" si="26"/>
        <v>1.1282628630552638</v>
      </c>
      <c r="R185" s="967">
        <f t="shared" si="26"/>
        <v>1.1283879907387437</v>
      </c>
      <c r="S185" s="399"/>
    </row>
    <row r="186" spans="2:24" s="336" customFormat="1" ht="15" customHeight="1">
      <c r="B186" s="364" t="s">
        <v>598</v>
      </c>
      <c r="C186" s="966"/>
      <c r="D186" s="967">
        <f>D213/C213</f>
        <v>1.0998740638608924</v>
      </c>
      <c r="E186" s="967">
        <f t="shared" ref="E186:R186" si="27">E213/D213</f>
        <v>1.268114724076798</v>
      </c>
      <c r="F186" s="967">
        <f t="shared" si="27"/>
        <v>1.2559473841081397</v>
      </c>
      <c r="G186" s="967">
        <f t="shared" si="27"/>
        <v>1.3194094155903584</v>
      </c>
      <c r="H186" s="967">
        <f t="shared" si="27"/>
        <v>1.1581950055949819</v>
      </c>
      <c r="I186" s="967">
        <f t="shared" si="27"/>
        <v>1.1149719087205126</v>
      </c>
      <c r="J186" s="967">
        <f t="shared" si="27"/>
        <v>1.1486909254503279</v>
      </c>
      <c r="K186" s="967">
        <f t="shared" si="27"/>
        <v>1.1424888832496225</v>
      </c>
      <c r="L186" s="967">
        <f t="shared" si="27"/>
        <v>1.1419481739978568</v>
      </c>
      <c r="M186" s="967">
        <f t="shared" si="27"/>
        <v>1.1364358328965811</v>
      </c>
      <c r="N186" s="967">
        <f t="shared" si="27"/>
        <v>1.1299489740241557</v>
      </c>
      <c r="O186" s="967">
        <f t="shared" si="27"/>
        <v>1.1304975623479889</v>
      </c>
      <c r="P186" s="967">
        <f t="shared" si="27"/>
        <v>1.1277693462589882</v>
      </c>
      <c r="Q186" s="967">
        <f t="shared" si="27"/>
        <v>1.1283730467824435</v>
      </c>
      <c r="R186" s="967">
        <f t="shared" si="27"/>
        <v>1.1288176430487202</v>
      </c>
      <c r="S186" s="399"/>
    </row>
    <row r="187" spans="2:24" s="336" customFormat="1" ht="15" customHeight="1">
      <c r="B187" s="364" t="s">
        <v>596</v>
      </c>
      <c r="C187" s="966"/>
      <c r="D187" s="967">
        <f>ECO!C64/ECO!B64</f>
        <v>1.1609293504998899</v>
      </c>
      <c r="E187" s="967">
        <f>ECO!D64/ECO!C64</f>
        <v>1.173926357092957</v>
      </c>
      <c r="F187" s="967">
        <f>ECO!E64/ECO!D64</f>
        <v>1.2984332019659786</v>
      </c>
      <c r="G187" s="967">
        <f>ECO!F64/ECO!E64</f>
        <v>1.1167316930610529</v>
      </c>
      <c r="H187" s="967">
        <f>ECO!G64/ECO!F64</f>
        <v>1.19448066768412</v>
      </c>
      <c r="I187" s="967">
        <f>ECO!H64/ECO!G64</f>
        <v>1.2154798870851562</v>
      </c>
      <c r="J187" s="967">
        <f>ECO!I64/ECO!H64</f>
        <v>1.143935664482882</v>
      </c>
      <c r="K187" s="967">
        <f>ECO!J64/ECO!I64</f>
        <v>1.1483347388678502</v>
      </c>
      <c r="L187" s="967">
        <f>ECO!K64/ECO!J64</f>
        <v>1.1452323516885117</v>
      </c>
      <c r="M187" s="967">
        <f>ECO!L64/ECO!K64</f>
        <v>1.1399879525565635</v>
      </c>
      <c r="N187" s="967">
        <f>ECO!M64/ECO!L64</f>
        <v>1.135324374872368</v>
      </c>
      <c r="O187" s="967">
        <f>ECO!N64/ECO!M64</f>
        <v>1.1333219304413373</v>
      </c>
      <c r="P187" s="967">
        <f>ECO!O64/ECO!N64</f>
        <v>1.133315271344036</v>
      </c>
      <c r="Q187" s="967">
        <f>ECO!P64/ECO!O64</f>
        <v>1.1336782879745102</v>
      </c>
      <c r="R187" s="967">
        <f>ECO!Q64/ECO!P64</f>
        <v>1.1340588448616353</v>
      </c>
      <c r="S187" s="399"/>
    </row>
    <row r="188" spans="2:24" s="336" customFormat="1" ht="15" customHeight="1">
      <c r="B188" s="364" t="s">
        <v>638</v>
      </c>
      <c r="C188" s="966"/>
      <c r="D188" s="967">
        <f>D185/D187</f>
        <v>1.0545022872226901</v>
      </c>
      <c r="E188" s="967">
        <f t="shared" ref="E188:R188" si="28">E185/E187</f>
        <v>0.9994850429687101</v>
      </c>
      <c r="F188" s="967">
        <f t="shared" si="28"/>
        <v>1.0111914638606689</v>
      </c>
      <c r="G188" s="967">
        <f t="shared" si="28"/>
        <v>0.92002555550777032</v>
      </c>
      <c r="H188" s="967">
        <f t="shared" si="28"/>
        <v>1.0560573712828136</v>
      </c>
      <c r="I188" s="967">
        <f t="shared" si="28"/>
        <v>0.98641095795261691</v>
      </c>
      <c r="J188" s="967">
        <f t="shared" si="28"/>
        <v>1.0112291061441041</v>
      </c>
      <c r="K188" s="967">
        <f t="shared" si="28"/>
        <v>1.0010800559440789</v>
      </c>
      <c r="L188" s="967">
        <f t="shared" si="28"/>
        <v>1.0044079344462047</v>
      </c>
      <c r="M188" s="967">
        <f t="shared" si="28"/>
        <v>1.0075422783852968</v>
      </c>
      <c r="N188" s="967">
        <f t="shared" si="28"/>
        <v>0.99824781612220292</v>
      </c>
      <c r="O188" s="967">
        <f t="shared" si="28"/>
        <v>0.99406114112773747</v>
      </c>
      <c r="P188" s="967">
        <f t="shared" si="28"/>
        <v>0.99597060969872053</v>
      </c>
      <c r="Q188" s="967">
        <f t="shared" si="28"/>
        <v>0.99522313783664151</v>
      </c>
      <c r="R188" s="967">
        <f t="shared" si="28"/>
        <v>0.99499950628789158</v>
      </c>
      <c r="S188" s="399"/>
    </row>
    <row r="189" spans="2:24" s="336" customFormat="1" ht="15" customHeight="1">
      <c r="B189" s="364" t="s">
        <v>639</v>
      </c>
      <c r="C189" s="966"/>
      <c r="D189" s="967">
        <f>D186/D187</f>
        <v>0.94740826682286272</v>
      </c>
      <c r="E189" s="967">
        <f t="shared" ref="E189:M189" si="29">E186/E187</f>
        <v>1.0802336248903071</v>
      </c>
      <c r="F189" s="967">
        <f t="shared" si="29"/>
        <v>0.9672791655408145</v>
      </c>
      <c r="G189" s="967">
        <f t="shared" si="29"/>
        <v>1.1814918693439687</v>
      </c>
      <c r="H189" s="967">
        <f t="shared" si="29"/>
        <v>0.96962222740742265</v>
      </c>
      <c r="I189" s="967">
        <f t="shared" si="29"/>
        <v>0.91731004401424365</v>
      </c>
      <c r="J189" s="967">
        <f t="shared" si="29"/>
        <v>1.0041569304245757</v>
      </c>
      <c r="K189" s="967">
        <f t="shared" si="29"/>
        <v>0.99490927564902276</v>
      </c>
      <c r="L189" s="967">
        <f t="shared" si="29"/>
        <v>0.99713230447444767</v>
      </c>
      <c r="M189" s="967">
        <f t="shared" si="29"/>
        <v>0.99688407263250778</v>
      </c>
      <c r="N189" s="967">
        <f>M189</f>
        <v>0.99688407263250778</v>
      </c>
      <c r="O189" s="967">
        <f>N189</f>
        <v>0.99688407263250778</v>
      </c>
      <c r="P189" s="967">
        <f>O189</f>
        <v>0.99688407263250778</v>
      </c>
      <c r="Q189" s="967">
        <f>P189</f>
        <v>0.99688407263250778</v>
      </c>
      <c r="R189" s="967">
        <f>Q189</f>
        <v>0.99688407263250778</v>
      </c>
      <c r="S189" s="399"/>
    </row>
    <row r="190" spans="2:24" s="336" customFormat="1" ht="15" customHeight="1">
      <c r="B190" s="364" t="s">
        <v>597</v>
      </c>
      <c r="C190" s="966"/>
      <c r="D190" s="967">
        <f>ECO!C58/ECO!B58</f>
        <v>1.08228999839426</v>
      </c>
      <c r="E190" s="967">
        <f>ECO!D58/ECO!C58</f>
        <v>1.084560064300045</v>
      </c>
      <c r="F190" s="967">
        <f>ECO!E58/ECO!D58</f>
        <v>1.0631117163428285</v>
      </c>
      <c r="G190" s="967">
        <f>ECO!F58/ECO!E58</f>
        <v>1.0532292180710212</v>
      </c>
      <c r="H190" s="967">
        <f>ECO!G58/ECO!F58</f>
        <v>1.067838897560424</v>
      </c>
      <c r="I190" s="967">
        <f>ECO!H58/ECO!G58</f>
        <v>1.0625871301131673</v>
      </c>
      <c r="J190" s="967">
        <f>ECO!I58/ECO!H58</f>
        <v>1.0675153613174722</v>
      </c>
      <c r="K190" s="967">
        <f>ECO!J58/ECO!I58</f>
        <v>1.0722509306509207</v>
      </c>
      <c r="L190" s="967">
        <f>ECO!K58/ECO!J58</f>
        <v>1.0743451848840726</v>
      </c>
      <c r="M190" s="967">
        <f>ECO!L58/ECO!K58</f>
        <v>1.0749491838216165</v>
      </c>
      <c r="N190" s="967">
        <f>ECO!M58/ECO!L58</f>
        <v>1.0749491838216161</v>
      </c>
      <c r="O190" s="967">
        <f>ECO!N58/ECO!M58</f>
        <v>1.0749491838216159</v>
      </c>
      <c r="P190" s="967">
        <f>ECO!O58/ECO!N58</f>
        <v>1.0749491838216152</v>
      </c>
      <c r="Q190" s="967">
        <f>ECO!P58/ECO!O58</f>
        <v>1.0749491838216207</v>
      </c>
      <c r="R190" s="967">
        <f>ECO!Q58/ECO!P58</f>
        <v>1.074949183821607</v>
      </c>
      <c r="S190" s="399"/>
    </row>
    <row r="191" spans="2:24" s="231" customFormat="1" ht="15" customHeight="1">
      <c r="B191" s="364" t="s">
        <v>657</v>
      </c>
      <c r="C191" s="968" t="e">
        <f>C182/ECO!B$64*100</f>
        <v>#REF!</v>
      </c>
      <c r="D191" s="968" t="e">
        <f>D182/ECO!C$64*100</f>
        <v>#REF!</v>
      </c>
      <c r="E191" s="968" t="e">
        <f>E182/ECO!D$64*100</f>
        <v>#REF!</v>
      </c>
      <c r="F191" s="968" t="e">
        <f>F182/ECO!E$64*100</f>
        <v>#REF!</v>
      </c>
      <c r="G191" s="968" t="e">
        <f>G182/ECO!F$64*100</f>
        <v>#REF!</v>
      </c>
      <c r="H191" s="968" t="e">
        <f>H182/ECO!G$64*100</f>
        <v>#REF!</v>
      </c>
      <c r="I191" s="968" t="e">
        <f>I182/ECO!H$64*100</f>
        <v>#REF!</v>
      </c>
      <c r="J191" s="968" t="e">
        <f>J182/ECO!I$64*100</f>
        <v>#REF!</v>
      </c>
      <c r="K191" s="968" t="e">
        <f>K182/ECO!J$64*100</f>
        <v>#REF!</v>
      </c>
      <c r="L191" s="968" t="e">
        <f>L182/ECO!K$64*100</f>
        <v>#REF!</v>
      </c>
      <c r="M191" s="968" t="e">
        <f>M182/ECO!L$64*100</f>
        <v>#REF!</v>
      </c>
      <c r="N191" s="968" t="e">
        <f>N182/ECO!M$64*100</f>
        <v>#REF!</v>
      </c>
      <c r="O191" s="968" t="e">
        <f>O182/ECO!N$64*100</f>
        <v>#REF!</v>
      </c>
      <c r="P191" s="968" t="e">
        <f>P182/ECO!O$64*100</f>
        <v>#REF!</v>
      </c>
      <c r="Q191" s="968" t="e">
        <f>Q182/ECO!P$64*100</f>
        <v>#REF!</v>
      </c>
      <c r="R191" s="968" t="e">
        <f>R182/ECO!Q$64*100</f>
        <v>#REF!</v>
      </c>
      <c r="S191" s="232"/>
    </row>
    <row r="192" spans="2:24" s="231" customFormat="1" ht="15" customHeight="1">
      <c r="B192" s="364"/>
      <c r="C192" s="966"/>
      <c r="D192" s="967" t="e">
        <f t="shared" ref="D192:M192" si="30">D187*D191</f>
        <v>#REF!</v>
      </c>
      <c r="E192" s="967" t="e">
        <f t="shared" si="30"/>
        <v>#REF!</v>
      </c>
      <c r="F192" s="967" t="e">
        <f t="shared" si="30"/>
        <v>#REF!</v>
      </c>
      <c r="G192" s="967" t="e">
        <f t="shared" si="30"/>
        <v>#REF!</v>
      </c>
      <c r="H192" s="967" t="e">
        <f t="shared" si="30"/>
        <v>#REF!</v>
      </c>
      <c r="I192" s="967" t="e">
        <f t="shared" si="30"/>
        <v>#REF!</v>
      </c>
      <c r="J192" s="967" t="e">
        <f t="shared" si="30"/>
        <v>#REF!</v>
      </c>
      <c r="K192" s="967" t="e">
        <f t="shared" si="30"/>
        <v>#REF!</v>
      </c>
      <c r="L192" s="967" t="e">
        <f t="shared" si="30"/>
        <v>#REF!</v>
      </c>
      <c r="M192" s="967" t="e">
        <f t="shared" si="30"/>
        <v>#REF!</v>
      </c>
      <c r="N192" s="967">
        <f>N207/M221</f>
        <v>1.9854141653485164E-2</v>
      </c>
      <c r="O192" s="967"/>
      <c r="P192" s="967"/>
      <c r="Q192" s="967"/>
      <c r="R192" s="967"/>
      <c r="S192" s="232"/>
    </row>
    <row r="193" spans="2:21" ht="15" customHeight="1">
      <c r="B193" s="1000" t="s">
        <v>44</v>
      </c>
      <c r="C193" s="1004"/>
      <c r="D193" s="1004">
        <f t="shared" ref="D193:R193" si="31">((-D217-((D217)^2+4*C263*D263)^0.5)/(2*C263))^2-1</f>
        <v>0.19766962865321469</v>
      </c>
      <c r="E193" s="1004">
        <f t="shared" si="31"/>
        <v>0.20656072517660728</v>
      </c>
      <c r="F193" s="1004">
        <f t="shared" si="31"/>
        <v>0.24707518044444421</v>
      </c>
      <c r="G193" s="1004">
        <f t="shared" si="31"/>
        <v>0.12347701538480749</v>
      </c>
      <c r="H193" s="1004">
        <f t="shared" si="31"/>
        <v>0.10773036976982397</v>
      </c>
      <c r="I193" s="1004">
        <f t="shared" si="31"/>
        <v>0.12499220506497322</v>
      </c>
      <c r="J193" s="1004">
        <f t="shared" si="31"/>
        <v>8.5205438024781088E-2</v>
      </c>
      <c r="K193" s="1004">
        <f t="shared" si="31"/>
        <v>8.2188450645799715E-2</v>
      </c>
      <c r="L193" s="1004">
        <f t="shared" si="31"/>
        <v>7.8149380446612904E-2</v>
      </c>
      <c r="M193" s="1004">
        <f t="shared" si="31"/>
        <v>7.4378811015981094E-2</v>
      </c>
      <c r="N193" s="1004">
        <f t="shared" si="31"/>
        <v>6.9712393287663543E-2</v>
      </c>
      <c r="O193" s="1004">
        <f t="shared" si="31"/>
        <v>6.7480772449221238E-2</v>
      </c>
      <c r="P193" s="1004">
        <f t="shared" si="31"/>
        <v>6.7704468530887629E-2</v>
      </c>
      <c r="Q193" s="1004">
        <f t="shared" si="31"/>
        <v>6.8398275763616123E-2</v>
      </c>
      <c r="R193" s="1004">
        <f t="shared" si="31"/>
        <v>7.2685469118821899E-2</v>
      </c>
    </row>
    <row r="194" spans="2:21" ht="15" customHeight="1">
      <c r="B194" s="644"/>
      <c r="C194" s="1517" t="s">
        <v>730</v>
      </c>
      <c r="D194" s="1518"/>
      <c r="E194" s="1518"/>
      <c r="F194" s="1518"/>
      <c r="G194" s="1518"/>
      <c r="H194" s="1518"/>
      <c r="I194" s="1517" t="s">
        <v>734</v>
      </c>
      <c r="J194" s="1518"/>
      <c r="K194" s="1518"/>
      <c r="L194" s="1518"/>
      <c r="M194" s="1518"/>
      <c r="N194" s="1518"/>
      <c r="O194" s="1518"/>
      <c r="P194" s="1518"/>
      <c r="Q194" s="1518"/>
      <c r="R194" s="1519"/>
      <c r="S194" s="1520" t="s">
        <v>744</v>
      </c>
      <c r="T194" s="645"/>
    </row>
    <row r="195" spans="2:21" ht="15" customHeight="1">
      <c r="B195" s="973" t="s">
        <v>764</v>
      </c>
      <c r="C195" s="974">
        <v>2005</v>
      </c>
      <c r="D195" s="975">
        <v>2006</v>
      </c>
      <c r="E195" s="975">
        <v>2007</v>
      </c>
      <c r="F195" s="975">
        <v>2008</v>
      </c>
      <c r="G195" s="975">
        <v>2009</v>
      </c>
      <c r="H195" s="975">
        <v>2010</v>
      </c>
      <c r="I195" s="974">
        <v>2011</v>
      </c>
      <c r="J195" s="975">
        <v>2012</v>
      </c>
      <c r="K195" s="975">
        <v>2013</v>
      </c>
      <c r="L195" s="975">
        <v>2014</v>
      </c>
      <c r="M195" s="975">
        <v>2015</v>
      </c>
      <c r="N195" s="975">
        <v>2016</v>
      </c>
      <c r="O195" s="975">
        <v>2017</v>
      </c>
      <c r="P195" s="975">
        <v>2018</v>
      </c>
      <c r="Q195" s="975">
        <v>2019</v>
      </c>
      <c r="R195" s="976">
        <v>2020</v>
      </c>
      <c r="S195" s="1521"/>
      <c r="T195" s="649"/>
    </row>
    <row r="196" spans="2:21" s="61" customFormat="1" ht="15" customHeight="1">
      <c r="B196" s="977"/>
      <c r="C196" s="1005"/>
      <c r="D196" s="1005">
        <f t="shared" ref="D196:R196" si="32">((D263-0.5*D217)/(C263+0.5*D217))-1</f>
        <v>0.19774718665079627</v>
      </c>
      <c r="E196" s="1005">
        <f t="shared" si="32"/>
        <v>0.20637013965004591</v>
      </c>
      <c r="F196" s="1005">
        <f t="shared" si="32"/>
        <v>0.24706154294933547</v>
      </c>
      <c r="G196" s="1005">
        <f t="shared" si="32"/>
        <v>0.12315540055463092</v>
      </c>
      <c r="H196" s="1005">
        <f t="shared" si="32"/>
        <v>0.10757462859043021</v>
      </c>
      <c r="I196" s="1005">
        <f t="shared" si="32"/>
        <v>0.12489130637009471</v>
      </c>
      <c r="J196" s="1005">
        <f t="shared" si="32"/>
        <v>8.5166385664544819E-2</v>
      </c>
      <c r="K196" s="1005">
        <f t="shared" si="32"/>
        <v>8.2153052065433885E-2</v>
      </c>
      <c r="L196" s="1005">
        <f t="shared" si="32"/>
        <v>7.8119695272953482E-2</v>
      </c>
      <c r="M196" s="1005">
        <f t="shared" si="32"/>
        <v>7.4354859644916615E-2</v>
      </c>
      <c r="N196" s="1005">
        <f t="shared" si="32"/>
        <v>6.9691509870999369E-2</v>
      </c>
      <c r="O196" s="1005">
        <f t="shared" si="32"/>
        <v>6.7459793124598599E-2</v>
      </c>
      <c r="P196" s="1005">
        <f t="shared" si="32"/>
        <v>6.7683882109902838E-2</v>
      </c>
      <c r="Q196" s="1005">
        <f t="shared" si="32"/>
        <v>6.8377491157448622E-2</v>
      </c>
      <c r="R196" s="1005">
        <f t="shared" si="32"/>
        <v>7.2661972827730015E-2</v>
      </c>
      <c r="S196" s="74"/>
      <c r="U196" s="96"/>
    </row>
    <row r="197" spans="2:21" s="61" customFormat="1" ht="37.5" customHeight="1">
      <c r="B197" s="979"/>
      <c r="C197" s="978"/>
      <c r="D197" s="978"/>
      <c r="E197" s="978"/>
      <c r="F197" s="978"/>
      <c r="G197" s="978"/>
      <c r="H197" s="978"/>
      <c r="I197" s="978"/>
      <c r="J197" s="978"/>
      <c r="K197" s="978"/>
      <c r="L197" s="978"/>
      <c r="M197" s="978" t="s">
        <v>49</v>
      </c>
      <c r="N197" s="1005">
        <f>((-M217+(M217^2-4*(-M217-M223-M225)*M223)^0.5)/(2*M223))^2-1</f>
        <v>3.5772544267451023E-2</v>
      </c>
      <c r="O197" s="1005">
        <f>((-N217+(N217^2-4*(-N217-N223-N225)*N223)^0.5)/(2*N223))^2-1</f>
        <v>3.5764055706236197E-2</v>
      </c>
      <c r="P197" s="1005">
        <f>((-O217+(O217^2-4*(-O217-O223-O225)*O223)^0.5)/(2*O223))^2-1</f>
        <v>3.9482554626133703E-2</v>
      </c>
      <c r="Q197" s="1005">
        <f>((-P217+(P217^2-4*(-P217-P223-P225)*P223)^0.5)/(2*P223))^2-1</f>
        <v>3.6082950567854377E-2</v>
      </c>
      <c r="R197" s="1005">
        <f>((-Q217+(Q217^2-4*(-Q217-Q223-Q225)*Q223)^0.5)/(2*Q223))^2-1</f>
        <v>3.3566258486275702E-2</v>
      </c>
      <c r="S197" s="74"/>
      <c r="U197" s="96"/>
    </row>
    <row r="198" spans="2:21" s="94" customFormat="1" ht="15" customHeight="1">
      <c r="B198" s="950" t="s">
        <v>317</v>
      </c>
      <c r="C198" s="1283">
        <f t="shared" ref="C198:R198" si="33">C199+C203</f>
        <v>229092000</v>
      </c>
      <c r="D198" s="1283">
        <f t="shared" si="33"/>
        <v>268410000</v>
      </c>
      <c r="E198" s="1283">
        <f t="shared" si="33"/>
        <v>336120178.92699999</v>
      </c>
      <c r="F198" s="1283">
        <f t="shared" si="33"/>
        <v>411832000</v>
      </c>
      <c r="G198" s="1283">
        <f t="shared" si="33"/>
        <v>527342000</v>
      </c>
      <c r="H198" s="1283">
        <f t="shared" si="33"/>
        <v>595210000</v>
      </c>
      <c r="I198" s="1283">
        <f t="shared" si="33"/>
        <v>697162586.29371738</v>
      </c>
      <c r="J198" s="1283">
        <f t="shared" si="33"/>
        <v>803180635.53258502</v>
      </c>
      <c r="K198" s="1283">
        <f t="shared" si="33"/>
        <v>918895184.58336473</v>
      </c>
      <c r="L198" s="1283">
        <f t="shared" si="33"/>
        <v>1050968866.228873</v>
      </c>
      <c r="M198" s="1283">
        <f t="shared" si="33"/>
        <v>1194744771.6013904</v>
      </c>
      <c r="N198" s="1283">
        <f t="shared" si="33"/>
        <v>1350634916.2582059</v>
      </c>
      <c r="O198" s="1283">
        <f t="shared" si="33"/>
        <v>1527904250.5232294</v>
      </c>
      <c r="P198" s="1283">
        <f t="shared" si="33"/>
        <v>1725414438.1136374</v>
      </c>
      <c r="Q198" s="1283">
        <f t="shared" si="33"/>
        <v>1949492336.3591027</v>
      </c>
      <c r="R198" s="1283">
        <f t="shared" si="33"/>
        <v>2202564656.6452284</v>
      </c>
      <c r="S198" s="93"/>
      <c r="U198" s="121"/>
    </row>
    <row r="199" spans="2:21" s="61" customFormat="1" ht="15" customHeight="1">
      <c r="B199" s="980" t="s">
        <v>209</v>
      </c>
      <c r="C199" s="1284">
        <f>'IMF Data'!C39*1000</f>
        <v>149893000</v>
      </c>
      <c r="D199" s="1284">
        <f>'IMF Data'!D39*1000</f>
        <v>180069000</v>
      </c>
      <c r="E199" s="1284">
        <f>'IMF Data'!E39*1000</f>
        <v>231818678.92699999</v>
      </c>
      <c r="F199" s="1284">
        <f>'IMF Data'!F39*1000</f>
        <v>292370000</v>
      </c>
      <c r="G199" s="1284">
        <f>'IMF Data'!G39*1000</f>
        <v>347081000</v>
      </c>
      <c r="H199" s="1284">
        <f>'IMF Data'!H39*1000</f>
        <v>417059999.99999994</v>
      </c>
      <c r="I199" s="1284">
        <f>'IMF Data'!I39*1000</f>
        <v>525515590.32497692</v>
      </c>
      <c r="J199" s="1284">
        <f>'IMF Data'!J39*1000</f>
        <v>606827515.14259338</v>
      </c>
      <c r="K199" s="1284">
        <f>'IMF Data'!K39*1000</f>
        <v>693416075.35443616</v>
      </c>
      <c r="L199" s="1284">
        <f>'IMF Data'!L39*1000</f>
        <v>792742895.70999634</v>
      </c>
      <c r="M199" s="1284">
        <f>'IMF Data'!M39*1000</f>
        <v>900370276.17264462</v>
      </c>
      <c r="N199" s="1284">
        <f>'IMF Data'!N39*1000</f>
        <v>1019766481.6572067</v>
      </c>
      <c r="O199" s="1284">
        <f>'IMF Data'!O39*1000</f>
        <v>1156673602.0293624</v>
      </c>
      <c r="P199" s="1284">
        <f>'IMF Data'!P39*1000</f>
        <v>1313107502.2471693</v>
      </c>
      <c r="Q199" s="1284">
        <f>'IMF Data'!Q39*1000</f>
        <v>1491417383.6094513</v>
      </c>
      <c r="R199" s="1284">
        <f>'IMF Data'!R39*1000</f>
        <v>1693470383.9054167</v>
      </c>
      <c r="S199" s="74"/>
      <c r="U199" s="121"/>
    </row>
    <row r="200" spans="2:21" s="61" customFormat="1" ht="15" customHeight="1">
      <c r="B200" s="1001" t="s">
        <v>46</v>
      </c>
      <c r="C200" s="1284">
        <f>C199-C201</f>
        <v>143272000</v>
      </c>
      <c r="D200" s="1284">
        <f t="shared" ref="D200:R200" si="34">D199-D201</f>
        <v>172104000</v>
      </c>
      <c r="E200" s="1284">
        <f t="shared" si="34"/>
        <v>219158678.92699999</v>
      </c>
      <c r="F200" s="1284">
        <f t="shared" si="34"/>
        <v>275640000</v>
      </c>
      <c r="G200" s="1284">
        <f t="shared" si="34"/>
        <v>323201000</v>
      </c>
      <c r="H200" s="1284">
        <f t="shared" si="34"/>
        <v>391679999.99999994</v>
      </c>
      <c r="I200" s="1284">
        <f t="shared" si="34"/>
        <v>489755590.32497692</v>
      </c>
      <c r="J200" s="1284">
        <f t="shared" si="34"/>
        <v>560248886.65260875</v>
      </c>
      <c r="K200" s="1284">
        <f t="shared" si="34"/>
        <v>643353258.95522738</v>
      </c>
      <c r="L200" s="1284">
        <f t="shared" si="34"/>
        <v>736788965.7197628</v>
      </c>
      <c r="M200" s="1284">
        <f t="shared" si="34"/>
        <v>839930544.49714053</v>
      </c>
      <c r="N200" s="1284">
        <f t="shared" si="34"/>
        <v>953593620.36742365</v>
      </c>
      <c r="O200" s="1284">
        <f t="shared" si="34"/>
        <v>1080728562.6913521</v>
      </c>
      <c r="P200" s="1284">
        <f t="shared" si="34"/>
        <v>1224806184.2757998</v>
      </c>
      <c r="Q200" s="1284">
        <f t="shared" si="34"/>
        <v>1388536178.0903809</v>
      </c>
      <c r="R200" s="1284">
        <f t="shared" si="34"/>
        <v>1574681734.1737673</v>
      </c>
      <c r="S200" s="74"/>
      <c r="U200" s="121"/>
    </row>
    <row r="201" spans="2:21" s="61" customFormat="1" ht="15" customHeight="1">
      <c r="B201" s="1339" t="s">
        <v>1043</v>
      </c>
      <c r="C201" s="1340">
        <f>'IMF Data'!C40*1000</f>
        <v>6621000</v>
      </c>
      <c r="D201" s="1340">
        <f>'IMF Data'!D40*1000</f>
        <v>7965000</v>
      </c>
      <c r="E201" s="1340">
        <f>'IMF Data'!E40*1000</f>
        <v>12660000</v>
      </c>
      <c r="F201" s="1340">
        <f>'IMF Data'!F40*1000</f>
        <v>16730000</v>
      </c>
      <c r="G201" s="1340">
        <f>'IMF Data'!G40*1000</f>
        <v>23880000</v>
      </c>
      <c r="H201" s="1340">
        <f>'IMF Data'!H40*1000</f>
        <v>25380000</v>
      </c>
      <c r="I201" s="1340">
        <f>'IMF Data'!I40*1000</f>
        <v>35760000</v>
      </c>
      <c r="J201" s="1340">
        <f>'IMF Data'!J40*1000</f>
        <v>46578628.489984632</v>
      </c>
      <c r="K201" s="1340">
        <f>'IMF Data'!K40*1000</f>
        <v>50062816.399208806</v>
      </c>
      <c r="L201" s="1340">
        <f>'IMF Data'!L40*1000</f>
        <v>55953929.990233548</v>
      </c>
      <c r="M201" s="1340">
        <f>'IMF Data'!M40*1000</f>
        <v>60439731.675504081</v>
      </c>
      <c r="N201" s="1340">
        <f>'IMF Data'!N40*1000</f>
        <v>66172861.289782986</v>
      </c>
      <c r="O201" s="1340">
        <f>'IMF Data'!O40*1000</f>
        <v>75945039.338010356</v>
      </c>
      <c r="P201" s="1340">
        <f>'IMF Data'!P40*1000</f>
        <v>88301317.971369386</v>
      </c>
      <c r="Q201" s="1340">
        <f>'IMF Data'!Q40*1000</f>
        <v>102881205.51907033</v>
      </c>
      <c r="R201" s="1340">
        <f>'IMF Data'!R40*1000</f>
        <v>118788649.73164929</v>
      </c>
      <c r="S201" s="74"/>
      <c r="U201" s="121"/>
    </row>
    <row r="202" spans="2:21" s="61" customFormat="1" ht="17.25" customHeight="1">
      <c r="B202" s="981"/>
      <c r="C202" s="1285"/>
      <c r="D202" s="1285"/>
      <c r="E202" s="1285"/>
      <c r="F202" s="1285"/>
      <c r="G202" s="1285"/>
      <c r="H202" s="1285"/>
      <c r="I202" s="1285"/>
      <c r="J202" s="1285"/>
      <c r="K202" s="1285"/>
      <c r="L202" s="1285"/>
      <c r="M202" s="1285"/>
      <c r="N202" s="1285"/>
      <c r="O202" s="1285"/>
      <c r="P202" s="1285"/>
      <c r="Q202" s="1285"/>
      <c r="R202" s="1285"/>
      <c r="S202" s="74"/>
      <c r="U202" s="121"/>
    </row>
    <row r="203" spans="2:21" s="61" customFormat="1" ht="15" customHeight="1">
      <c r="B203" s="982" t="s">
        <v>318</v>
      </c>
      <c r="C203" s="1286">
        <f>'IMF Data'!C41*1000</f>
        <v>79199000</v>
      </c>
      <c r="D203" s="1286">
        <f>'IMF Data'!D41*1000</f>
        <v>88341000</v>
      </c>
      <c r="E203" s="1286">
        <f>'IMF Data'!E41*1000</f>
        <v>104301500</v>
      </c>
      <c r="F203" s="1286">
        <f>'IMF Data'!F41*1000</f>
        <v>119462000</v>
      </c>
      <c r="G203" s="1286">
        <f>'IMF Data'!G41*1000</f>
        <v>180261000</v>
      </c>
      <c r="H203" s="1286">
        <f>'IMF Data'!H41*1000</f>
        <v>178150000</v>
      </c>
      <c r="I203" s="1286">
        <f>'IMF Data'!I41*1000</f>
        <v>171646995.9687404</v>
      </c>
      <c r="J203" s="1286">
        <f>'IMF Data'!J41*1000</f>
        <v>196353120.38999164</v>
      </c>
      <c r="K203" s="1286">
        <f>'IMF Data'!K41*1000</f>
        <v>225479109.2289286</v>
      </c>
      <c r="L203" s="1286">
        <f>'IMF Data'!L41*1000</f>
        <v>258225970.51887664</v>
      </c>
      <c r="M203" s="1286">
        <f>'IMF Data'!M41*1000</f>
        <v>294374495.42874569</v>
      </c>
      <c r="N203" s="1286">
        <f>'IMF Data'!N41*1000</f>
        <v>330868434.60099936</v>
      </c>
      <c r="O203" s="1286">
        <f>'IMF Data'!O41*1000</f>
        <v>371230648.49386686</v>
      </c>
      <c r="P203" s="1286">
        <f>'IMF Data'!P41*1000</f>
        <v>412306935.86646819</v>
      </c>
      <c r="Q203" s="1286">
        <f>'IMF Data'!Q41*1000</f>
        <v>458074952.74965155</v>
      </c>
      <c r="R203" s="1286">
        <f>'IMF Data'!R41*1000</f>
        <v>509094272.73981166</v>
      </c>
      <c r="S203" s="74"/>
      <c r="U203" s="121"/>
    </row>
    <row r="204" spans="2:21" s="61" customFormat="1" ht="8.25" customHeight="1">
      <c r="B204" s="983"/>
      <c r="C204" s="1285"/>
      <c r="D204" s="1285"/>
      <c r="E204" s="1285"/>
      <c r="F204" s="1285"/>
      <c r="G204" s="1285"/>
      <c r="H204" s="1285"/>
      <c r="I204" s="1285"/>
      <c r="J204" s="1285"/>
      <c r="K204" s="1285"/>
      <c r="L204" s="1285"/>
      <c r="M204" s="1285"/>
      <c r="N204" s="1285"/>
      <c r="O204" s="1285"/>
      <c r="P204" s="1285"/>
      <c r="Q204" s="1285"/>
      <c r="R204" s="1285"/>
      <c r="S204" s="74"/>
      <c r="U204" s="121"/>
    </row>
    <row r="205" spans="2:21" s="61" customFormat="1" ht="15" customHeight="1">
      <c r="B205" s="983" t="s">
        <v>314</v>
      </c>
      <c r="C205" s="1284">
        <f>SUM(C206:C208)</f>
        <v>26815479.999999981</v>
      </c>
      <c r="D205" s="1284">
        <f t="shared" ref="D205:R205" si="35">SUM(D206:D208)</f>
        <v>13056000</v>
      </c>
      <c r="E205" s="1284">
        <f t="shared" si="35"/>
        <v>20811000</v>
      </c>
      <c r="F205" s="1284">
        <f t="shared" si="35"/>
        <v>36454780.479999997</v>
      </c>
      <c r="G205" s="1284">
        <f t="shared" si="35"/>
        <v>64131799.049999997</v>
      </c>
      <c r="H205" s="1284">
        <f t="shared" si="35"/>
        <v>89832000</v>
      </c>
      <c r="I205" s="1284">
        <f t="shared" si="35"/>
        <v>66640000</v>
      </c>
      <c r="J205" s="1284">
        <f t="shared" si="35"/>
        <v>74192464.178499177</v>
      </c>
      <c r="K205" s="1284">
        <f t="shared" si="35"/>
        <v>83493828.2988116</v>
      </c>
      <c r="L205" s="1284">
        <f t="shared" si="35"/>
        <v>93707436.667442307</v>
      </c>
      <c r="M205" s="1284">
        <f t="shared" si="35"/>
        <v>106106396.07756284</v>
      </c>
      <c r="N205" s="1284">
        <f t="shared" si="35"/>
        <v>119260526.01875174</v>
      </c>
      <c r="O205" s="1284">
        <f t="shared" si="35"/>
        <v>133808963.87729084</v>
      </c>
      <c r="P205" s="1284">
        <f t="shared" si="35"/>
        <v>148614787.36075905</v>
      </c>
      <c r="Q205" s="1284">
        <f t="shared" si="35"/>
        <v>165111730.54878438</v>
      </c>
      <c r="R205" s="1284">
        <f t="shared" si="35"/>
        <v>184437722.1429711</v>
      </c>
      <c r="S205" s="74"/>
      <c r="U205" s="121"/>
    </row>
    <row r="206" spans="2:21" s="61" customFormat="1" ht="15" customHeight="1">
      <c r="B206" s="981" t="s">
        <v>315</v>
      </c>
      <c r="C206" s="1284">
        <f>'IMF Data'!C46*1000</f>
        <v>10272000</v>
      </c>
      <c r="D206" s="1284">
        <f>'IMF Data'!D46*1000</f>
        <v>8393000</v>
      </c>
      <c r="E206" s="1284">
        <f>'IMF Data'!E46*1000</f>
        <v>16655000</v>
      </c>
      <c r="F206" s="1284">
        <f>'IMF Data'!F46*1000</f>
        <v>27000000</v>
      </c>
      <c r="G206" s="1284">
        <f>'IMF Data'!G46*1000</f>
        <v>46000000</v>
      </c>
      <c r="H206" s="1284">
        <f>'IMF Data'!H46*1000</f>
        <v>56000000</v>
      </c>
      <c r="I206" s="1284">
        <f>'IMF Data'!I46*1000</f>
        <v>45000000</v>
      </c>
      <c r="J206" s="1284">
        <f>'IMF Data'!J46*1000</f>
        <v>49932791.754677802</v>
      </c>
      <c r="K206" s="1284">
        <f>'IMF Data'!K46*1000</f>
        <v>56192768.192939661</v>
      </c>
      <c r="L206" s="1284">
        <f>'IMF Data'!L46*1000</f>
        <v>63066700.544177927</v>
      </c>
      <c r="M206" s="1284">
        <f>'IMF Data'!M46*1000</f>
        <v>71176326.039576754</v>
      </c>
      <c r="N206" s="1284">
        <f>'IMF Data'!N46*1000</f>
        <v>80000135.687928393</v>
      </c>
      <c r="O206" s="1284">
        <f>'IMF Data'!O46*1000</f>
        <v>89759249.1312778</v>
      </c>
      <c r="P206" s="1284">
        <f>'IMF Data'!P46*1000</f>
        <v>99691017.229154006</v>
      </c>
      <c r="Q206" s="1284">
        <f>'IMF Data'!Q46*1000</f>
        <v>110757190.90400903</v>
      </c>
      <c r="R206" s="1284">
        <f>'IMF Data'!R46*1000</f>
        <v>123721094.39706931</v>
      </c>
      <c r="S206" s="74"/>
      <c r="U206" s="121"/>
    </row>
    <row r="207" spans="2:21" s="61" customFormat="1" ht="15" customHeight="1">
      <c r="B207" s="981" t="s">
        <v>211</v>
      </c>
      <c r="C207" s="1284">
        <f>'IMF Data'!C47*1000</f>
        <v>16543479.999999981</v>
      </c>
      <c r="D207" s="1284">
        <f>'IMF Data'!D47*1000</f>
        <v>4663000</v>
      </c>
      <c r="E207" s="1284">
        <f>'IMF Data'!E47*1000</f>
        <v>4156000.0000000009</v>
      </c>
      <c r="F207" s="1284">
        <f>'IMF Data'!F47*1000</f>
        <v>9454780.4799999986</v>
      </c>
      <c r="G207" s="1284">
        <f>'IMF Data'!G47*1000</f>
        <v>8131799.0499999998</v>
      </c>
      <c r="H207" s="1284">
        <f>'IMF Data'!H47*1000</f>
        <v>31832000</v>
      </c>
      <c r="I207" s="1284">
        <f>'IMF Data'!I47*1000</f>
        <v>21640000</v>
      </c>
      <c r="J207" s="1284">
        <f>'IMF Data'!J47*1000</f>
        <v>24259672.423821378</v>
      </c>
      <c r="K207" s="1284">
        <f>'IMF Data'!K47*1000</f>
        <v>27301060.105871942</v>
      </c>
      <c r="L207" s="1284">
        <f>'IMF Data'!L47*1000</f>
        <v>30640736.12326438</v>
      </c>
      <c r="M207" s="1284">
        <f>'IMF Data'!M47*1000</f>
        <v>34930070.037986092</v>
      </c>
      <c r="N207" s="1284">
        <f>'IMF Data'!N47*1000</f>
        <v>39260390.330823347</v>
      </c>
      <c r="O207" s="1284">
        <f>'IMF Data'!O47*1000</f>
        <v>44049714.746013038</v>
      </c>
      <c r="P207" s="1284">
        <f>'IMF Data'!P47*1000</f>
        <v>48923770.131605044</v>
      </c>
      <c r="Q207" s="1284">
        <f>'IMF Data'!Q47*1000</f>
        <v>54354539.644775361</v>
      </c>
      <c r="R207" s="1284">
        <f>'IMF Data'!R47*1000</f>
        <v>60716627.745901801</v>
      </c>
      <c r="S207" s="74"/>
      <c r="U207" s="121"/>
    </row>
    <row r="208" spans="2:21" s="61" customFormat="1" ht="15">
      <c r="B208" s="981" t="s">
        <v>316</v>
      </c>
      <c r="C208" s="1284">
        <f>'IMF Data'!C48*1000</f>
        <v>0</v>
      </c>
      <c r="D208" s="1284">
        <f>'IMF Data'!D48*1000</f>
        <v>0</v>
      </c>
      <c r="E208" s="1284">
        <f>'IMF Data'!E48*1000</f>
        <v>0</v>
      </c>
      <c r="F208" s="1284">
        <f>'IMF Data'!F48*1000</f>
        <v>0</v>
      </c>
      <c r="G208" s="1284">
        <f>'IMF Data'!G48*1000</f>
        <v>10000000</v>
      </c>
      <c r="H208" s="1284">
        <f>'IMF Data'!H48*1000</f>
        <v>2000000</v>
      </c>
      <c r="I208" s="1284">
        <f>'IMF Data'!I48*1000</f>
        <v>0</v>
      </c>
      <c r="J208" s="1284">
        <f>'IMF Data'!J48*1000</f>
        <v>0</v>
      </c>
      <c r="K208" s="1284">
        <f>'IMF Data'!K48*1000</f>
        <v>0</v>
      </c>
      <c r="L208" s="1284">
        <f>'IMF Data'!L48*1000</f>
        <v>0</v>
      </c>
      <c r="M208" s="1284">
        <f>'IMF Data'!M48*1000</f>
        <v>0</v>
      </c>
      <c r="N208" s="1284">
        <f>'IMF Data'!N48*1000</f>
        <v>0</v>
      </c>
      <c r="O208" s="1284">
        <f>'IMF Data'!O48*1000</f>
        <v>0</v>
      </c>
      <c r="P208" s="1284">
        <f>'IMF Data'!P48*1000</f>
        <v>0</v>
      </c>
      <c r="Q208" s="1284">
        <f>'IMF Data'!Q48*1000</f>
        <v>0</v>
      </c>
      <c r="R208" s="1284">
        <f>'IMF Data'!R48*1000</f>
        <v>0</v>
      </c>
      <c r="S208" s="74"/>
      <c r="U208" s="121"/>
    </row>
    <row r="209" spans="1:26" s="68" customFormat="1" ht="5.25" customHeight="1">
      <c r="B209" s="984"/>
      <c r="C209" s="1285"/>
      <c r="D209" s="1285"/>
      <c r="E209" s="1285"/>
      <c r="F209" s="1285"/>
      <c r="G209" s="1285"/>
      <c r="H209" s="1285"/>
      <c r="I209" s="1285"/>
      <c r="J209" s="1285"/>
      <c r="K209" s="1285"/>
      <c r="L209" s="1285"/>
      <c r="M209" s="1285"/>
      <c r="N209" s="1285"/>
      <c r="O209" s="1285"/>
      <c r="P209" s="1285"/>
      <c r="Q209" s="1285"/>
      <c r="R209" s="1285"/>
      <c r="S209" s="72"/>
      <c r="U209" s="121"/>
    </row>
    <row r="210" spans="1:26" s="68" customFormat="1" ht="15">
      <c r="B210" s="985" t="s">
        <v>319</v>
      </c>
      <c r="C210" s="1287">
        <f t="shared" ref="C210:R210" si="36">C198+C205</f>
        <v>255907479.99999997</v>
      </c>
      <c r="D210" s="1287">
        <f t="shared" si="36"/>
        <v>281466000</v>
      </c>
      <c r="E210" s="1287">
        <f t="shared" si="36"/>
        <v>356931178.92699999</v>
      </c>
      <c r="F210" s="1287">
        <f t="shared" si="36"/>
        <v>448286780.48000002</v>
      </c>
      <c r="G210" s="1287">
        <f t="shared" si="36"/>
        <v>591473799.04999995</v>
      </c>
      <c r="H210" s="1287">
        <f t="shared" si="36"/>
        <v>685042000</v>
      </c>
      <c r="I210" s="1287">
        <f t="shared" si="36"/>
        <v>763802586.29371738</v>
      </c>
      <c r="J210" s="1287">
        <f t="shared" si="36"/>
        <v>877373099.71108425</v>
      </c>
      <c r="K210" s="1287">
        <f t="shared" si="36"/>
        <v>1002389012.8821763</v>
      </c>
      <c r="L210" s="1287">
        <f t="shared" si="36"/>
        <v>1144676302.8963153</v>
      </c>
      <c r="M210" s="1287">
        <f t="shared" si="36"/>
        <v>1300851167.6789532</v>
      </c>
      <c r="N210" s="1287">
        <f t="shared" si="36"/>
        <v>1469895442.2769575</v>
      </c>
      <c r="O210" s="1287">
        <f t="shared" si="36"/>
        <v>1661713214.4005203</v>
      </c>
      <c r="P210" s="1287">
        <f t="shared" si="36"/>
        <v>1874029225.4743965</v>
      </c>
      <c r="Q210" s="1287">
        <f t="shared" si="36"/>
        <v>2114604066.907887</v>
      </c>
      <c r="R210" s="1287">
        <f t="shared" si="36"/>
        <v>2387002378.7881994</v>
      </c>
      <c r="S210" s="72"/>
      <c r="U210" s="121"/>
    </row>
    <row r="211" spans="1:26" s="68" customFormat="1" ht="15" customHeight="1">
      <c r="B211" s="986" t="s">
        <v>212</v>
      </c>
      <c r="C211" s="1288">
        <f>'IMF Data'!C50*1000</f>
        <v>255907479.99999997</v>
      </c>
      <c r="D211" s="1288">
        <f>'IMF Data'!D50*1000</f>
        <v>281466000</v>
      </c>
      <c r="E211" s="1288">
        <f>'IMF Data'!E50*1000</f>
        <v>356931178.92700005</v>
      </c>
      <c r="F211" s="1288">
        <f>'IMF Data'!F50*1000</f>
        <v>448286780.48000002</v>
      </c>
      <c r="G211" s="1288">
        <f>'IMF Data'!G50*1000</f>
        <v>591473799.05000007</v>
      </c>
      <c r="H211" s="1288">
        <f>'IMF Data'!H50*1000</f>
        <v>685042000</v>
      </c>
      <c r="I211" s="1288">
        <f>'IMF Data'!I50*1000</f>
        <v>763802586.29371738</v>
      </c>
      <c r="J211" s="1288">
        <f>'IMF Data'!J50*1000</f>
        <v>877373099.71108425</v>
      </c>
      <c r="K211" s="1288">
        <f>'IMF Data'!K50*1000</f>
        <v>1002389012.8821763</v>
      </c>
      <c r="L211" s="1288">
        <f>'IMF Data'!L50*1000</f>
        <v>1144676302.8963153</v>
      </c>
      <c r="M211" s="1288">
        <f>'IMF Data'!M50*1000</f>
        <v>1300851167.6789532</v>
      </c>
      <c r="N211" s="1288">
        <f>'IMF Data'!N50*1000</f>
        <v>1469895442.276958</v>
      </c>
      <c r="O211" s="1288">
        <f>'IMF Data'!O50*1000</f>
        <v>1661713214.4005201</v>
      </c>
      <c r="P211" s="1288">
        <f>'IMF Data'!P50*1000</f>
        <v>1874029225.4743962</v>
      </c>
      <c r="Q211" s="1288">
        <f>'IMF Data'!Q50*1000</f>
        <v>2114604066.9078875</v>
      </c>
      <c r="R211" s="1288">
        <f>'IMF Data'!R50*1000</f>
        <v>2387002378.7881999</v>
      </c>
      <c r="S211" s="72"/>
      <c r="U211" s="121"/>
    </row>
    <row r="212" spans="1:26" s="68" customFormat="1" ht="15" customHeight="1">
      <c r="B212" s="987" t="s">
        <v>326</v>
      </c>
      <c r="C212" s="1289"/>
      <c r="D212" s="1289"/>
      <c r="E212" s="1289"/>
      <c r="F212" s="1289"/>
      <c r="G212" s="1289"/>
      <c r="H212" s="1289"/>
      <c r="I212" s="1289"/>
      <c r="J212" s="1289"/>
      <c r="K212" s="1289"/>
      <c r="L212" s="1289"/>
      <c r="M212" s="1289"/>
      <c r="N212" s="1289"/>
      <c r="O212" s="1289"/>
      <c r="P212" s="1289"/>
      <c r="Q212" s="1289"/>
      <c r="R212" s="1289"/>
      <c r="S212" s="72"/>
      <c r="U212" s="121"/>
    </row>
    <row r="213" spans="1:26" s="61" customFormat="1" ht="15">
      <c r="B213" s="951" t="s">
        <v>212</v>
      </c>
      <c r="C213" s="1290">
        <f>C211</f>
        <v>255907479.99999997</v>
      </c>
      <c r="D213" s="1290">
        <f t="shared" ref="D213:R213" si="37">D211</f>
        <v>281466000</v>
      </c>
      <c r="E213" s="1290">
        <f t="shared" si="37"/>
        <v>356931178.92700005</v>
      </c>
      <c r="F213" s="1290">
        <f t="shared" si="37"/>
        <v>448286780.48000002</v>
      </c>
      <c r="G213" s="1290">
        <f t="shared" si="37"/>
        <v>591473799.05000007</v>
      </c>
      <c r="H213" s="1290">
        <f t="shared" si="37"/>
        <v>685042000</v>
      </c>
      <c r="I213" s="1290">
        <f t="shared" si="37"/>
        <v>763802586.29371738</v>
      </c>
      <c r="J213" s="1290">
        <f t="shared" si="37"/>
        <v>877373099.71108425</v>
      </c>
      <c r="K213" s="1290">
        <f t="shared" si="37"/>
        <v>1002389012.8821763</v>
      </c>
      <c r="L213" s="1290">
        <f t="shared" si="37"/>
        <v>1144676302.8963153</v>
      </c>
      <c r="M213" s="1290">
        <f t="shared" si="37"/>
        <v>1300851167.6789532</v>
      </c>
      <c r="N213" s="1290">
        <f t="shared" si="37"/>
        <v>1469895442.276958</v>
      </c>
      <c r="O213" s="1290">
        <f t="shared" si="37"/>
        <v>1661713214.4005201</v>
      </c>
      <c r="P213" s="1290">
        <f t="shared" si="37"/>
        <v>1874029225.4743962</v>
      </c>
      <c r="Q213" s="1290">
        <f t="shared" si="37"/>
        <v>2114604066.9078875</v>
      </c>
      <c r="R213" s="1290">
        <f t="shared" si="37"/>
        <v>2387002378.7881999</v>
      </c>
      <c r="S213" s="400"/>
      <c r="T213" s="270"/>
      <c r="U213" s="231"/>
      <c r="V213" s="61">
        <f>POWER(M213/H213,1/5)</f>
        <v>1.1368471632433801</v>
      </c>
      <c r="W213" s="61">
        <f>POWER(M213/D213,1/9)</f>
        <v>1.185405266014814</v>
      </c>
      <c r="X213" s="231"/>
    </row>
    <row r="214" spans="1:26" s="61" customFormat="1" ht="15">
      <c r="B214" s="988" t="s">
        <v>47</v>
      </c>
      <c r="C214" s="1291"/>
      <c r="D214" s="1291">
        <f>D213/C213</f>
        <v>1.0998740638608924</v>
      </c>
      <c r="E214" s="1291">
        <f t="shared" ref="E214:R214" si="38">E213/D213</f>
        <v>1.268114724076798</v>
      </c>
      <c r="F214" s="1291">
        <f t="shared" si="38"/>
        <v>1.2559473841081397</v>
      </c>
      <c r="G214" s="1291">
        <f t="shared" si="38"/>
        <v>1.3194094155903584</v>
      </c>
      <c r="H214" s="1291">
        <f t="shared" si="38"/>
        <v>1.1581950055949819</v>
      </c>
      <c r="I214" s="1291">
        <f t="shared" si="38"/>
        <v>1.1149719087205126</v>
      </c>
      <c r="J214" s="1291">
        <f t="shared" si="38"/>
        <v>1.1486909254503279</v>
      </c>
      <c r="K214" s="1291">
        <f t="shared" si="38"/>
        <v>1.1424888832496225</v>
      </c>
      <c r="L214" s="1291">
        <f t="shared" si="38"/>
        <v>1.1419481739978568</v>
      </c>
      <c r="M214" s="1291">
        <f t="shared" si="38"/>
        <v>1.1364358328965811</v>
      </c>
      <c r="N214" s="1291">
        <f t="shared" si="38"/>
        <v>1.1299489740241557</v>
      </c>
      <c r="O214" s="1291">
        <f t="shared" si="38"/>
        <v>1.1304975623479889</v>
      </c>
      <c r="P214" s="1291">
        <f t="shared" si="38"/>
        <v>1.1277693462589882</v>
      </c>
      <c r="Q214" s="1291">
        <f t="shared" si="38"/>
        <v>1.1283730467824435</v>
      </c>
      <c r="R214" s="1291">
        <f t="shared" si="38"/>
        <v>1.1288176430487202</v>
      </c>
      <c r="S214" s="400"/>
      <c r="T214" s="270"/>
      <c r="U214" s="231"/>
      <c r="X214" s="231"/>
    </row>
    <row r="215" spans="1:26" s="61" customFormat="1" ht="15">
      <c r="B215" s="989" t="s">
        <v>718</v>
      </c>
      <c r="C215" s="1292">
        <f t="shared" ref="C215:R215" si="39">C183-C213</f>
        <v>-27618479.99999994</v>
      </c>
      <c r="D215" s="1292">
        <f t="shared" si="39"/>
        <v>-1994000</v>
      </c>
      <c r="E215" s="1292">
        <f t="shared" si="39"/>
        <v>-29020578.927000046</v>
      </c>
      <c r="F215" s="1292">
        <f t="shared" si="39"/>
        <v>-17751780.480000079</v>
      </c>
      <c r="G215" s="1292">
        <f t="shared" si="39"/>
        <v>-149132799.05000007</v>
      </c>
      <c r="H215" s="1292">
        <f t="shared" si="39"/>
        <v>-127055318.54965544</v>
      </c>
      <c r="I215" s="1292">
        <f t="shared" si="39"/>
        <v>-94797379.413874626</v>
      </c>
      <c r="J215" s="1292">
        <f t="shared" si="39"/>
        <v>-103480561.07815969</v>
      </c>
      <c r="K215" s="1292">
        <f t="shared" si="39"/>
        <v>-112741494.20138133</v>
      </c>
      <c r="L215" s="1292">
        <f t="shared" si="39"/>
        <v>-121332145.14042068</v>
      </c>
      <c r="M215" s="1292">
        <f t="shared" si="39"/>
        <v>-125452334.46962428</v>
      </c>
      <c r="N215" s="1292">
        <f t="shared" si="39"/>
        <v>-137774714.18782163</v>
      </c>
      <c r="O215" s="1292">
        <f t="shared" si="39"/>
        <v>-160957602.98911166</v>
      </c>
      <c r="P215" s="1292">
        <f t="shared" si="39"/>
        <v>-180053277.402632</v>
      </c>
      <c r="Q215" s="1292">
        <f t="shared" si="39"/>
        <v>-203353913.78968406</v>
      </c>
      <c r="R215" s="1292">
        <f t="shared" si="39"/>
        <v>-230370658.71203423</v>
      </c>
      <c r="S215" s="74"/>
      <c r="V215" s="61">
        <f>POWER(M215/H215,1/5)</f>
        <v>0.99746388352150639</v>
      </c>
      <c r="W215" s="61">
        <f>POWER(M215/D215,1/9)</f>
        <v>1.5843878756849605</v>
      </c>
    </row>
    <row r="216" spans="1:26" s="61" customFormat="1" ht="26.25">
      <c r="B216" s="990" t="s">
        <v>717</v>
      </c>
      <c r="C216" s="1293">
        <f>C215/ECO!B64*100</f>
        <v>-3.2910044031340679</v>
      </c>
      <c r="D216" s="1293">
        <f>D215/ECO!C64*100</f>
        <v>-0.20466710802502394</v>
      </c>
      <c r="E216" s="1293">
        <f>E215/ECO!D64*100</f>
        <v>-2.5373952194550626</v>
      </c>
      <c r="F216" s="1293">
        <f>F215/ECO!E64*100</f>
        <v>-1.1953755041958576</v>
      </c>
      <c r="G216" s="1293">
        <f>G215/ECO!F64*100</f>
        <v>-8.9926307428474317</v>
      </c>
      <c r="H216" s="1293">
        <f>H215/ECO!G64*100</f>
        <v>-6.4139757811575144</v>
      </c>
      <c r="I216" s="1293">
        <f>I215/ECO!H64*100</f>
        <v>-3.9371596114726799</v>
      </c>
      <c r="J216" s="1293">
        <f>J215/ECO!I64*100</f>
        <v>-3.7570230896071366</v>
      </c>
      <c r="K216" s="1293">
        <f>K215/ECO!J64*100</f>
        <v>-3.5645143922856395</v>
      </c>
      <c r="L216" s="1293">
        <f>L215/ECO!K64*100</f>
        <v>-3.349645554534781</v>
      </c>
      <c r="M216" s="1293">
        <f>M215/ECO!L64*100</f>
        <v>-3.0380957966810649</v>
      </c>
      <c r="N216" s="1293">
        <f>N215/ECO!M64*100</f>
        <v>-2.9388151720636637</v>
      </c>
      <c r="O216" s="1293">
        <f>O215/ECO!N64*100</f>
        <v>-3.0294302497309267</v>
      </c>
      <c r="P216" s="1293">
        <f>P215/ECO!O64*100</f>
        <v>-2.9901966590619695</v>
      </c>
      <c r="Q216" s="1293">
        <f>Q215/ECO!P64*100</f>
        <v>-2.9789377438899174</v>
      </c>
      <c r="R216" s="1293">
        <f>R215/ECO!Q64*100</f>
        <v>-2.9757775686240375</v>
      </c>
      <c r="S216" s="74" t="s">
        <v>719</v>
      </c>
      <c r="V216" s="61">
        <f>POWER(M216/H216,1/5)</f>
        <v>0.86118177351802916</v>
      </c>
      <c r="W216" s="61">
        <f>POWER(M216/D216,1/9)</f>
        <v>1.3494991060668922</v>
      </c>
    </row>
    <row r="217" spans="1:26" s="61" customFormat="1" ht="15">
      <c r="B217" s="991" t="s">
        <v>329</v>
      </c>
      <c r="C217" s="1286">
        <f t="shared" ref="C217:R217" si="40">C183-C200-C203-C205</f>
        <v>-20997479.999999952</v>
      </c>
      <c r="D217" s="1286">
        <f t="shared" si="40"/>
        <v>5971000</v>
      </c>
      <c r="E217" s="1286">
        <f t="shared" si="40"/>
        <v>-16360578.926999986</v>
      </c>
      <c r="F217" s="1286">
        <f t="shared" si="40"/>
        <v>-1021780.4800000563</v>
      </c>
      <c r="G217" s="1286">
        <f t="shared" si="40"/>
        <v>-125252799.05</v>
      </c>
      <c r="H217" s="1286">
        <f t="shared" si="40"/>
        <v>-101675318.54965538</v>
      </c>
      <c r="I217" s="1286">
        <f t="shared" si="40"/>
        <v>-59037379.413874567</v>
      </c>
      <c r="J217" s="1286">
        <f t="shared" si="40"/>
        <v>-56901932.588175014</v>
      </c>
      <c r="K217" s="1286">
        <f t="shared" si="40"/>
        <v>-62678677.802172616</v>
      </c>
      <c r="L217" s="1286">
        <f t="shared" si="40"/>
        <v>-65378215.15018709</v>
      </c>
      <c r="M217" s="1286">
        <f t="shared" si="40"/>
        <v>-65012602.794120163</v>
      </c>
      <c r="N217" s="1286">
        <f t="shared" si="40"/>
        <v>-71601852.898038387</v>
      </c>
      <c r="O217" s="1286">
        <f t="shared" si="40"/>
        <v>-85012563.65110141</v>
      </c>
      <c r="P217" s="1286">
        <f t="shared" si="40"/>
        <v>-91751959.431262761</v>
      </c>
      <c r="Q217" s="1286">
        <f t="shared" si="40"/>
        <v>-100472708.27061343</v>
      </c>
      <c r="R217" s="1286">
        <f t="shared" si="40"/>
        <v>-111582008.98038441</v>
      </c>
      <c r="S217" s="74"/>
    </row>
    <row r="218" spans="1:26" s="61" customFormat="1" ht="6.75" customHeight="1">
      <c r="A218" s="1214"/>
      <c r="B218" s="1250"/>
      <c r="C218" s="1294"/>
      <c r="D218" s="1294"/>
      <c r="E218" s="1294"/>
      <c r="F218" s="1294"/>
      <c r="G218" s="1294"/>
      <c r="H218" s="1294"/>
      <c r="I218" s="1294"/>
      <c r="J218" s="1294"/>
      <c r="K218" s="1294"/>
      <c r="L218" s="1294"/>
      <c r="M218" s="1294"/>
      <c r="N218" s="1294"/>
      <c r="O218" s="1294"/>
      <c r="P218" s="1294"/>
      <c r="Q218" s="1294"/>
      <c r="R218" s="1294"/>
      <c r="S218" s="1218"/>
      <c r="T218" s="1214"/>
      <c r="U218" s="1214"/>
      <c r="V218" s="1214"/>
      <c r="W218" s="1214"/>
      <c r="X218" s="1214"/>
      <c r="Y218" s="1214"/>
      <c r="Z218" s="1214"/>
    </row>
    <row r="219" spans="1:26" s="61" customFormat="1" ht="15">
      <c r="B219" s="991" t="s">
        <v>330</v>
      </c>
      <c r="C219" s="1286">
        <f t="shared" ref="C219:R219" si="41">C217-C176</f>
        <v>-87555479.999999955</v>
      </c>
      <c r="D219" s="1286">
        <f t="shared" si="41"/>
        <v>-77375000</v>
      </c>
      <c r="E219" s="1286">
        <f t="shared" si="41"/>
        <v>-94994578.926999986</v>
      </c>
      <c r="F219" s="1286">
        <f t="shared" si="41"/>
        <v>-90624780.480000049</v>
      </c>
      <c r="G219" s="1286">
        <f t="shared" si="41"/>
        <v>-185752799.05000001</v>
      </c>
      <c r="H219" s="1286">
        <f t="shared" si="41"/>
        <v>-170794908.78262991</v>
      </c>
      <c r="I219" s="1286">
        <f t="shared" si="41"/>
        <v>-141853055.98117569</v>
      </c>
      <c r="J219" s="1286">
        <f t="shared" si="41"/>
        <v>-150211337.57053375</v>
      </c>
      <c r="K219" s="1286">
        <f t="shared" si="41"/>
        <v>-161256824.25613946</v>
      </c>
      <c r="L219" s="1286">
        <f t="shared" si="41"/>
        <v>-170979937.74024731</v>
      </c>
      <c r="M219" s="1286">
        <f t="shared" si="41"/>
        <v>-179767316.79431903</v>
      </c>
      <c r="N219" s="1286">
        <f t="shared" si="41"/>
        <v>-198693723.14754117</v>
      </c>
      <c r="O219" s="1286">
        <f t="shared" si="41"/>
        <v>-222343691.41182381</v>
      </c>
      <c r="P219" s="1286">
        <f t="shared" si="41"/>
        <v>-237210268.19475648</v>
      </c>
      <c r="Q219" s="1286">
        <f t="shared" si="41"/>
        <v>-252124035.55170324</v>
      </c>
      <c r="R219" s="1286">
        <f t="shared" si="41"/>
        <v>-267762735.03813308</v>
      </c>
      <c r="S219" s="74"/>
    </row>
    <row r="220" spans="1:26" s="61" customFormat="1" ht="15">
      <c r="B220" s="991" t="s">
        <v>331</v>
      </c>
      <c r="C220" s="1286">
        <f>C178</f>
        <v>134282000.00000003</v>
      </c>
      <c r="D220" s="1286">
        <f t="shared" ref="D220:R220" si="42">D178</f>
        <v>161948999.99999997</v>
      </c>
      <c r="E220" s="1286">
        <f t="shared" si="42"/>
        <v>204955600.00000003</v>
      </c>
      <c r="F220" s="1286">
        <f t="shared" si="42"/>
        <v>271057999.99999994</v>
      </c>
      <c r="G220" s="1286">
        <f t="shared" si="42"/>
        <v>298281000</v>
      </c>
      <c r="H220" s="1286">
        <f t="shared" si="42"/>
        <v>405538271.45056236</v>
      </c>
      <c r="I220" s="1286">
        <f t="shared" si="42"/>
        <v>493740208.03384507</v>
      </c>
      <c r="J220" s="1286">
        <f t="shared" si="42"/>
        <v>575646697.99731898</v>
      </c>
      <c r="K220" s="1286">
        <f t="shared" si="42"/>
        <v>673650914.97477889</v>
      </c>
      <c r="L220" s="1286">
        <f t="shared" si="42"/>
        <v>786666650.29815912</v>
      </c>
      <c r="M220" s="1286">
        <f t="shared" si="42"/>
        <v>914589821.07411122</v>
      </c>
      <c r="N220" s="1286">
        <f t="shared" si="42"/>
        <v>1039831399.961833</v>
      </c>
      <c r="O220" s="1286">
        <f t="shared" si="42"/>
        <v>1180144060.0668802</v>
      </c>
      <c r="P220" s="1286">
        <f t="shared" si="42"/>
        <v>1345130749.5406797</v>
      </c>
      <c r="Q220" s="1286">
        <f t="shared" si="42"/>
        <v>1533797935.0910561</v>
      </c>
      <c r="R220" s="1286">
        <f t="shared" si="42"/>
        <v>1749657051.2829263</v>
      </c>
      <c r="S220" s="74"/>
    </row>
    <row r="221" spans="1:26" s="61" customFormat="1" ht="26.25">
      <c r="B221" s="991" t="s">
        <v>332</v>
      </c>
      <c r="C221" s="1286">
        <f>'IMF Data'!C214*1000</f>
        <v>345878823.63551158</v>
      </c>
      <c r="D221" s="1286">
        <f>'IMF Data'!D214*1000</f>
        <v>407714013.7057749</v>
      </c>
      <c r="E221" s="1286">
        <f>'IMF Data'!E214*1000</f>
        <v>509902758.05747676</v>
      </c>
      <c r="F221" s="1286">
        <f>'IMF Data'!F214*1000</f>
        <v>637028122.02825081</v>
      </c>
      <c r="G221" s="1286">
        <f>'IMF Data'!G214*1000</f>
        <v>848447153.93000007</v>
      </c>
      <c r="H221" s="1286">
        <f>'IMF Data'!H214*1000</f>
        <v>1046862702.2571793</v>
      </c>
      <c r="I221" s="1286">
        <f>'IMF Data'!I214*1000</f>
        <v>1240330759.8659136</v>
      </c>
      <c r="J221" s="1286">
        <f>'IMF Data'!J214*1000</f>
        <v>1405290246.2683575</v>
      </c>
      <c r="K221" s="1286">
        <f>'IMF Data'!K214*1000</f>
        <v>1585992429.1796985</v>
      </c>
      <c r="L221" s="1286">
        <f>'IMF Data'!L214*1000</f>
        <v>1777821552.7251258</v>
      </c>
      <c r="M221" s="1286">
        <f>'IMF Data'!M214*1000</f>
        <v>1977440829.0237842</v>
      </c>
      <c r="N221" s="1286">
        <f>'IMF Data'!N214*1000</f>
        <v>2189348539.5960636</v>
      </c>
      <c r="O221" s="1286">
        <f>'IMF Data'!O214*1000</f>
        <v>2424921567.7844043</v>
      </c>
      <c r="P221" s="1286">
        <f>'IMF Data'!P214*1000</f>
        <v>2683906697.1380973</v>
      </c>
      <c r="Q221" s="1286">
        <f>'IMF Data'!Q214*1000</f>
        <v>2971333247.7203574</v>
      </c>
      <c r="R221" s="1286">
        <f>'IMF Data'!R214*1000</f>
        <v>3302872076.8610282</v>
      </c>
      <c r="S221" s="232" t="s">
        <v>696</v>
      </c>
    </row>
    <row r="222" spans="1:26" s="61" customFormat="1" ht="15">
      <c r="B222" s="991" t="s">
        <v>333</v>
      </c>
      <c r="C222" s="1295">
        <f>'IMF Data'!C216/'IMF Data'!C214*100</f>
        <v>34.656312580314832</v>
      </c>
      <c r="D222" s="1295">
        <f>'IMF Data'!D216/'IMF Data'!D214*100</f>
        <v>38.358058854550755</v>
      </c>
      <c r="E222" s="1295">
        <f>'IMF Data'!E216/'IMF Data'!E214*100</f>
        <v>39.524137009033318</v>
      </c>
      <c r="F222" s="1295">
        <f>'IMF Data'!F216/'IMF Data'!F214*100</f>
        <v>40.12539931273475</v>
      </c>
      <c r="G222" s="1295">
        <f>'IMF Data'!G216/'IMF Data'!G214*100</f>
        <v>39.17194600282911</v>
      </c>
      <c r="H222" s="1295">
        <f>'IMF Data'!H216/'IMF Data'!H214*100</f>
        <v>40.612623707320964</v>
      </c>
      <c r="I222" s="1295">
        <f>'IMF Data'!I216/'IMF Data'!I214*100</f>
        <v>39.716470524937151</v>
      </c>
      <c r="J222" s="1295">
        <f>'IMF Data'!J216/'IMF Data'!J214*100</f>
        <v>39.699567868395377</v>
      </c>
      <c r="K222" s="1295">
        <f>'IMF Data'!K216/'IMF Data'!K214*100</f>
        <v>39.684506803337122</v>
      </c>
      <c r="L222" s="1295">
        <f>'IMF Data'!L216/'IMF Data'!L214*100</f>
        <v>39.758584561236361</v>
      </c>
      <c r="M222" s="1295">
        <f>'IMF Data'!M216/'IMF Data'!M214*100</f>
        <v>41.29689467098509</v>
      </c>
      <c r="N222" s="1295">
        <f>'IMF Data'!N216/'IMF Data'!N214*100</f>
        <v>41.033415638556946</v>
      </c>
      <c r="O222" s="1295">
        <f>'IMF Data'!O216/'IMF Data'!O214*100</f>
        <v>41.539442637344983</v>
      </c>
      <c r="P222" s="1295">
        <f>'IMF Data'!P216/'IMF Data'!P214*100</f>
        <v>42.206098370951253</v>
      </c>
      <c r="Q222" s="1295">
        <f>'IMF Data'!Q216/'IMF Data'!Q214*100</f>
        <v>43.068517194214408</v>
      </c>
      <c r="R222" s="1295">
        <f>'IMF Data'!R216/'IMF Data'!R214*100</f>
        <v>44.842874570731709</v>
      </c>
      <c r="S222" s="74"/>
    </row>
    <row r="223" spans="1:26" s="61" customFormat="1" ht="15">
      <c r="B223" s="1002" t="s">
        <v>48</v>
      </c>
      <c r="C223" s="1286">
        <f t="shared" ref="C223:R223" si="43">-C221</f>
        <v>-345878823.63551158</v>
      </c>
      <c r="D223" s="1286">
        <f t="shared" si="43"/>
        <v>-407714013.7057749</v>
      </c>
      <c r="E223" s="1286">
        <f t="shared" si="43"/>
        <v>-509902758.05747676</v>
      </c>
      <c r="F223" s="1286">
        <f t="shared" si="43"/>
        <v>-637028122.02825081</v>
      </c>
      <c r="G223" s="1286">
        <f t="shared" si="43"/>
        <v>-848447153.93000007</v>
      </c>
      <c r="H223" s="1286">
        <f t="shared" si="43"/>
        <v>-1046862702.2571793</v>
      </c>
      <c r="I223" s="1286">
        <f t="shared" si="43"/>
        <v>-1240330759.8659136</v>
      </c>
      <c r="J223" s="1286">
        <f t="shared" si="43"/>
        <v>-1405290246.2683575</v>
      </c>
      <c r="K223" s="1286">
        <f t="shared" si="43"/>
        <v>-1585992429.1796985</v>
      </c>
      <c r="L223" s="1286">
        <f t="shared" si="43"/>
        <v>-1777821552.7251258</v>
      </c>
      <c r="M223" s="1286">
        <f t="shared" si="43"/>
        <v>-1977440829.0237842</v>
      </c>
      <c r="N223" s="1286">
        <f t="shared" si="43"/>
        <v>-2189348539.5960636</v>
      </c>
      <c r="O223" s="1286">
        <f t="shared" si="43"/>
        <v>-2424921567.7844043</v>
      </c>
      <c r="P223" s="1286">
        <f t="shared" si="43"/>
        <v>-2683906697.1380973</v>
      </c>
      <c r="Q223" s="1286">
        <f t="shared" si="43"/>
        <v>-2971333247.7203574</v>
      </c>
      <c r="R223" s="1286">
        <f t="shared" si="43"/>
        <v>-3302872076.8610282</v>
      </c>
      <c r="S223" s="74"/>
    </row>
    <row r="224" spans="1:26" s="61" customFormat="1" ht="15">
      <c r="B224" s="992" t="s">
        <v>697</v>
      </c>
      <c r="C224" s="1296">
        <f t="shared" ref="C224:R224" si="44">C261</f>
        <v>41.214749382851728</v>
      </c>
      <c r="D224" s="1296">
        <f t="shared" si="44"/>
        <v>41.848369150669981</v>
      </c>
      <c r="E224" s="1296">
        <f t="shared" si="44"/>
        <v>44.583012073485882</v>
      </c>
      <c r="F224" s="1296">
        <f t="shared" si="44"/>
        <v>42.896418948757599</v>
      </c>
      <c r="G224" s="1296">
        <f t="shared" si="44"/>
        <v>51.160925086333791</v>
      </c>
      <c r="H224" s="1296">
        <f t="shared" si="44"/>
        <v>52.847469079781128</v>
      </c>
      <c r="I224" s="1296">
        <f t="shared" si="44"/>
        <v>51.513873092324729</v>
      </c>
      <c r="J224" s="1296">
        <f t="shared" si="44"/>
        <v>51.021253149585398</v>
      </c>
      <c r="K224" s="1296">
        <f t="shared" si="44"/>
        <v>50.143852358112817</v>
      </c>
      <c r="L224" s="1296">
        <f t="shared" si="44"/>
        <v>49.080744875563589</v>
      </c>
      <c r="M224" s="1296">
        <f t="shared" si="44"/>
        <v>47.887946415993639</v>
      </c>
      <c r="N224" s="1296">
        <f t="shared" si="44"/>
        <v>46.700083850865767</v>
      </c>
      <c r="O224" s="1296">
        <f t="shared" si="44"/>
        <v>45.640159981557154</v>
      </c>
      <c r="P224" s="1296">
        <f t="shared" si="44"/>
        <v>44.572411870460456</v>
      </c>
      <c r="Q224" s="1296">
        <f t="shared" si="44"/>
        <v>43.527152226160929</v>
      </c>
      <c r="R224" s="1296">
        <f t="shared" si="44"/>
        <v>42.664342296488407</v>
      </c>
      <c r="S224" s="1006">
        <f>SUM(N224:R224)/5</f>
        <v>44.620830045106537</v>
      </c>
    </row>
    <row r="225" spans="2:19" s="61" customFormat="1" ht="12.75">
      <c r="B225" s="308"/>
      <c r="C225" s="338">
        <f>C$245*ECO!B$64/100</f>
        <v>6621000</v>
      </c>
      <c r="D225" s="338">
        <f>D$245*ECO!C$64/100</f>
        <v>7965000</v>
      </c>
      <c r="E225" s="338">
        <f>E$245*ECO!D$64/100</f>
        <v>12660000</v>
      </c>
      <c r="F225" s="338">
        <f>F$245*ECO!E$64/100</f>
        <v>16730000</v>
      </c>
      <c r="G225" s="338">
        <f>G$245*ECO!F$64/100</f>
        <v>23880000</v>
      </c>
      <c r="H225" s="338">
        <f>H$245*ECO!G$64/100</f>
        <v>25380000</v>
      </c>
      <c r="I225" s="338">
        <f>I$245*ECO!H$64/100</f>
        <v>35760000</v>
      </c>
      <c r="J225" s="338">
        <f>J$245*ECO!I$64/100</f>
        <v>46578628.489984624</v>
      </c>
      <c r="K225" s="338">
        <f>K$245*ECO!J$64/100</f>
        <v>50062816.399208806</v>
      </c>
      <c r="L225" s="338">
        <f>L$245*ECO!K$64/100</f>
        <v>55953929.990233548</v>
      </c>
      <c r="M225" s="338">
        <f>M$245*ECO!L$64/100</f>
        <v>60439731.675504081</v>
      </c>
      <c r="N225" s="338">
        <f>N$245*ECO!M$64/100</f>
        <v>66172861.289782993</v>
      </c>
      <c r="O225" s="338">
        <f>O$245*ECO!N$64/100</f>
        <v>75945039.338010356</v>
      </c>
      <c r="P225" s="338">
        <f>P$245*ECO!O$64/100</f>
        <v>88301317.971369386</v>
      </c>
      <c r="Q225" s="338">
        <f>Q$245*ECO!P$64/100</f>
        <v>102881205.51907033</v>
      </c>
      <c r="R225" s="338">
        <f>R$245*ECO!Q$64/100</f>
        <v>118788649.73164928</v>
      </c>
      <c r="S225" s="74"/>
    </row>
    <row r="226" spans="2:19" s="61" customFormat="1" ht="18.75">
      <c r="B226" s="309" t="s">
        <v>720</v>
      </c>
      <c r="C226" s="1003">
        <f t="shared" ref="C226:M226" si="45">C261</f>
        <v>41.214749382851728</v>
      </c>
      <c r="D226" s="1003">
        <f t="shared" si="45"/>
        <v>41.848369150669981</v>
      </c>
      <c r="E226" s="1003">
        <f t="shared" si="45"/>
        <v>44.583012073485882</v>
      </c>
      <c r="F226" s="1003">
        <f t="shared" si="45"/>
        <v>42.896418948757599</v>
      </c>
      <c r="G226" s="1003">
        <f t="shared" si="45"/>
        <v>51.160925086333791</v>
      </c>
      <c r="H226" s="1003">
        <f t="shared" si="45"/>
        <v>52.847469079781128</v>
      </c>
      <c r="I226" s="1003">
        <f t="shared" si="45"/>
        <v>51.513873092324729</v>
      </c>
      <c r="J226" s="1003">
        <f t="shared" si="45"/>
        <v>51.021253149585398</v>
      </c>
      <c r="K226" s="1003">
        <f t="shared" si="45"/>
        <v>50.143852358112817</v>
      </c>
      <c r="L226" s="1003">
        <f t="shared" si="45"/>
        <v>49.080744875563589</v>
      </c>
      <c r="M226" s="1003">
        <f t="shared" si="45"/>
        <v>47.887946415993639</v>
      </c>
      <c r="N226" s="1003">
        <f>N261</f>
        <v>46.700083850865767</v>
      </c>
      <c r="O226" s="1003">
        <f>O261</f>
        <v>45.640159981557154</v>
      </c>
      <c r="P226" s="1003">
        <f>P261</f>
        <v>44.572411870460456</v>
      </c>
      <c r="Q226" s="1003">
        <f>Q261</f>
        <v>43.527152226160929</v>
      </c>
      <c r="R226" s="1003">
        <f>R261</f>
        <v>42.664342296488407</v>
      </c>
      <c r="S226" s="74"/>
    </row>
    <row r="227" spans="2:19" s="61" customFormat="1">
      <c r="B227" s="644"/>
      <c r="C227" s="1517" t="s">
        <v>730</v>
      </c>
      <c r="D227" s="1518"/>
      <c r="E227" s="1518"/>
      <c r="F227" s="1518"/>
      <c r="G227" s="1518"/>
      <c r="H227" s="1518"/>
      <c r="I227" s="1517" t="s">
        <v>734</v>
      </c>
      <c r="J227" s="1518"/>
      <c r="K227" s="1518"/>
      <c r="L227" s="1518"/>
      <c r="M227" s="1518"/>
      <c r="N227" s="1518"/>
      <c r="O227" s="1518"/>
      <c r="P227" s="1518"/>
      <c r="Q227" s="1518"/>
      <c r="R227" s="1519"/>
      <c r="S227" s="1520" t="s">
        <v>744</v>
      </c>
    </row>
    <row r="228" spans="2:19" s="61" customFormat="1">
      <c r="B228" s="650"/>
      <c r="C228" s="646">
        <v>2005</v>
      </c>
      <c r="D228" s="647">
        <v>2006</v>
      </c>
      <c r="E228" s="647">
        <v>2007</v>
      </c>
      <c r="F228" s="647">
        <v>2008</v>
      </c>
      <c r="G228" s="647">
        <v>2009</v>
      </c>
      <c r="H228" s="647">
        <v>2010</v>
      </c>
      <c r="I228" s="646">
        <v>2011</v>
      </c>
      <c r="J228" s="647">
        <v>2012</v>
      </c>
      <c r="K228" s="647">
        <v>2013</v>
      </c>
      <c r="L228" s="647">
        <v>2014</v>
      </c>
      <c r="M228" s="647">
        <v>2015</v>
      </c>
      <c r="N228" s="647">
        <v>2016</v>
      </c>
      <c r="O228" s="647">
        <v>2017</v>
      </c>
      <c r="P228" s="647">
        <v>2018</v>
      </c>
      <c r="Q228" s="647">
        <v>2019</v>
      </c>
      <c r="R228" s="648">
        <v>2020</v>
      </c>
      <c r="S228" s="1521"/>
    </row>
    <row r="229" spans="2:19" s="61" customFormat="1">
      <c r="B229" s="298" t="s">
        <v>763</v>
      </c>
      <c r="C229" s="57"/>
      <c r="D229" s="58"/>
      <c r="E229" s="58"/>
      <c r="F229" s="58"/>
      <c r="G229" s="58"/>
      <c r="H229" s="59"/>
      <c r="I229" s="57"/>
      <c r="J229" s="58"/>
      <c r="K229" s="58"/>
      <c r="L229" s="58"/>
      <c r="M229" s="58"/>
      <c r="N229" s="58"/>
      <c r="O229" s="58"/>
      <c r="P229" s="58"/>
      <c r="Q229" s="58"/>
      <c r="R229" s="59"/>
      <c r="S229" s="70"/>
    </row>
    <row r="230" spans="2:19" s="61" customFormat="1" ht="15">
      <c r="B230" s="337" t="s">
        <v>320</v>
      </c>
      <c r="C230" s="1201">
        <f>'IMF Data'!C94</f>
        <v>27.202804216129017</v>
      </c>
      <c r="D230" s="1202">
        <f>'IMF Data'!D94</f>
        <v>28.685419264779085</v>
      </c>
      <c r="E230" s="1202">
        <f>'IMF Data'!E94</f>
        <v>28.670647506433184</v>
      </c>
      <c r="F230" s="1202">
        <f>'IMF Data'!F94</f>
        <v>28.991514021863413</v>
      </c>
      <c r="G230" s="1202">
        <f>'IMF Data'!G94</f>
        <v>26.672933792976195</v>
      </c>
      <c r="H230" s="1202">
        <f>'IMF Data'!H94</f>
        <v>28.168148345810973</v>
      </c>
      <c r="I230" s="1202">
        <f>'IMF Data'!I94</f>
        <v>27.785370193542821</v>
      </c>
      <c r="J230" s="1202">
        <f>'IMF Data'!J94</f>
        <v>28.097375064699346</v>
      </c>
      <c r="K230" s="1202">
        <f>'IMF Data'!K94</f>
        <v>28.127721801650981</v>
      </c>
      <c r="L230" s="1202">
        <f>'IMF Data'!L94</f>
        <v>28.25170695547374</v>
      </c>
      <c r="M230" s="1202">
        <f>'IMF Data'!M94</f>
        <v>28.464789194191745</v>
      </c>
      <c r="N230" s="1202">
        <f>'IMF Data'!N94</f>
        <v>28.414913649480791</v>
      </c>
      <c r="O230" s="1202">
        <f>'IMF Data'!O94</f>
        <v>28.246161487448997</v>
      </c>
      <c r="P230" s="1202">
        <f>'IMF Data'!P94</f>
        <v>28.132346678303101</v>
      </c>
      <c r="Q230" s="1202">
        <f>'IMF Data'!Q94</f>
        <v>27.997962335889035</v>
      </c>
      <c r="R230" s="1203">
        <f>'IMF Data'!R94</f>
        <v>27.857958701276576</v>
      </c>
      <c r="S230" s="93" t="s">
        <v>325</v>
      </c>
    </row>
    <row r="231" spans="2:19" s="231" customFormat="1" ht="15">
      <c r="B231" s="946" t="s">
        <v>321</v>
      </c>
      <c r="C231" s="1204">
        <f>'IMF Data'!C96</f>
        <v>7.9310183277210689</v>
      </c>
      <c r="D231" s="1205">
        <f>'IMF Data'!D96</f>
        <v>8.5547566627149685</v>
      </c>
      <c r="E231" s="1205">
        <f>'IMF Data'!E96</f>
        <v>6.8753120393816696</v>
      </c>
      <c r="F231" s="1205">
        <f>'IMF Data'!F96</f>
        <v>6.03371765570982</v>
      </c>
      <c r="G231" s="1205">
        <f>'IMF Data'!G96</f>
        <v>3.648118746566698</v>
      </c>
      <c r="H231" s="1205">
        <f>'IMF Data'!H96</f>
        <v>3.4892783932108151</v>
      </c>
      <c r="I231" s="1205">
        <f>'IMF Data'!I96</f>
        <v>3.4395311241044735</v>
      </c>
      <c r="J231" s="1205">
        <f>'IMF Data'!J96</f>
        <v>3.3877434113585845</v>
      </c>
      <c r="K231" s="1205">
        <f>'IMF Data'!K96</f>
        <v>3.1167160262428126</v>
      </c>
      <c r="L231" s="1205">
        <f>'IMF Data'!L96</f>
        <v>2.9153720163410273</v>
      </c>
      <c r="M231" s="1205">
        <f>'IMF Data'!M96</f>
        <v>2.7790301051572461</v>
      </c>
      <c r="N231" s="1205">
        <f>'IMF Data'!N96</f>
        <v>2.7109438675808932</v>
      </c>
      <c r="O231" s="1205">
        <f>'IMF Data'!O96</f>
        <v>2.5847494305450027</v>
      </c>
      <c r="P231" s="1205">
        <f>'IMF Data'!P96</f>
        <v>2.4156680465459015</v>
      </c>
      <c r="Q231" s="1205">
        <f>'IMF Data'!Q96</f>
        <v>2.2215449623254733</v>
      </c>
      <c r="R231" s="1206">
        <f>'IMF Data'!R96</f>
        <v>2.0174405189118207</v>
      </c>
      <c r="S231" s="232"/>
    </row>
    <row r="232" spans="2:19" s="231" customFormat="1" ht="15">
      <c r="B232" s="946" t="s">
        <v>322</v>
      </c>
      <c r="C232" s="1204">
        <f>'IMF Data'!C99</f>
        <v>18.82029052430844</v>
      </c>
      <c r="D232" s="1205">
        <f>'IMF Data'!D99</f>
        <v>19.320102846761401</v>
      </c>
      <c r="E232" s="1205">
        <f>'IMF Data'!E99</f>
        <v>21.26968020366974</v>
      </c>
      <c r="F232" s="1205">
        <f>'IMF Data'!F99</f>
        <v>22.324815930636117</v>
      </c>
      <c r="G232" s="1205">
        <f>'IMF Data'!G99</f>
        <v>22.631662414548096</v>
      </c>
      <c r="H232" s="1205">
        <f>'IMF Data'!H99</f>
        <v>24.401220286304767</v>
      </c>
      <c r="I232" s="1205">
        <f>'IMF Data'!I99</f>
        <v>24.138177231325528</v>
      </c>
      <c r="J232" s="1205">
        <f>'IMF Data'!J99</f>
        <v>24.506123051990194</v>
      </c>
      <c r="K232" s="1205">
        <f>'IMF Data'!K99</f>
        <v>24.815637518111629</v>
      </c>
      <c r="L232" s="1205">
        <f>'IMF Data'!L99</f>
        <v>25.152688777273966</v>
      </c>
      <c r="M232" s="1205">
        <f>'IMF Data'!M99</f>
        <v>25.516804620124457</v>
      </c>
      <c r="N232" s="1205">
        <f>'IMF Data'!N99</f>
        <v>25.551910759880855</v>
      </c>
      <c r="O232" s="1205">
        <f>'IMF Data'!O99</f>
        <v>25.524558937086859</v>
      </c>
      <c r="P232" s="1205">
        <f>'IMF Data'!P99</f>
        <v>25.593510823921775</v>
      </c>
      <c r="Q232" s="1205">
        <f>'IMF Data'!Q99</f>
        <v>25.665566346511682</v>
      </c>
      <c r="R232" s="1206">
        <f>'IMF Data'!R99</f>
        <v>25.740752258018059</v>
      </c>
      <c r="S232" s="232"/>
    </row>
    <row r="233" spans="2:19" s="231" customFormat="1" ht="15">
      <c r="B233" s="947" t="s">
        <v>40</v>
      </c>
      <c r="C233" s="1204">
        <f>C232-C234</f>
        <v>16.00097663816582</v>
      </c>
      <c r="D233" s="1205">
        <f t="shared" ref="D233:R233" si="46">D232-D234</f>
        <v>16.622684793151755</v>
      </c>
      <c r="E233" s="1205">
        <f t="shared" si="46"/>
        <v>17.920158000593815</v>
      </c>
      <c r="F233" s="1205">
        <f t="shared" si="46"/>
        <v>18.252596903244225</v>
      </c>
      <c r="G233" s="1205">
        <f t="shared" si="46"/>
        <v>17.98619021230845</v>
      </c>
      <c r="H233" s="1205">
        <f t="shared" si="46"/>
        <v>20.472284679683273</v>
      </c>
      <c r="I233" s="1205">
        <f t="shared" si="46"/>
        <v>20.506199830102666</v>
      </c>
      <c r="J233" s="1205">
        <f t="shared" si="46"/>
        <v>20.899750767668486</v>
      </c>
      <c r="K233" s="1205">
        <f t="shared" si="46"/>
        <v>21.298621229153166</v>
      </c>
      <c r="L233" s="1205">
        <f t="shared" si="46"/>
        <v>21.717694391889161</v>
      </c>
      <c r="M233" s="1205">
        <f t="shared" si="46"/>
        <v>22.148742810085597</v>
      </c>
      <c r="N233" s="1205">
        <f t="shared" si="46"/>
        <v>22.180211460501461</v>
      </c>
      <c r="O233" s="1205">
        <f t="shared" si="46"/>
        <v>22.211837454169395</v>
      </c>
      <c r="P233" s="1205">
        <f t="shared" si="46"/>
        <v>22.338973948714511</v>
      </c>
      <c r="Q233" s="1205">
        <f t="shared" si="46"/>
        <v>22.468653173150535</v>
      </c>
      <c r="R233" s="1206">
        <f t="shared" si="46"/>
        <v>22.600925982075275</v>
      </c>
      <c r="S233" s="232"/>
    </row>
    <row r="234" spans="2:19" s="231" customFormat="1" ht="15">
      <c r="B234" s="947" t="s">
        <v>41</v>
      </c>
      <c r="C234" s="1204">
        <f>'IMF Data'!C106</f>
        <v>2.8193138861426199</v>
      </c>
      <c r="D234" s="1205">
        <f>'IMF Data'!D106</f>
        <v>2.6974180536096437</v>
      </c>
      <c r="E234" s="1205">
        <f>'IMF Data'!E106</f>
        <v>3.3495222030759262</v>
      </c>
      <c r="F234" s="1205">
        <f>'IMF Data'!F106</f>
        <v>4.0722190273918919</v>
      </c>
      <c r="G234" s="1205">
        <f>'IMF Data'!G106</f>
        <v>4.6454722022396435</v>
      </c>
      <c r="H234" s="1205">
        <f>'IMF Data'!H106</f>
        <v>3.928935606621494</v>
      </c>
      <c r="I234" s="1205">
        <f>'IMF Data'!I106</f>
        <v>3.6319774012228603</v>
      </c>
      <c r="J234" s="1205">
        <f>'IMF Data'!J106</f>
        <v>3.606372284321707</v>
      </c>
      <c r="K234" s="1205">
        <f>'IMF Data'!K106</f>
        <v>3.5170162889584629</v>
      </c>
      <c r="L234" s="1205">
        <f>'IMF Data'!L106</f>
        <v>3.4349943853848064</v>
      </c>
      <c r="M234" s="1205">
        <f>'IMF Data'!M106</f>
        <v>3.36806181003886</v>
      </c>
      <c r="N234" s="1205">
        <f>'IMF Data'!N106</f>
        <v>3.3716992993793946</v>
      </c>
      <c r="O234" s="1205">
        <f>'IMF Data'!O106</f>
        <v>3.3127214829174654</v>
      </c>
      <c r="P234" s="1205">
        <f>'IMF Data'!P106</f>
        <v>3.2545368752072652</v>
      </c>
      <c r="Q234" s="1205">
        <f>'IMF Data'!Q106</f>
        <v>3.1969131733611476</v>
      </c>
      <c r="R234" s="1206">
        <f>'IMF Data'!R106</f>
        <v>3.139826275942784</v>
      </c>
      <c r="S234" s="232"/>
    </row>
    <row r="235" spans="2:19" s="231" customFormat="1" ht="15">
      <c r="B235" s="958" t="s">
        <v>34</v>
      </c>
      <c r="C235" s="1207">
        <f>'IMF Data'!C110</f>
        <v>0.45149536409950913</v>
      </c>
      <c r="D235" s="1208">
        <f>'IMF Data'!D110</f>
        <v>0.81055975530271529</v>
      </c>
      <c r="E235" s="1208">
        <f>'IMF Data'!E110</f>
        <v>0.52565526338177626</v>
      </c>
      <c r="F235" s="1208">
        <f>'IMF Data'!F110</f>
        <v>0.63298043551747496</v>
      </c>
      <c r="G235" s="1208">
        <f>'IMF Data'!G110</f>
        <v>0.39315263186140287</v>
      </c>
      <c r="H235" s="1208">
        <f>'IMF Data'!H110</f>
        <v>0.27764966629539017</v>
      </c>
      <c r="I235" s="1208">
        <f>'IMF Data'!I110</f>
        <v>0.20766183811281783</v>
      </c>
      <c r="J235" s="1208">
        <f>'IMF Data'!J110</f>
        <v>0.20350860135056151</v>
      </c>
      <c r="K235" s="1208">
        <f>'IMF Data'!K110</f>
        <v>0.19536825729653901</v>
      </c>
      <c r="L235" s="1208">
        <f>'IMF Data'!L110</f>
        <v>0.18364616185874666</v>
      </c>
      <c r="M235" s="1208">
        <f>'IMF Data'!M110</f>
        <v>0.1689544689100469</v>
      </c>
      <c r="N235" s="1208">
        <f>'IMF Data'!N110</f>
        <v>0.15205902201904223</v>
      </c>
      <c r="O235" s="1208">
        <f>'IMF Data'!O110</f>
        <v>0.13685311981713799</v>
      </c>
      <c r="P235" s="1208">
        <f>'IMF Data'!P110</f>
        <v>0.12316780783542419</v>
      </c>
      <c r="Q235" s="1208">
        <f>'IMF Data'!Q110</f>
        <v>0.11085102705188178</v>
      </c>
      <c r="R235" s="1209">
        <f>'IMF Data'!R110</f>
        <v>9.9765924346693624E-2</v>
      </c>
      <c r="S235" s="232"/>
    </row>
    <row r="236" spans="2:19" s="61" customFormat="1" ht="15">
      <c r="B236" s="95" t="s">
        <v>207</v>
      </c>
      <c r="C236" s="948">
        <f>C231+C232+C235</f>
        <v>27.202804216129017</v>
      </c>
      <c r="D236" s="949">
        <f t="shared" ref="D236:R236" si="47">D231+D232+D235</f>
        <v>28.685419264779085</v>
      </c>
      <c r="E236" s="1210">
        <f t="shared" si="47"/>
        <v>28.670647506433184</v>
      </c>
      <c r="F236" s="949">
        <f t="shared" si="47"/>
        <v>28.991514021863409</v>
      </c>
      <c r="G236" s="949">
        <f t="shared" si="47"/>
        <v>26.672933792976195</v>
      </c>
      <c r="H236" s="949">
        <f t="shared" si="47"/>
        <v>28.16814834581097</v>
      </c>
      <c r="I236" s="949">
        <f t="shared" si="47"/>
        <v>27.785370193542818</v>
      </c>
      <c r="J236" s="949">
        <f t="shared" si="47"/>
        <v>28.097375064699339</v>
      </c>
      <c r="K236" s="949">
        <f t="shared" si="47"/>
        <v>28.127721801650981</v>
      </c>
      <c r="L236" s="949">
        <f t="shared" si="47"/>
        <v>28.25170695547374</v>
      </c>
      <c r="M236" s="999">
        <f t="shared" si="47"/>
        <v>28.464789194191752</v>
      </c>
      <c r="N236" s="949">
        <f t="shared" si="47"/>
        <v>28.414913649480791</v>
      </c>
      <c r="O236" s="949">
        <f t="shared" si="47"/>
        <v>28.246161487449001</v>
      </c>
      <c r="P236" s="999">
        <f t="shared" si="47"/>
        <v>28.132346678303104</v>
      </c>
      <c r="Q236" s="949">
        <f t="shared" si="47"/>
        <v>27.997962335889039</v>
      </c>
      <c r="R236" s="949">
        <f t="shared" si="47"/>
        <v>27.857958701276576</v>
      </c>
      <c r="S236" s="401"/>
    </row>
    <row r="237" spans="2:19" s="61" customFormat="1">
      <c r="B237" s="299"/>
      <c r="C237" s="56"/>
      <c r="D237" s="56"/>
      <c r="E237" s="56"/>
      <c r="F237" s="56"/>
      <c r="G237" s="56"/>
      <c r="H237" s="56"/>
      <c r="I237" s="56"/>
      <c r="J237" s="56"/>
      <c r="K237" s="56"/>
      <c r="L237" s="56"/>
      <c r="M237" s="56"/>
      <c r="N237" s="56"/>
      <c r="O237" s="56"/>
      <c r="P237" s="56"/>
      <c r="Q237" s="56"/>
      <c r="R237" s="56"/>
      <c r="S237" s="71"/>
    </row>
    <row r="238" spans="2:19" s="61" customFormat="1">
      <c r="B238" s="644"/>
      <c r="C238" s="1517" t="s">
        <v>730</v>
      </c>
      <c r="D238" s="1518"/>
      <c r="E238" s="1518"/>
      <c r="F238" s="1518"/>
      <c r="G238" s="1518"/>
      <c r="H238" s="1518"/>
      <c r="I238" s="1517" t="s">
        <v>734</v>
      </c>
      <c r="J238" s="1518"/>
      <c r="K238" s="1518"/>
      <c r="L238" s="1518"/>
      <c r="M238" s="1518"/>
      <c r="N238" s="1518"/>
      <c r="O238" s="1518"/>
      <c r="P238" s="1518"/>
      <c r="Q238" s="1518"/>
      <c r="R238" s="1519"/>
      <c r="S238" s="1520" t="s">
        <v>744</v>
      </c>
    </row>
    <row r="239" spans="2:19" s="61" customFormat="1">
      <c r="B239" s="651"/>
      <c r="C239" s="646">
        <v>2005</v>
      </c>
      <c r="D239" s="647">
        <v>2006</v>
      </c>
      <c r="E239" s="647">
        <v>2007</v>
      </c>
      <c r="F239" s="647">
        <v>2008</v>
      </c>
      <c r="G239" s="647">
        <v>2009</v>
      </c>
      <c r="H239" s="647">
        <v>2010</v>
      </c>
      <c r="I239" s="646">
        <v>2011</v>
      </c>
      <c r="J239" s="647">
        <v>2012</v>
      </c>
      <c r="K239" s="647">
        <v>2013</v>
      </c>
      <c r="L239" s="647">
        <v>2014</v>
      </c>
      <c r="M239" s="647">
        <v>2015</v>
      </c>
      <c r="N239" s="647">
        <v>2016</v>
      </c>
      <c r="O239" s="647">
        <v>2017</v>
      </c>
      <c r="P239" s="647">
        <v>2018</v>
      </c>
      <c r="Q239" s="647">
        <v>2019</v>
      </c>
      <c r="R239" s="648">
        <v>2020</v>
      </c>
      <c r="S239" s="1521"/>
    </row>
    <row r="240" spans="2:19" s="61" customFormat="1" ht="26.25">
      <c r="B240" s="365" t="s">
        <v>764</v>
      </c>
      <c r="C240" s="667"/>
      <c r="D240" s="667"/>
      <c r="E240" s="667"/>
      <c r="F240" s="667"/>
      <c r="G240" s="667"/>
      <c r="H240" s="667"/>
      <c r="I240" s="667"/>
      <c r="J240" s="667"/>
      <c r="K240" s="667"/>
      <c r="L240" s="667"/>
      <c r="M240" s="667"/>
      <c r="N240" s="667"/>
      <c r="O240" s="667"/>
      <c r="P240" s="667"/>
      <c r="Q240" s="667"/>
      <c r="R240" s="667"/>
      <c r="S240" s="93" t="s">
        <v>437</v>
      </c>
    </row>
    <row r="241" spans="2:19" s="61" customFormat="1" ht="12.75">
      <c r="B241" s="303"/>
      <c r="C241" s="97"/>
      <c r="D241" s="97"/>
      <c r="E241" s="97"/>
      <c r="F241" s="97"/>
      <c r="G241" s="97"/>
      <c r="H241" s="97"/>
      <c r="I241" s="97"/>
      <c r="J241" s="97"/>
      <c r="K241" s="97"/>
      <c r="L241" s="97"/>
      <c r="M241" s="97"/>
      <c r="N241" s="62"/>
      <c r="O241" s="62"/>
      <c r="P241" s="62"/>
      <c r="Q241" s="62"/>
      <c r="R241" s="62"/>
      <c r="S241" s="74"/>
    </row>
    <row r="242" spans="2:19" s="61" customFormat="1" ht="15">
      <c r="B242" s="944" t="s">
        <v>317</v>
      </c>
      <c r="C242" s="945">
        <f>C243+C247</f>
        <v>27.298489298570797</v>
      </c>
      <c r="D242" s="945">
        <f t="shared" ref="D242:R242" si="48">D243+D247</f>
        <v>27.549999230188909</v>
      </c>
      <c r="E242" s="945">
        <f t="shared" si="48"/>
        <v>29.388446637026277</v>
      </c>
      <c r="F242" s="945">
        <f t="shared" si="48"/>
        <v>27.732084970216249</v>
      </c>
      <c r="G242" s="945">
        <f t="shared" si="48"/>
        <v>31.798450182677286</v>
      </c>
      <c r="H242" s="945">
        <f t="shared" si="48"/>
        <v>30.047246886487116</v>
      </c>
      <c r="I242" s="945">
        <f t="shared" si="48"/>
        <v>28.95481282664786</v>
      </c>
      <c r="J242" s="945">
        <f t="shared" si="48"/>
        <v>29.160725080936345</v>
      </c>
      <c r="K242" s="945">
        <f t="shared" si="48"/>
        <v>29.052436582033891</v>
      </c>
      <c r="L242" s="945">
        <f t="shared" si="48"/>
        <v>29.014348890343847</v>
      </c>
      <c r="M242" s="945">
        <f t="shared" si="48"/>
        <v>28.933292346088088</v>
      </c>
      <c r="N242" s="945">
        <f t="shared" si="48"/>
        <v>28.809832103207572</v>
      </c>
      <c r="O242" s="945">
        <f t="shared" si="48"/>
        <v>28.757133986026425</v>
      </c>
      <c r="P242" s="945">
        <f t="shared" si="48"/>
        <v>28.654454741234634</v>
      </c>
      <c r="Q242" s="945">
        <f t="shared" si="48"/>
        <v>28.558173255571116</v>
      </c>
      <c r="R242" s="945">
        <f t="shared" si="48"/>
        <v>28.451290348055892</v>
      </c>
      <c r="S242" s="74"/>
    </row>
    <row r="243" spans="2:19" s="61" customFormat="1" ht="26.25">
      <c r="B243" s="717" t="s">
        <v>209</v>
      </c>
      <c r="C243" s="938">
        <f>C244+C245</f>
        <v>17.861175669297367</v>
      </c>
      <c r="D243" s="938">
        <f t="shared" ref="D243:R243" si="49">D244+D245</f>
        <v>18.482548382626902</v>
      </c>
      <c r="E243" s="938">
        <f t="shared" si="49"/>
        <v>20.268913627443052</v>
      </c>
      <c r="F243" s="938">
        <f t="shared" si="49"/>
        <v>19.687711694919592</v>
      </c>
      <c r="G243" s="938">
        <f t="shared" si="49"/>
        <v>20.92880500292754</v>
      </c>
      <c r="H243" s="938">
        <f t="shared" si="49"/>
        <v>21.053921786391889</v>
      </c>
      <c r="I243" s="938">
        <f t="shared" si="49"/>
        <v>21.82590668876545</v>
      </c>
      <c r="J243" s="938">
        <f t="shared" si="49"/>
        <v>22.031818943053931</v>
      </c>
      <c r="K243" s="938">
        <f t="shared" si="49"/>
        <v>21.923530444151481</v>
      </c>
      <c r="L243" s="938">
        <f t="shared" si="49"/>
        <v>21.885442752461437</v>
      </c>
      <c r="M243" s="938">
        <f t="shared" si="49"/>
        <v>21.804386208205678</v>
      </c>
      <c r="N243" s="938">
        <f t="shared" si="49"/>
        <v>21.752215026703986</v>
      </c>
      <c r="O243" s="938">
        <f t="shared" si="49"/>
        <v>21.770093080287872</v>
      </c>
      <c r="P243" s="938">
        <f t="shared" si="49"/>
        <v>21.807154653610855</v>
      </c>
      <c r="Q243" s="938">
        <f t="shared" si="49"/>
        <v>21.847819169699811</v>
      </c>
      <c r="R243" s="938">
        <f t="shared" si="49"/>
        <v>21.87514334390201</v>
      </c>
      <c r="S243" s="93" t="s">
        <v>313</v>
      </c>
    </row>
    <row r="244" spans="2:19" s="61" customFormat="1" ht="15">
      <c r="B244" s="942" t="s">
        <v>45</v>
      </c>
      <c r="C244" s="938">
        <f>'IMF Data'!C113-'IMF Data'!C114</f>
        <v>17.072220587296087</v>
      </c>
      <c r="D244" s="938">
        <f>'IMF Data'!D113-'IMF Data'!D114</f>
        <v>17.665009006789731</v>
      </c>
      <c r="E244" s="938">
        <f>'IMF Data'!E113-'IMF Data'!E114</f>
        <v>19.161994859243901</v>
      </c>
      <c r="F244" s="938">
        <f>'IMF Data'!F113-'IMF Data'!F114</f>
        <v>18.561141196386895</v>
      </c>
      <c r="G244" s="938">
        <f>'IMF Data'!G113-'IMF Data'!G114</f>
        <v>19.488853338993444</v>
      </c>
      <c r="H244" s="938">
        <f>'IMF Data'!H113-'IMF Data'!H114</f>
        <v>19.772694780832435</v>
      </c>
      <c r="I244" s="938">
        <f>'IMF Data'!I113-'IMF Data'!I114</f>
        <v>20.340709222582575</v>
      </c>
      <c r="J244" s="938">
        <f>'IMF Data'!J113-'IMF Data'!J114</f>
        <v>20.340709222582582</v>
      </c>
      <c r="K244" s="938">
        <f>'IMF Data'!K113-'IMF Data'!K114</f>
        <v>20.340709222582582</v>
      </c>
      <c r="L244" s="938">
        <f>'IMF Data'!L113-'IMF Data'!L114</f>
        <v>20.340709222582579</v>
      </c>
      <c r="M244" s="938">
        <f>'IMF Data'!M113-'IMF Data'!M114</f>
        <v>20.340709222582579</v>
      </c>
      <c r="N244" s="938">
        <f>'IMF Data'!N113-'IMF Data'!N114</f>
        <v>20.340709222582575</v>
      </c>
      <c r="O244" s="938">
        <f>'IMF Data'!O113-'IMF Data'!O114</f>
        <v>20.340709222582575</v>
      </c>
      <c r="P244" s="938">
        <f>'IMF Data'!P113-'IMF Data'!P114</f>
        <v>20.340709222582575</v>
      </c>
      <c r="Q244" s="938">
        <f>'IMF Data'!Q113-'IMF Data'!Q114</f>
        <v>20.340709222582571</v>
      </c>
      <c r="R244" s="938">
        <f>'IMF Data'!R113-'IMF Data'!R114</f>
        <v>20.340709222582575</v>
      </c>
      <c r="S244" s="93"/>
    </row>
    <row r="245" spans="2:19" s="61" customFormat="1" ht="26.25">
      <c r="B245" s="305" t="s">
        <v>210</v>
      </c>
      <c r="C245" s="939">
        <f>'IMF Data'!C114</f>
        <v>0.78895508200128006</v>
      </c>
      <c r="D245" s="939">
        <f>'IMF Data'!D114</f>
        <v>0.81753937583716951</v>
      </c>
      <c r="E245" s="939">
        <f>'IMF Data'!E114</f>
        <v>1.1069187681991497</v>
      </c>
      <c r="F245" s="939">
        <f>'IMF Data'!F114</f>
        <v>1.1265704985326974</v>
      </c>
      <c r="G245" s="939">
        <f>'IMF Data'!G114</f>
        <v>1.439951663934095</v>
      </c>
      <c r="H245" s="939">
        <f>'IMF Data'!H114</f>
        <v>1.281227005559455</v>
      </c>
      <c r="I245" s="939">
        <f>'IMF Data'!I114</f>
        <v>1.4851974661828731</v>
      </c>
      <c r="J245" s="939">
        <f>'IMF Data'!J114</f>
        <v>1.6911097204713497</v>
      </c>
      <c r="K245" s="939">
        <f>'IMF Data'!K114</f>
        <v>1.5828212215688988</v>
      </c>
      <c r="L245" s="939">
        <f>'IMF Data'!L114</f>
        <v>1.5447335298788596</v>
      </c>
      <c r="M245" s="939">
        <f>'IMF Data'!M114</f>
        <v>1.4636769856230982</v>
      </c>
      <c r="N245" s="939">
        <f>'IMF Data'!N114</f>
        <v>1.4115058041214095</v>
      </c>
      <c r="O245" s="939">
        <f>'IMF Data'!O114</f>
        <v>1.4293838577052949</v>
      </c>
      <c r="P245" s="939">
        <f>'IMF Data'!P114</f>
        <v>1.4664454310282813</v>
      </c>
      <c r="Q245" s="939">
        <f>'IMF Data'!Q114</f>
        <v>1.5071099471172387</v>
      </c>
      <c r="R245" s="939">
        <f>'IMF Data'!R114</f>
        <v>1.5344341213194355</v>
      </c>
      <c r="S245" s="93" t="s">
        <v>313</v>
      </c>
    </row>
    <row r="246" spans="2:19" s="61" customFormat="1" ht="9" customHeight="1">
      <c r="B246" s="304"/>
      <c r="C246" s="943"/>
      <c r="D246" s="943"/>
      <c r="E246" s="943"/>
      <c r="F246" s="943"/>
      <c r="G246" s="943"/>
      <c r="H246" s="943"/>
      <c r="I246" s="943"/>
      <c r="J246" s="943"/>
      <c r="K246" s="943"/>
      <c r="L246" s="943"/>
      <c r="M246" s="943"/>
      <c r="N246" s="943"/>
      <c r="O246" s="943"/>
      <c r="P246" s="943"/>
      <c r="Q246" s="943"/>
      <c r="R246" s="943"/>
      <c r="S246" s="74"/>
    </row>
    <row r="247" spans="2:19" s="61" customFormat="1" ht="26.25">
      <c r="B247" s="942" t="s">
        <v>318</v>
      </c>
      <c r="C247" s="940">
        <f>'IMF Data'!C115</f>
        <v>9.4373136292734294</v>
      </c>
      <c r="D247" s="940">
        <f>'IMF Data'!D115</f>
        <v>9.0674508475620073</v>
      </c>
      <c r="E247" s="940">
        <f>'IMF Data'!E115</f>
        <v>9.1195330095832237</v>
      </c>
      <c r="F247" s="940">
        <f>'IMF Data'!F115</f>
        <v>8.0443732752966586</v>
      </c>
      <c r="G247" s="940">
        <f>'IMF Data'!G115</f>
        <v>10.869645179749744</v>
      </c>
      <c r="H247" s="940">
        <f>'IMF Data'!H115</f>
        <v>8.9933251000952286</v>
      </c>
      <c r="I247" s="940">
        <f>'IMF Data'!I115</f>
        <v>7.1289061378824119</v>
      </c>
      <c r="J247" s="940">
        <f>'IMF Data'!J115</f>
        <v>7.1289061378824119</v>
      </c>
      <c r="K247" s="940">
        <f>'IMF Data'!K115</f>
        <v>7.1289061378824119</v>
      </c>
      <c r="L247" s="940">
        <f>'IMF Data'!L115</f>
        <v>7.1289061378824119</v>
      </c>
      <c r="M247" s="940">
        <f>'IMF Data'!M115</f>
        <v>7.128906137882411</v>
      </c>
      <c r="N247" s="940">
        <f>'IMF Data'!N115</f>
        <v>7.0576170765035862</v>
      </c>
      <c r="O247" s="940">
        <f>'IMF Data'!O115</f>
        <v>6.9870409057385512</v>
      </c>
      <c r="P247" s="940">
        <f>'IMF Data'!P115</f>
        <v>6.84730008762378</v>
      </c>
      <c r="Q247" s="940">
        <f>'IMF Data'!Q115</f>
        <v>6.7103540858713053</v>
      </c>
      <c r="R247" s="940">
        <f>'IMF Data'!R115</f>
        <v>6.5761470041538796</v>
      </c>
      <c r="S247" s="93" t="s">
        <v>313</v>
      </c>
    </row>
    <row r="248" spans="2:19" s="1214" customFormat="1" ht="7.5" customHeight="1">
      <c r="B248" s="1211"/>
      <c r="C248" s="1212"/>
      <c r="D248" s="1212"/>
      <c r="E248" s="1212"/>
      <c r="F248" s="1212"/>
      <c r="G248" s="1212"/>
      <c r="H248" s="1212"/>
      <c r="I248" s="1212"/>
      <c r="J248" s="1212"/>
      <c r="K248" s="1212"/>
      <c r="L248" s="1212"/>
      <c r="M248" s="1212"/>
      <c r="N248" s="1212"/>
      <c r="O248" s="1212"/>
      <c r="P248" s="1212"/>
      <c r="Q248" s="1212"/>
      <c r="R248" s="1212"/>
      <c r="S248" s="1213"/>
    </row>
    <row r="249" spans="2:19" s="61" customFormat="1" ht="26.25">
      <c r="B249" s="203" t="s">
        <v>314</v>
      </c>
      <c r="C249" s="941">
        <f t="shared" ref="C249:R249" si="50">C250+C251+C252</f>
        <v>3.1953193206922927</v>
      </c>
      <c r="D249" s="941">
        <f t="shared" si="50"/>
        <v>1.3400871426152021</v>
      </c>
      <c r="E249" s="941">
        <f t="shared" si="50"/>
        <v>1.8195960888619673</v>
      </c>
      <c r="F249" s="941">
        <f t="shared" si="50"/>
        <v>2.4548045558430154</v>
      </c>
      <c r="G249" s="941">
        <f t="shared" si="50"/>
        <v>3.8671143531463366</v>
      </c>
      <c r="H249" s="941">
        <f t="shared" si="50"/>
        <v>4.5348772404813618</v>
      </c>
      <c r="I249" s="941">
        <f t="shared" si="50"/>
        <v>2.7677169783676359</v>
      </c>
      <c r="J249" s="941">
        <f t="shared" si="50"/>
        <v>2.69367307337013</v>
      </c>
      <c r="K249" s="941">
        <f t="shared" si="50"/>
        <v>2.6397996119027267</v>
      </c>
      <c r="L249" s="941">
        <f t="shared" si="50"/>
        <v>2.5870036196646722</v>
      </c>
      <c r="M249" s="941">
        <f t="shared" si="50"/>
        <v>2.5695926447847262</v>
      </c>
      <c r="N249" s="941">
        <f t="shared" si="50"/>
        <v>2.543896718336879</v>
      </c>
      <c r="O249" s="941">
        <f t="shared" si="50"/>
        <v>2.5184577511535107</v>
      </c>
      <c r="P249" s="941">
        <f t="shared" si="50"/>
        <v>2.46808859613044</v>
      </c>
      <c r="Q249" s="941">
        <f t="shared" si="50"/>
        <v>2.4187268242078312</v>
      </c>
      <c r="R249" s="941">
        <f t="shared" si="50"/>
        <v>2.382445921844714</v>
      </c>
      <c r="S249" s="93" t="s">
        <v>313</v>
      </c>
    </row>
    <row r="250" spans="2:19" s="61" customFormat="1" ht="15">
      <c r="B250" s="304" t="s">
        <v>315</v>
      </c>
      <c r="C250" s="939">
        <f>'IMF Data'!C120</f>
        <v>1.2240064344233723</v>
      </c>
      <c r="D250" s="939">
        <f>'IMF Data'!D120</f>
        <v>0.86146992861285165</v>
      </c>
      <c r="E250" s="939">
        <f>'IMF Data'!E120</f>
        <v>1.4562189640092289</v>
      </c>
      <c r="F250" s="939">
        <f>'IMF Data'!F120</f>
        <v>1.8181352935076409</v>
      </c>
      <c r="G250" s="939">
        <f>'IMF Data'!G120</f>
        <v>2.7737762370589771</v>
      </c>
      <c r="H250" s="939">
        <f>'IMF Data'!H120</f>
        <v>2.8269784204621544</v>
      </c>
      <c r="I250" s="939">
        <f>'IMF Data'!I120</f>
        <v>1.8689565430153603</v>
      </c>
      <c r="J250" s="939">
        <f>'IMF Data'!J120</f>
        <v>1.8128878467248997</v>
      </c>
      <c r="K250" s="939">
        <f>'IMF Data'!K120</f>
        <v>1.7766300897904015</v>
      </c>
      <c r="L250" s="939">
        <f>'IMF Data'!L120</f>
        <v>1.7410974879945933</v>
      </c>
      <c r="M250" s="939">
        <f>'IMF Data'!M120</f>
        <v>1.7236865131146475</v>
      </c>
      <c r="N250" s="939">
        <f>'IMF Data'!N120</f>
        <v>1.7064496479835012</v>
      </c>
      <c r="O250" s="939">
        <f>'IMF Data'!O120</f>
        <v>1.6893851515036664</v>
      </c>
      <c r="P250" s="939">
        <f>'IMF Data'!P120</f>
        <v>1.6555974484735927</v>
      </c>
      <c r="Q250" s="939">
        <f>'IMF Data'!Q120</f>
        <v>1.6224854995041209</v>
      </c>
      <c r="R250" s="939">
        <f>'IMF Data'!R120</f>
        <v>1.5981482170115593</v>
      </c>
      <c r="S250" s="74"/>
    </row>
    <row r="251" spans="2:19" s="61" customFormat="1" ht="26.25">
      <c r="B251" s="304" t="s">
        <v>211</v>
      </c>
      <c r="C251" s="939">
        <f>'IMF Data'!C121</f>
        <v>1.9713128862689204</v>
      </c>
      <c r="D251" s="939">
        <f>'IMF Data'!D121</f>
        <v>0.47861721400235041</v>
      </c>
      <c r="E251" s="939">
        <f>'IMF Data'!E121</f>
        <v>0.36337712485273832</v>
      </c>
      <c r="F251" s="939">
        <f>'IMF Data'!F121</f>
        <v>0.63666926233537458</v>
      </c>
      <c r="G251" s="939">
        <f>'IMF Data'!G121</f>
        <v>0.49034328194410354</v>
      </c>
      <c r="H251" s="939">
        <f>'IMF Data'!H121</f>
        <v>1.6069353050027018</v>
      </c>
      <c r="I251" s="939">
        <f>'IMF Data'!I121</f>
        <v>0.89876043535227546</v>
      </c>
      <c r="J251" s="939">
        <f>'IMF Data'!J121</f>
        <v>0.88078522664523007</v>
      </c>
      <c r="K251" s="939">
        <f>'IMF Data'!K121</f>
        <v>0.86316952211232545</v>
      </c>
      <c r="L251" s="939">
        <f>'IMF Data'!L121</f>
        <v>0.84590613167007889</v>
      </c>
      <c r="M251" s="939">
        <f>'IMF Data'!M121</f>
        <v>0.84590613167007878</v>
      </c>
      <c r="N251" s="939">
        <f>'IMF Data'!N121</f>
        <v>0.83744707035337806</v>
      </c>
      <c r="O251" s="939">
        <f>'IMF Data'!O121</f>
        <v>0.82907259964984437</v>
      </c>
      <c r="P251" s="939">
        <f>'IMF Data'!P121</f>
        <v>0.81249114765684738</v>
      </c>
      <c r="Q251" s="939">
        <f>'IMF Data'!Q121</f>
        <v>0.79624132470371045</v>
      </c>
      <c r="R251" s="939">
        <f>'IMF Data'!R121</f>
        <v>0.78429770483315486</v>
      </c>
      <c r="S251" s="93" t="s">
        <v>313</v>
      </c>
    </row>
    <row r="252" spans="2:19" s="61" customFormat="1" ht="15">
      <c r="B252" s="304" t="s">
        <v>316</v>
      </c>
      <c r="C252" s="939">
        <f>'IMF Data'!C122</f>
        <v>0</v>
      </c>
      <c r="D252" s="939">
        <f>'IMF Data'!D122</f>
        <v>0</v>
      </c>
      <c r="E252" s="939">
        <f>'IMF Data'!E122</f>
        <v>0</v>
      </c>
      <c r="F252" s="939">
        <f>'IMF Data'!F122</f>
        <v>0</v>
      </c>
      <c r="G252" s="939">
        <f>'IMF Data'!G122</f>
        <v>0.60299483414325594</v>
      </c>
      <c r="H252" s="939">
        <f>'IMF Data'!H122</f>
        <v>0.10096351501650551</v>
      </c>
      <c r="I252" s="939">
        <f>'IMF Data'!I122</f>
        <v>0</v>
      </c>
      <c r="J252" s="939">
        <f>'IMF Data'!J122</f>
        <v>0</v>
      </c>
      <c r="K252" s="939">
        <f>'IMF Data'!K122</f>
        <v>0</v>
      </c>
      <c r="L252" s="939">
        <f>'IMF Data'!L122</f>
        <v>0</v>
      </c>
      <c r="M252" s="939">
        <f>'IMF Data'!M122</f>
        <v>0</v>
      </c>
      <c r="N252" s="939">
        <f>'IMF Data'!N122</f>
        <v>0</v>
      </c>
      <c r="O252" s="939">
        <f>'IMF Data'!O122</f>
        <v>0</v>
      </c>
      <c r="P252" s="939">
        <f>'IMF Data'!P122</f>
        <v>0</v>
      </c>
      <c r="Q252" s="939">
        <f>'IMF Data'!Q122</f>
        <v>0</v>
      </c>
      <c r="R252" s="939">
        <f>'IMF Data'!R122</f>
        <v>0</v>
      </c>
      <c r="S252" s="93"/>
    </row>
    <row r="253" spans="2:19" s="1214" customFormat="1" ht="15">
      <c r="B253" s="1215"/>
      <c r="C253" s="1216"/>
      <c r="D253" s="1216"/>
      <c r="E253" s="1216"/>
      <c r="F253" s="1216"/>
      <c r="G253" s="1216"/>
      <c r="H253" s="1216"/>
      <c r="I253" s="1216"/>
      <c r="J253" s="1216"/>
      <c r="K253" s="1216"/>
      <c r="L253" s="1216"/>
      <c r="M253" s="1216"/>
      <c r="N253" s="1217"/>
      <c r="O253" s="1217"/>
      <c r="P253" s="1217"/>
      <c r="Q253" s="1217"/>
      <c r="R253" s="1217"/>
      <c r="S253" s="1218"/>
    </row>
    <row r="254" spans="2:19" s="61" customFormat="1" ht="15">
      <c r="B254" s="310" t="s">
        <v>319</v>
      </c>
      <c r="C254" s="1219">
        <f>C249+C242</f>
        <v>30.493808619263088</v>
      </c>
      <c r="D254" s="1219">
        <f t="shared" ref="D254:R254" si="51">D249+D242</f>
        <v>28.890086372804113</v>
      </c>
      <c r="E254" s="1219">
        <f t="shared" si="51"/>
        <v>31.208042725888244</v>
      </c>
      <c r="F254" s="1219">
        <f t="shared" si="51"/>
        <v>30.186889526059264</v>
      </c>
      <c r="G254" s="1219">
        <f t="shared" si="51"/>
        <v>35.66556453582362</v>
      </c>
      <c r="H254" s="1219">
        <f t="shared" si="51"/>
        <v>34.58212412696848</v>
      </c>
      <c r="I254" s="1219">
        <f t="shared" si="51"/>
        <v>31.722529805015498</v>
      </c>
      <c r="J254" s="1219">
        <f t="shared" si="51"/>
        <v>31.854398154306473</v>
      </c>
      <c r="K254" s="1219">
        <f t="shared" si="51"/>
        <v>31.692236193936619</v>
      </c>
      <c r="L254" s="1219">
        <f t="shared" si="51"/>
        <v>31.601352510008518</v>
      </c>
      <c r="M254" s="1219">
        <f t="shared" si="51"/>
        <v>31.502884990872815</v>
      </c>
      <c r="N254" s="1219">
        <f t="shared" si="51"/>
        <v>31.353728821544451</v>
      </c>
      <c r="O254" s="1219">
        <f t="shared" si="51"/>
        <v>31.275591737179937</v>
      </c>
      <c r="P254" s="1219">
        <f t="shared" si="51"/>
        <v>31.122543337365073</v>
      </c>
      <c r="Q254" s="1219">
        <f t="shared" si="51"/>
        <v>30.976900079778947</v>
      </c>
      <c r="R254" s="1219">
        <f t="shared" si="51"/>
        <v>30.833736269900605</v>
      </c>
      <c r="S254" s="302"/>
    </row>
    <row r="255" spans="2:19" s="61" customFormat="1" ht="15">
      <c r="B255" s="716" t="s">
        <v>212</v>
      </c>
      <c r="C255" s="939">
        <f>'IMF Data'!C124</f>
        <v>30.493808619263092</v>
      </c>
      <c r="D255" s="939">
        <f>'IMF Data'!D124</f>
        <v>28.89008637280411</v>
      </c>
      <c r="E255" s="939">
        <f>'IMF Data'!E124</f>
        <v>31.208042725888241</v>
      </c>
      <c r="F255" s="939">
        <f>'IMF Data'!F124</f>
        <v>30.186889526059264</v>
      </c>
      <c r="G255" s="939">
        <f>'IMF Data'!G124</f>
        <v>35.66556453582362</v>
      </c>
      <c r="H255" s="939">
        <f>'IMF Data'!H124</f>
        <v>34.58212412696848</v>
      </c>
      <c r="I255" s="939">
        <f>'IMF Data'!I124</f>
        <v>31.722529805015498</v>
      </c>
      <c r="J255" s="939">
        <f>'IMF Data'!J124</f>
        <v>31.854398154306473</v>
      </c>
      <c r="K255" s="939">
        <f>'IMF Data'!K124</f>
        <v>31.692236193936616</v>
      </c>
      <c r="L255" s="939">
        <f>'IMF Data'!L124</f>
        <v>31.601352510008514</v>
      </c>
      <c r="M255" s="939">
        <f>'IMF Data'!M124</f>
        <v>31.502884990872811</v>
      </c>
      <c r="N255" s="939">
        <f>'IMF Data'!N124</f>
        <v>31.353728821544454</v>
      </c>
      <c r="O255" s="939">
        <f>'IMF Data'!O124</f>
        <v>31.275591737179926</v>
      </c>
      <c r="P255" s="939">
        <f>'IMF Data'!P124</f>
        <v>31.122543337365077</v>
      </c>
      <c r="Q255" s="939">
        <f>'IMF Data'!Q124</f>
        <v>30.97690007977895</v>
      </c>
      <c r="R255" s="939">
        <f>'IMF Data'!R124</f>
        <v>30.833736269900605</v>
      </c>
      <c r="S255" s="302"/>
    </row>
    <row r="256" spans="2:19" s="61" customFormat="1" ht="15">
      <c r="B256" s="306" t="s">
        <v>326</v>
      </c>
      <c r="C256" s="969">
        <f>C236-C255</f>
        <v>-3.2910044031340746</v>
      </c>
      <c r="D256" s="969">
        <f t="shared" ref="D256:R256" si="52">D236-D255</f>
        <v>-0.20466710802502419</v>
      </c>
      <c r="E256" s="969">
        <f t="shared" si="52"/>
        <v>-2.5373952194550569</v>
      </c>
      <c r="F256" s="969">
        <f t="shared" si="52"/>
        <v>-1.1953755041958551</v>
      </c>
      <c r="G256" s="969">
        <f t="shared" si="52"/>
        <v>-8.9926307428474246</v>
      </c>
      <c r="H256" s="969">
        <f t="shared" si="52"/>
        <v>-6.4139757811575109</v>
      </c>
      <c r="I256" s="969">
        <f t="shared" si="52"/>
        <v>-3.9371596114726799</v>
      </c>
      <c r="J256" s="969">
        <f t="shared" si="52"/>
        <v>-3.7570230896071344</v>
      </c>
      <c r="K256" s="969">
        <f t="shared" si="52"/>
        <v>-3.5645143922856342</v>
      </c>
      <c r="L256" s="969">
        <f t="shared" si="52"/>
        <v>-3.3496455545347743</v>
      </c>
      <c r="M256" s="969">
        <f t="shared" si="52"/>
        <v>-3.0380957966810591</v>
      </c>
      <c r="N256" s="969">
        <f t="shared" si="52"/>
        <v>-2.9388151720636628</v>
      </c>
      <c r="O256" s="969">
        <f t="shared" si="52"/>
        <v>-3.0294302497309253</v>
      </c>
      <c r="P256" s="969">
        <f t="shared" si="52"/>
        <v>-2.9901966590619722</v>
      </c>
      <c r="Q256" s="969">
        <f t="shared" si="52"/>
        <v>-2.9789377438899116</v>
      </c>
      <c r="R256" s="969">
        <f t="shared" si="52"/>
        <v>-2.9757775686240286</v>
      </c>
      <c r="S256" s="412"/>
    </row>
    <row r="257" spans="2:19" s="61" customFormat="1" ht="15">
      <c r="B257" s="965" t="s">
        <v>329</v>
      </c>
      <c r="C257" s="970">
        <f>'IMF Data'!C162</f>
        <v>-2.5020493211327932</v>
      </c>
      <c r="D257" s="970">
        <f>'IMF Data'!D162</f>
        <v>0.61287226781214554</v>
      </c>
      <c r="E257" s="970">
        <f>'IMF Data'!E162</f>
        <v>-1.4304764512559085</v>
      </c>
      <c r="F257" s="970">
        <f>'IMF Data'!F162</f>
        <v>-6.8805005663155949E-2</v>
      </c>
      <c r="G257" s="970">
        <f>'IMF Data'!G162</f>
        <v>-7.5526790789133331</v>
      </c>
      <c r="H257" s="970">
        <f>'IMF Data'!H162</f>
        <v>-5.1327487755980563</v>
      </c>
      <c r="I257" s="970">
        <f>'IMF Data'!I162</f>
        <v>-2.4519621452898059</v>
      </c>
      <c r="J257" s="970">
        <f>'IMF Data'!J162</f>
        <v>-2.0659133691357798</v>
      </c>
      <c r="K257" s="970">
        <f>'IMF Data'!K162</f>
        <v>-1.9816931707167371</v>
      </c>
      <c r="L257" s="970">
        <f>'IMF Data'!L162</f>
        <v>-1.8049120246559205</v>
      </c>
      <c r="M257" s="970">
        <f>'IMF Data'!M162</f>
        <v>-1.574418811057968</v>
      </c>
      <c r="N257" s="970">
        <f>'IMF Data'!N162</f>
        <v>-1.5273093679422534</v>
      </c>
      <c r="O257" s="970">
        <f>'IMF Data'!O162</f>
        <v>-1.600046392025634</v>
      </c>
      <c r="P257" s="970">
        <f>'IMF Data'!P162</f>
        <v>-1.5237512280336909</v>
      </c>
      <c r="Q257" s="970">
        <f>'IMF Data'!Q162</f>
        <v>-1.4718277967726738</v>
      </c>
      <c r="R257" s="970">
        <f>'IMF Data'!R162</f>
        <v>-1.441343447304595</v>
      </c>
      <c r="S257" s="74"/>
    </row>
    <row r="258" spans="2:19" s="61" customFormat="1" ht="2.25" customHeight="1">
      <c r="B258" s="965"/>
      <c r="C258" s="971"/>
      <c r="D258" s="971"/>
      <c r="E258" s="971"/>
      <c r="F258" s="971"/>
      <c r="G258" s="971"/>
      <c r="H258" s="971"/>
      <c r="I258" s="971"/>
      <c r="J258" s="971"/>
      <c r="K258" s="971"/>
      <c r="L258" s="971"/>
      <c r="M258" s="971"/>
      <c r="N258" s="971"/>
      <c r="O258" s="971"/>
      <c r="P258" s="971"/>
      <c r="Q258" s="971"/>
      <c r="R258" s="971"/>
      <c r="S258" s="74"/>
    </row>
    <row r="259" spans="2:19" s="61" customFormat="1" ht="15">
      <c r="B259" s="965" t="s">
        <v>330</v>
      </c>
      <c r="C259" s="970">
        <f>'IMF Data'!C163</f>
        <v>-10.433067648853863</v>
      </c>
      <c r="D259" s="970">
        <f>'IMF Data'!D163</f>
        <v>-7.9418843949028233</v>
      </c>
      <c r="E259" s="970">
        <f>'IMF Data'!E163</f>
        <v>-8.3057884906375783</v>
      </c>
      <c r="F259" s="970">
        <f>'IMF Data'!F163</f>
        <v>-6.1025226613729764</v>
      </c>
      <c r="G259" s="970">
        <f>'IMF Data'!G163</f>
        <v>-11.200797825480031</v>
      </c>
      <c r="H259" s="970">
        <f>'IMF Data'!H163</f>
        <v>-8.6220271688088719</v>
      </c>
      <c r="I259" s="970">
        <f>'IMF Data'!I163</f>
        <v>-5.8914932693942799</v>
      </c>
      <c r="J259" s="970">
        <f>'IMF Data'!J163</f>
        <v>-5.4536567804943648</v>
      </c>
      <c r="K259" s="970">
        <f>'IMF Data'!K163</f>
        <v>-5.0984091969595493</v>
      </c>
      <c r="L259" s="970">
        <f>'IMF Data'!L163</f>
        <v>-4.7202840409969475</v>
      </c>
      <c r="M259" s="970">
        <f>'IMF Data'!M163</f>
        <v>-4.3534489162152141</v>
      </c>
      <c r="N259" s="970">
        <f>'IMF Data'!N163</f>
        <v>-4.2382532355231461</v>
      </c>
      <c r="O259" s="970">
        <f>'IMF Data'!O163</f>
        <v>-4.1847958225706368</v>
      </c>
      <c r="P259" s="970">
        <f>'IMF Data'!P163</f>
        <v>-3.9394192745795924</v>
      </c>
      <c r="Q259" s="970">
        <f>'IMF Data'!Q163</f>
        <v>-3.6933727590981471</v>
      </c>
      <c r="R259" s="970">
        <f>'IMF Data'!R163</f>
        <v>-3.4587839662164157</v>
      </c>
      <c r="S259" s="74"/>
    </row>
    <row r="260" spans="2:19" s="61" customFormat="1" ht="15">
      <c r="B260" s="1252" t="s">
        <v>973</v>
      </c>
      <c r="C260" s="970">
        <f>'IMF Data'!C171</f>
        <v>18.820290524308437</v>
      </c>
      <c r="D260" s="970">
        <f>'IMF Data'!D171</f>
        <v>19.320102846761404</v>
      </c>
      <c r="E260" s="970">
        <f>'IMF Data'!E171</f>
        <v>21.26968020366974</v>
      </c>
      <c r="F260" s="970">
        <f>'IMF Data'!F171</f>
        <v>22.32481593063612</v>
      </c>
      <c r="G260" s="970">
        <f>'IMF Data'!G171</f>
        <v>22.631662414548096</v>
      </c>
      <c r="H260" s="970">
        <f>'IMF Data'!H171</f>
        <v>24.40122028630477</v>
      </c>
      <c r="I260" s="970">
        <f>'IMF Data'!I171</f>
        <v>24.138177231325532</v>
      </c>
      <c r="J260" s="970">
        <f>'IMF Data'!J171</f>
        <v>24.506123051990198</v>
      </c>
      <c r="K260" s="970">
        <f>'IMF Data'!K171</f>
        <v>24.815637518111625</v>
      </c>
      <c r="L260" s="970">
        <f>'IMF Data'!L171</f>
        <v>25.152688777273962</v>
      </c>
      <c r="M260" s="970">
        <f>'IMF Data'!M171</f>
        <v>25.516804620124454</v>
      </c>
      <c r="N260" s="970">
        <f>'IMF Data'!N171</f>
        <v>25.551910759880855</v>
      </c>
      <c r="O260" s="970">
        <f>'IMF Data'!O171</f>
        <v>25.524558937086855</v>
      </c>
      <c r="P260" s="970">
        <f>'IMF Data'!P171</f>
        <v>25.593510823921783</v>
      </c>
      <c r="Q260" s="970">
        <f>'IMF Data'!Q171</f>
        <v>25.665566346511682</v>
      </c>
      <c r="R260" s="970">
        <f>'IMF Data'!R171</f>
        <v>25.740752258018063</v>
      </c>
      <c r="S260" s="74"/>
    </row>
    <row r="261" spans="2:19" s="61" customFormat="1" ht="15">
      <c r="B261" s="965" t="s">
        <v>332</v>
      </c>
      <c r="C261" s="970">
        <f>'IMF Data'!C219</f>
        <v>41.214749382851728</v>
      </c>
      <c r="D261" s="970">
        <f>'IMF Data'!D219</f>
        <v>41.848369150669981</v>
      </c>
      <c r="E261" s="970">
        <f>'IMF Data'!E219</f>
        <v>44.583012073485882</v>
      </c>
      <c r="F261" s="970">
        <f>'IMF Data'!F219</f>
        <v>42.896418948757599</v>
      </c>
      <c r="G261" s="970">
        <f>'IMF Data'!G219</f>
        <v>51.160925086333791</v>
      </c>
      <c r="H261" s="970">
        <f>'IMF Data'!H219</f>
        <v>52.847469079781128</v>
      </c>
      <c r="I261" s="970">
        <f>'IMF Data'!I219</f>
        <v>51.513873092324729</v>
      </c>
      <c r="J261" s="970">
        <f>'IMF Data'!J219</f>
        <v>51.021253149585398</v>
      </c>
      <c r="K261" s="970">
        <f>'IMF Data'!K219</f>
        <v>50.143852358112817</v>
      </c>
      <c r="L261" s="970">
        <f>'IMF Data'!L219</f>
        <v>49.080744875563589</v>
      </c>
      <c r="M261" s="970">
        <f>'IMF Data'!M219</f>
        <v>47.887946415993639</v>
      </c>
      <c r="N261" s="970">
        <f>'IMF Data'!N219</f>
        <v>46.700083850865767</v>
      </c>
      <c r="O261" s="970">
        <f>'IMF Data'!O219</f>
        <v>45.640159981557154</v>
      </c>
      <c r="P261" s="970">
        <f>'IMF Data'!P219</f>
        <v>44.572411870460456</v>
      </c>
      <c r="Q261" s="970">
        <f>'IMF Data'!Q219</f>
        <v>43.527152226160929</v>
      </c>
      <c r="R261" s="970">
        <f>'IMF Data'!R219</f>
        <v>42.664342296488407</v>
      </c>
      <c r="S261" s="74"/>
    </row>
    <row r="262" spans="2:19" s="61" customFormat="1" ht="15">
      <c r="B262" s="972" t="s">
        <v>333</v>
      </c>
      <c r="C262" s="1251">
        <f>'IMF Data'!C222</f>
        <v>34.656312580314832</v>
      </c>
      <c r="D262" s="1251">
        <f>'IMF Data'!D222</f>
        <v>38.358058854550755</v>
      </c>
      <c r="E262" s="1251">
        <f>'IMF Data'!E222</f>
        <v>39.524137009033311</v>
      </c>
      <c r="F262" s="1251">
        <f>'IMF Data'!F222</f>
        <v>40.12539931273475</v>
      </c>
      <c r="G262" s="1251">
        <f>'IMF Data'!G222</f>
        <v>39.17194600282911</v>
      </c>
      <c r="H262" s="1251">
        <f>'IMF Data'!H222</f>
        <v>40.612623707320957</v>
      </c>
      <c r="I262" s="1251">
        <f>'IMF Data'!I222</f>
        <v>39.716470524937158</v>
      </c>
      <c r="J262" s="1251">
        <f>'IMF Data'!J222</f>
        <v>39.699567868395377</v>
      </c>
      <c r="K262" s="1251">
        <f>'IMF Data'!K222</f>
        <v>39.684506803337129</v>
      </c>
      <c r="L262" s="1251">
        <f>'IMF Data'!L222</f>
        <v>39.758584561236354</v>
      </c>
      <c r="M262" s="1251">
        <f>'IMF Data'!M222</f>
        <v>41.29689467098509</v>
      </c>
      <c r="N262" s="1251">
        <f>'IMF Data'!N222</f>
        <v>41.033415638556939</v>
      </c>
      <c r="O262" s="1251">
        <f>'IMF Data'!O222</f>
        <v>41.539442637344983</v>
      </c>
      <c r="P262" s="1251">
        <f>'IMF Data'!P222</f>
        <v>42.206098370951246</v>
      </c>
      <c r="Q262" s="1251">
        <f>'IMF Data'!Q222</f>
        <v>43.068517194214401</v>
      </c>
      <c r="R262" s="1251">
        <f>'IMF Data'!R222</f>
        <v>44.842874570731709</v>
      </c>
      <c r="S262" s="74"/>
    </row>
    <row r="263" spans="2:19" s="61" customFormat="1" ht="12.75">
      <c r="B263" s="302"/>
      <c r="C263" s="338">
        <f>-C261/100*ECO!B64</f>
        <v>-345878823.63551158</v>
      </c>
      <c r="D263" s="338">
        <f>-D261/100*ECO!C64</f>
        <v>-407714013.70577496</v>
      </c>
      <c r="E263" s="338">
        <f>-E261/100*ECO!D64</f>
        <v>-509902758.05747676</v>
      </c>
      <c r="F263" s="338">
        <f>-F261/100*ECO!E64</f>
        <v>-637028122.02825081</v>
      </c>
      <c r="G263" s="338">
        <f>-G261/100*ECO!F64</f>
        <v>-848447153.93000007</v>
      </c>
      <c r="H263" s="338">
        <f>-H261/100*ECO!G64</f>
        <v>-1046862702.2571793</v>
      </c>
      <c r="I263" s="338">
        <f>-I261/100*ECO!H64</f>
        <v>-1240330759.8659134</v>
      </c>
      <c r="J263" s="338">
        <f>-J261/100*ECO!I64</f>
        <v>-1405290246.2683578</v>
      </c>
      <c r="K263" s="338">
        <f>-K261/100*ECO!J64</f>
        <v>-1585992429.1796985</v>
      </c>
      <c r="L263" s="338">
        <f>-L261/100*ECO!K64</f>
        <v>-1777821552.7251258</v>
      </c>
      <c r="M263" s="338">
        <f>-M261/100*ECO!L64</f>
        <v>-1977440829.0237842</v>
      </c>
      <c r="N263" s="338">
        <f>-N261/100*ECO!M64</f>
        <v>-2189348539.5960636</v>
      </c>
      <c r="O263" s="338">
        <f>-O261/100*ECO!N64</f>
        <v>-2424921567.7844048</v>
      </c>
      <c r="P263" s="338">
        <f>-P261/100*ECO!O64</f>
        <v>-2683906697.1380973</v>
      </c>
      <c r="Q263" s="338">
        <f>-Q261/100*ECO!P64</f>
        <v>-2971333247.7203579</v>
      </c>
      <c r="R263" s="338">
        <f>-R261/100*ECO!Q64</f>
        <v>-3302872076.8610282</v>
      </c>
      <c r="S263" s="74"/>
    </row>
    <row r="264" spans="2:19" s="61" customFormat="1" ht="12.75">
      <c r="B264" s="302"/>
      <c r="N264" s="1003"/>
      <c r="S264" s="74"/>
    </row>
  </sheetData>
  <sheetProtection formatCells="0" formatColumns="0" formatRows="0" insertColumns="0" insertRows="0" insertHyperlinks="0" deleteColumns="0" deleteRows="0" pivotTables="0"/>
  <mergeCells count="19">
    <mergeCell ref="C43:H43"/>
    <mergeCell ref="I43:R43"/>
    <mergeCell ref="S43:S44"/>
    <mergeCell ref="Q5:R5"/>
    <mergeCell ref="Q6:R6"/>
    <mergeCell ref="C13:H13"/>
    <mergeCell ref="I13:R13"/>
    <mergeCell ref="S13:S14"/>
    <mergeCell ref="C238:H238"/>
    <mergeCell ref="I238:R238"/>
    <mergeCell ref="S238:S239"/>
    <mergeCell ref="C119:H119"/>
    <mergeCell ref="I119:R119"/>
    <mergeCell ref="C194:H194"/>
    <mergeCell ref="I194:R194"/>
    <mergeCell ref="S194:S195"/>
    <mergeCell ref="C227:H227"/>
    <mergeCell ref="I227:R227"/>
    <mergeCell ref="S227:S228"/>
  </mergeCells>
  <hyperlinks>
    <hyperlink ref="B4" location="'GGO(SQ) (SQ and Post SPF)'!B141" display="2) Some information from ILSSA - Social security budget  (as planned for the SP strategy)"/>
    <hyperlink ref="B5" location="'GGO(SQ) (SQ and Post SPF)'!B254" display="3) Detailed social budget by 5-year plan and average annual (national data. Calculation from ILSSA from the strategy)"/>
    <hyperlink ref="B6" location="'GGO(SQ) (SQ and Post SPF)'!B320" display="4) Costing additional provisions necessary to complete the SPF and close the poverty gap"/>
  </hyperlinks>
  <pageMargins left="0.27559055118110237" right="0.19685039370078741" top="0.55118110236220474" bottom="0.51181102362204722" header="0.47244094488188981" footer="0.31496062992125984"/>
  <pageSetup paperSize="9" scale="40" orientation="landscape" verticalDpi="1200" r:id="rId1"/>
  <rowBreaks count="3" manualBreakCount="3">
    <brk id="193" max="16383" man="1"/>
    <brk id="225" max="16383" man="1"/>
    <brk id="237" max="16383" man="1"/>
  </rowBreaks>
  <drawing r:id="rId2"/>
  <legacyDrawing r:id="rId3"/>
</worksheet>
</file>

<file path=xl/worksheets/sheet9.xml><?xml version="1.0" encoding="utf-8"?>
<worksheet xmlns="http://schemas.openxmlformats.org/spreadsheetml/2006/main" xmlns:r="http://schemas.openxmlformats.org/officeDocument/2006/relationships">
  <sheetPr codeName="Sheet7">
    <tabColor theme="3" tint="-0.249977111117893"/>
  </sheetPr>
  <dimension ref="A1:AE703"/>
  <sheetViews>
    <sheetView topLeftCell="A7" zoomScale="80" zoomScaleNormal="80" workbookViewId="0">
      <pane xSplit="2" ySplit="8" topLeftCell="N465" activePane="bottomRight" state="frozen"/>
      <selection activeCell="A7" sqref="A7"/>
      <selection pane="topRight" activeCell="C7" sqref="C7"/>
      <selection pane="bottomLeft" activeCell="A15" sqref="A15"/>
      <selection pane="bottomRight" activeCell="T478" sqref="T478"/>
    </sheetView>
  </sheetViews>
  <sheetFormatPr defaultColWidth="9.140625" defaultRowHeight="15.75"/>
  <cols>
    <col min="1" max="1" width="5" style="56" customWidth="1"/>
    <col min="2" max="2" width="55.5703125" style="299" customWidth="1"/>
    <col min="3" max="6" width="16" style="56" bestFit="1" customWidth="1"/>
    <col min="7" max="12" width="16.42578125" style="56" bestFit="1" customWidth="1"/>
    <col min="13" max="18" width="17.5703125" style="56" bestFit="1" customWidth="1"/>
    <col min="19" max="19" width="49.140625" style="71" customWidth="1"/>
    <col min="20" max="20" width="10.140625" style="56" customWidth="1"/>
    <col min="21" max="21" width="20" style="56" customWidth="1"/>
    <col min="22" max="22" width="34.5703125" style="56" bestFit="1" customWidth="1"/>
    <col min="23" max="28" width="13.5703125" style="56" bestFit="1" customWidth="1"/>
    <col min="29" max="29" width="9.140625" style="56"/>
    <col min="30" max="31" width="15.5703125" style="56" bestFit="1" customWidth="1"/>
    <col min="32" max="16384" width="9.140625" style="56"/>
  </cols>
  <sheetData>
    <row r="1" spans="1:20" ht="39.75" customHeight="1">
      <c r="A1" s="713" t="s">
        <v>670</v>
      </c>
      <c r="B1" s="352" t="s">
        <v>663</v>
      </c>
    </row>
    <row r="2" spans="1:20" ht="9.9499999999999993" customHeight="1">
      <c r="B2" s="298"/>
    </row>
    <row r="3" spans="1:20" s="64" customFormat="1" ht="30">
      <c r="B3" s="391" t="s">
        <v>664</v>
      </c>
      <c r="C3" s="56"/>
      <c r="D3" s="56"/>
      <c r="P3" s="65"/>
      <c r="Q3" s="66"/>
      <c r="R3" s="67"/>
      <c r="S3" s="398"/>
    </row>
    <row r="4" spans="1:20" s="64" customFormat="1" ht="30">
      <c r="B4" s="392" t="s">
        <v>665</v>
      </c>
      <c r="C4" s="56"/>
      <c r="D4" s="56"/>
      <c r="P4" s="65"/>
      <c r="Q4" s="66"/>
      <c r="R4" s="67"/>
      <c r="S4" s="398"/>
    </row>
    <row r="5" spans="1:20" s="64" customFormat="1" ht="30">
      <c r="B5" s="392" t="s">
        <v>666</v>
      </c>
      <c r="C5" s="56"/>
      <c r="D5" s="56"/>
      <c r="P5" s="65"/>
      <c r="Q5" s="1522"/>
      <c r="R5" s="1522"/>
      <c r="S5" s="398"/>
    </row>
    <row r="6" spans="1:20" s="64" customFormat="1" ht="30">
      <c r="B6" s="392" t="s">
        <v>622</v>
      </c>
      <c r="C6" s="56"/>
      <c r="D6" s="56"/>
      <c r="P6" s="65"/>
      <c r="Q6" s="1522"/>
      <c r="R6" s="1522"/>
      <c r="S6" s="398"/>
    </row>
    <row r="7" spans="1:20" s="64" customFormat="1" ht="45">
      <c r="B7" s="392" t="s">
        <v>667</v>
      </c>
      <c r="C7" s="56"/>
      <c r="D7" s="56"/>
      <c r="P7" s="65"/>
      <c r="Q7" s="66"/>
      <c r="R7" s="67"/>
      <c r="S7" s="398"/>
    </row>
    <row r="8" spans="1:20">
      <c r="B8" s="392" t="s">
        <v>668</v>
      </c>
    </row>
    <row r="9" spans="1:20" ht="15" customHeight="1">
      <c r="B9" s="393"/>
    </row>
    <row r="10" spans="1:20" ht="15" customHeight="1">
      <c r="B10" s="300"/>
    </row>
    <row r="11" spans="1:20" ht="57.75">
      <c r="B11" s="300" t="s">
        <v>669</v>
      </c>
    </row>
    <row r="12" spans="1:20" ht="9.9499999999999993" customHeight="1"/>
    <row r="13" spans="1:20" ht="31.5" customHeight="1">
      <c r="B13" s="644"/>
      <c r="C13" s="1517" t="s">
        <v>730</v>
      </c>
      <c r="D13" s="1518"/>
      <c r="E13" s="1518"/>
      <c r="F13" s="1518"/>
      <c r="G13" s="1518"/>
      <c r="H13" s="1518"/>
      <c r="I13" s="1517" t="s">
        <v>734</v>
      </c>
      <c r="J13" s="1518"/>
      <c r="K13" s="1518"/>
      <c r="L13" s="1518"/>
      <c r="M13" s="1518"/>
      <c r="N13" s="1518"/>
      <c r="O13" s="1518"/>
      <c r="P13" s="1518"/>
      <c r="Q13" s="1518"/>
      <c r="R13" s="1519"/>
      <c r="S13" s="1520" t="s">
        <v>744</v>
      </c>
    </row>
    <row r="14" spans="1:20" s="60" customFormat="1">
      <c r="B14" s="935"/>
      <c r="C14" s="936">
        <v>2005</v>
      </c>
      <c r="D14" s="649">
        <v>2006</v>
      </c>
      <c r="E14" s="649">
        <v>2007</v>
      </c>
      <c r="F14" s="649">
        <v>2008</v>
      </c>
      <c r="G14" s="649">
        <v>2009</v>
      </c>
      <c r="H14" s="649">
        <v>2010</v>
      </c>
      <c r="I14" s="936">
        <v>2011</v>
      </c>
      <c r="J14" s="649">
        <v>2012</v>
      </c>
      <c r="K14" s="649">
        <v>2013</v>
      </c>
      <c r="L14" s="649">
        <v>2014</v>
      </c>
      <c r="M14" s="649">
        <v>2015</v>
      </c>
      <c r="N14" s="649">
        <v>2016</v>
      </c>
      <c r="O14" s="649">
        <v>2017</v>
      </c>
      <c r="P14" s="649">
        <v>2018</v>
      </c>
      <c r="Q14" s="649">
        <v>2019</v>
      </c>
      <c r="R14" s="937">
        <v>2020</v>
      </c>
      <c r="S14" s="1521"/>
      <c r="T14" s="60" t="s">
        <v>438</v>
      </c>
    </row>
    <row r="15" spans="1:20" s="60" customFormat="1">
      <c r="B15" s="709"/>
      <c r="C15" s="1007"/>
      <c r="D15" s="1008"/>
      <c r="E15" s="1008"/>
      <c r="F15" s="1008"/>
      <c r="G15" s="1008"/>
      <c r="H15" s="1008"/>
      <c r="I15" s="1007"/>
      <c r="J15" s="1008"/>
      <c r="K15" s="1008"/>
      <c r="L15" s="1008"/>
      <c r="M15" s="1008"/>
      <c r="N15" s="1008"/>
      <c r="O15" s="1008"/>
      <c r="P15" s="1008"/>
      <c r="Q15" s="1008"/>
      <c r="R15" s="1009"/>
      <c r="S15" s="1010"/>
    </row>
    <row r="16" spans="1:20" s="60" customFormat="1" ht="18.75">
      <c r="B16" s="1033" t="s">
        <v>970</v>
      </c>
      <c r="C16" s="1007"/>
      <c r="D16" s="1008"/>
      <c r="E16" s="1008"/>
      <c r="F16" s="1008"/>
      <c r="G16" s="1008"/>
      <c r="H16" s="1008"/>
      <c r="I16" s="1007"/>
      <c r="J16" s="1008"/>
      <c r="K16" s="1008"/>
      <c r="L16" s="1008"/>
      <c r="M16" s="1008"/>
      <c r="N16" s="1008"/>
      <c r="O16" s="1008"/>
      <c r="P16" s="1008"/>
      <c r="Q16" s="1008"/>
      <c r="R16" s="1009"/>
      <c r="S16" s="1010"/>
    </row>
    <row r="17" spans="2:25" s="60" customFormat="1" ht="18.75">
      <c r="B17" s="1033" t="s">
        <v>675</v>
      </c>
      <c r="C17" s="1007"/>
      <c r="D17" s="1008"/>
      <c r="E17" s="1008"/>
      <c r="F17" s="1008"/>
      <c r="G17" s="1008"/>
      <c r="H17" s="1008"/>
      <c r="I17" s="1007"/>
      <c r="J17" s="1008"/>
      <c r="K17" s="1008"/>
      <c r="L17" s="1008"/>
      <c r="M17" s="1008"/>
      <c r="N17" s="1008"/>
      <c r="O17" s="1008"/>
      <c r="P17" s="1008"/>
      <c r="Q17" s="1008"/>
      <c r="R17" s="1009"/>
      <c r="S17" s="1010"/>
    </row>
    <row r="18" spans="2:25" s="60" customFormat="1">
      <c r="B18" s="298" t="s">
        <v>763</v>
      </c>
      <c r="C18" s="666"/>
      <c r="D18" s="667"/>
      <c r="E18" s="667"/>
      <c r="F18" s="667"/>
      <c r="G18" s="667"/>
      <c r="H18" s="668"/>
      <c r="I18" s="666"/>
      <c r="J18" s="667"/>
      <c r="K18" s="667"/>
      <c r="L18" s="667"/>
      <c r="M18" s="667"/>
      <c r="N18" s="667"/>
      <c r="O18" s="667"/>
      <c r="P18" s="667"/>
      <c r="Q18" s="667"/>
      <c r="R18" s="668"/>
      <c r="S18" s="70"/>
      <c r="T18" s="56"/>
      <c r="U18" s="56"/>
      <c r="V18" s="56"/>
      <c r="W18" s="56"/>
      <c r="X18" s="56"/>
    </row>
    <row r="19" spans="2:25" s="60" customFormat="1">
      <c r="B19" s="662"/>
      <c r="C19" s="1011">
        <v>2005</v>
      </c>
      <c r="D19" s="1012">
        <v>2006</v>
      </c>
      <c r="E19" s="1012">
        <v>2007</v>
      </c>
      <c r="F19" s="1012">
        <v>2008</v>
      </c>
      <c r="G19" s="1012">
        <v>2009</v>
      </c>
      <c r="H19" s="1012">
        <v>2010</v>
      </c>
      <c r="I19" s="1013">
        <v>2011</v>
      </c>
      <c r="J19" s="1013">
        <v>2012</v>
      </c>
      <c r="K19" s="1013">
        <v>2013</v>
      </c>
      <c r="L19" s="1013">
        <v>2014</v>
      </c>
      <c r="M19" s="1013">
        <v>2015</v>
      </c>
      <c r="N19" s="1013">
        <v>2016</v>
      </c>
      <c r="O19" s="1013">
        <v>2017</v>
      </c>
      <c r="P19" s="1013">
        <v>2018</v>
      </c>
      <c r="Q19" s="1013">
        <v>2019</v>
      </c>
      <c r="R19" s="1013">
        <v>2020</v>
      </c>
      <c r="S19" s="662" t="s">
        <v>744</v>
      </c>
      <c r="T19" s="1014"/>
      <c r="U19" s="1014" t="s">
        <v>64</v>
      </c>
      <c r="V19" s="1015">
        <v>2005</v>
      </c>
      <c r="W19" s="1015">
        <v>2006</v>
      </c>
      <c r="X19" s="1015">
        <v>2007</v>
      </c>
    </row>
    <row r="20" spans="2:25" s="60" customFormat="1" ht="26.25">
      <c r="B20" s="1192" t="s">
        <v>859</v>
      </c>
      <c r="C20" s="1220">
        <f>C21+C24</f>
        <v>224500000</v>
      </c>
      <c r="D20" s="1221">
        <f t="shared" ref="D20:R20" si="0">D21+D24</f>
        <v>271575000</v>
      </c>
      <c r="E20" s="1221">
        <f t="shared" si="0"/>
        <v>321898600</v>
      </c>
      <c r="F20" s="1221">
        <f t="shared" si="0"/>
        <v>421135000</v>
      </c>
      <c r="G20" s="1221">
        <f t="shared" si="0"/>
        <v>435821000</v>
      </c>
      <c r="H20" s="1221">
        <f t="shared" si="0"/>
        <v>552486681.45034468</v>
      </c>
      <c r="I20" s="1221">
        <f t="shared" si="0"/>
        <v>664005206.87984264</v>
      </c>
      <c r="J20" s="1221">
        <f t="shared" si="0"/>
        <v>768287253.87695861</v>
      </c>
      <c r="K20" s="1221">
        <f t="shared" si="0"/>
        <v>883468245.2025336</v>
      </c>
      <c r="L20" s="1221">
        <f t="shared" si="0"/>
        <v>1016692056.0924931</v>
      </c>
      <c r="M20" s="1221">
        <f t="shared" si="0"/>
        <v>1168422182.7143066</v>
      </c>
      <c r="N20" s="1221">
        <f t="shared" si="0"/>
        <v>1324992042.8633683</v>
      </c>
      <c r="O20" s="1221">
        <f t="shared" si="0"/>
        <v>1493484425.6399901</v>
      </c>
      <c r="P20" s="1221">
        <f t="shared" si="0"/>
        <v>1686559456.7837889</v>
      </c>
      <c r="Q20" s="1221">
        <f t="shared" si="0"/>
        <v>1903683029.4866869</v>
      </c>
      <c r="R20" s="1222">
        <f t="shared" si="0"/>
        <v>2148908312.9401317</v>
      </c>
      <c r="S20" s="99" t="s">
        <v>437</v>
      </c>
      <c r="T20" s="239"/>
      <c r="U20" s="952">
        <v>0.81097229766431289</v>
      </c>
      <c r="V20" s="239">
        <v>0.76589861751152077</v>
      </c>
      <c r="W20" s="239">
        <v>0.79606507756337497</v>
      </c>
      <c r="X20" s="239">
        <v>0.82465277777777779</v>
      </c>
      <c r="Y20" s="239"/>
    </row>
    <row r="21" spans="2:25" s="60" customFormat="1" ht="20.25" customHeight="1">
      <c r="B21" s="1184" t="s">
        <v>321</v>
      </c>
      <c r="C21" s="1189">
        <f>C22+C23</f>
        <v>66558000</v>
      </c>
      <c r="D21" s="1190">
        <f t="shared" ref="D21:R21" si="1">D22+D23</f>
        <v>83346000</v>
      </c>
      <c r="E21" s="1190">
        <f t="shared" si="1"/>
        <v>78634000</v>
      </c>
      <c r="F21" s="1190">
        <f t="shared" si="1"/>
        <v>89603000</v>
      </c>
      <c r="G21" s="1190">
        <f t="shared" si="1"/>
        <v>60500000</v>
      </c>
      <c r="H21" s="1190">
        <f t="shared" si="1"/>
        <v>69119590.232974514</v>
      </c>
      <c r="I21" s="1190">
        <f t="shared" si="1"/>
        <v>82815676.567301124</v>
      </c>
      <c r="J21" s="1190">
        <f t="shared" si="1"/>
        <v>93309404.982358754</v>
      </c>
      <c r="K21" s="1190">
        <f t="shared" si="1"/>
        <v>98578146.453966826</v>
      </c>
      <c r="L21" s="1190">
        <f t="shared" si="1"/>
        <v>105601722.59006023</v>
      </c>
      <c r="M21" s="1190">
        <f t="shared" si="1"/>
        <v>114754714.00019887</v>
      </c>
      <c r="N21" s="1190">
        <f t="shared" si="1"/>
        <v>127091870.24950281</v>
      </c>
      <c r="O21" s="1190">
        <f t="shared" si="1"/>
        <v>137331127.7607224</v>
      </c>
      <c r="P21" s="1190">
        <f t="shared" si="1"/>
        <v>145458308.76349372</v>
      </c>
      <c r="Q21" s="1190">
        <f t="shared" si="1"/>
        <v>151651327.28108981</v>
      </c>
      <c r="R21" s="1191">
        <f t="shared" si="1"/>
        <v>156180726.05774868</v>
      </c>
      <c r="S21" s="93"/>
      <c r="T21" s="94"/>
      <c r="U21" s="96"/>
      <c r="V21" s="94"/>
      <c r="W21" s="94"/>
      <c r="X21" s="94"/>
      <c r="Y21" s="94"/>
    </row>
    <row r="22" spans="2:25" s="60" customFormat="1">
      <c r="B22" s="1182" t="s">
        <v>999</v>
      </c>
      <c r="C22" s="1189">
        <f>'IMF Data'!C23*1000</f>
        <v>45322000</v>
      </c>
      <c r="D22" s="1190">
        <f>'IMF Data'!D23*1000</f>
        <v>56726000</v>
      </c>
      <c r="E22" s="1190">
        <f>'IMF Data'!E23*1000</f>
        <v>57173400</v>
      </c>
      <c r="F22" s="1190">
        <f>'IMF Data'!F23*1000</f>
        <v>65102999.999999993</v>
      </c>
      <c r="G22" s="1190">
        <f>'IMF Data'!G23*1000</f>
        <v>45203000</v>
      </c>
      <c r="H22" s="1190">
        <f>'IMF Data'!H23*1000</f>
        <v>48644937.873933963</v>
      </c>
      <c r="I22" s="1190">
        <f>'IMF Data'!I23*1000</f>
        <v>58615125.558467373</v>
      </c>
      <c r="J22" s="1190">
        <f>'IMF Data'!J23*1000</f>
        <v>66042357.142154299</v>
      </c>
      <c r="K22" s="1190">
        <f>'IMF Data'!K23*1000</f>
        <v>69771457.183285266</v>
      </c>
      <c r="L22" s="1190">
        <f>'IMF Data'!L23*1000</f>
        <v>74742590.839991033</v>
      </c>
      <c r="M22" s="1190">
        <f>'IMF Data'!M23*1000</f>
        <v>81220878.079543486</v>
      </c>
      <c r="N22" s="1190">
        <f>'IMF Data'!N23*1000</f>
        <v>89952847.587752596</v>
      </c>
      <c r="O22" s="1190">
        <f>'IMF Data'!O23*1000</f>
        <v>97199970.228329912</v>
      </c>
      <c r="P22" s="1190">
        <f>'IMF Data'!P23*1000</f>
        <v>102952211.28533196</v>
      </c>
      <c r="Q22" s="1190">
        <f>'IMF Data'!Q23*1000</f>
        <v>107335494.41530566</v>
      </c>
      <c r="R22" s="1191">
        <f>'IMF Data'!R23*1000</f>
        <v>110541303.85867201</v>
      </c>
      <c r="S22" s="93"/>
      <c r="T22" s="94"/>
      <c r="U22" s="96"/>
      <c r="V22" s="94"/>
      <c r="W22" s="94"/>
      <c r="X22" s="94"/>
      <c r="Y22" s="94"/>
    </row>
    <row r="23" spans="2:25" s="60" customFormat="1">
      <c r="B23" s="1182" t="s">
        <v>861</v>
      </c>
      <c r="C23" s="1189">
        <f>'IMF Data'!C24*1000</f>
        <v>21236000</v>
      </c>
      <c r="D23" s="1190">
        <f>'IMF Data'!D24*1000</f>
        <v>26620000</v>
      </c>
      <c r="E23" s="1190">
        <f>'IMF Data'!E24*1000</f>
        <v>21460600</v>
      </c>
      <c r="F23" s="1190">
        <f>'IMF Data'!F24*1000</f>
        <v>24500000</v>
      </c>
      <c r="G23" s="1190">
        <f>'IMF Data'!G24*1000</f>
        <v>15297000</v>
      </c>
      <c r="H23" s="1190">
        <f>'IMF Data'!H24*1000</f>
        <v>20474652.359040547</v>
      </c>
      <c r="I23" s="1190">
        <f>'IMF Data'!I24*1000</f>
        <v>24200551.008833751</v>
      </c>
      <c r="J23" s="1190">
        <f>'IMF Data'!J24*1000</f>
        <v>27267047.840204459</v>
      </c>
      <c r="K23" s="1190">
        <f>'IMF Data'!K24*1000</f>
        <v>28806689.270681567</v>
      </c>
      <c r="L23" s="1190">
        <f>'IMF Data'!L24*1000</f>
        <v>30859131.750069197</v>
      </c>
      <c r="M23" s="1190">
        <f>'IMF Data'!M24*1000</f>
        <v>33533835.920655381</v>
      </c>
      <c r="N23" s="1190">
        <f>'IMF Data'!N24*1000</f>
        <v>37139022.661750212</v>
      </c>
      <c r="O23" s="1190">
        <f>'IMF Data'!O24*1000</f>
        <v>40131157.532392487</v>
      </c>
      <c r="P23" s="1190">
        <f>'IMF Data'!P24*1000</f>
        <v>42506097.47816176</v>
      </c>
      <c r="Q23" s="1190">
        <f>'IMF Data'!Q24*1000</f>
        <v>44315832.865784161</v>
      </c>
      <c r="R23" s="1191">
        <f>'IMF Data'!R24*1000</f>
        <v>45639422.19907666</v>
      </c>
      <c r="S23" s="93"/>
      <c r="T23" s="94"/>
      <c r="U23" s="96"/>
      <c r="V23" s="94"/>
      <c r="W23" s="94"/>
      <c r="X23" s="94"/>
      <c r="Y23" s="94"/>
    </row>
    <row r="24" spans="2:25" s="60" customFormat="1" ht="19.5" customHeight="1">
      <c r="B24" s="1184" t="s">
        <v>322</v>
      </c>
      <c r="C24" s="1186">
        <f>C25+C26+C27+C28+C31+C32+C33+C34</f>
        <v>157942000</v>
      </c>
      <c r="D24" s="1187">
        <f t="shared" ref="D24:R24" si="2">D25+D26+D27+D28+D31+D32+D33+D34</f>
        <v>188229000</v>
      </c>
      <c r="E24" s="1187">
        <f t="shared" si="2"/>
        <v>243264600</v>
      </c>
      <c r="F24" s="1187">
        <f t="shared" si="2"/>
        <v>331532000</v>
      </c>
      <c r="G24" s="1187">
        <f t="shared" si="2"/>
        <v>375321000</v>
      </c>
      <c r="H24" s="1187">
        <f t="shared" si="2"/>
        <v>483367091.21737015</v>
      </c>
      <c r="I24" s="1187">
        <f t="shared" si="2"/>
        <v>581189530.31254148</v>
      </c>
      <c r="J24" s="1187">
        <f t="shared" si="2"/>
        <v>674977848.89459991</v>
      </c>
      <c r="K24" s="1187">
        <f t="shared" si="2"/>
        <v>784890098.74856675</v>
      </c>
      <c r="L24" s="1187">
        <f t="shared" si="2"/>
        <v>911090333.50243282</v>
      </c>
      <c r="M24" s="1187">
        <f t="shared" si="2"/>
        <v>1053667468.7141078</v>
      </c>
      <c r="N24" s="1187">
        <f t="shared" si="2"/>
        <v>1197900172.6138654</v>
      </c>
      <c r="O24" s="1187">
        <f t="shared" si="2"/>
        <v>1356153297.8792677</v>
      </c>
      <c r="P24" s="1187">
        <f t="shared" si="2"/>
        <v>1541101148.0202951</v>
      </c>
      <c r="Q24" s="1187">
        <f t="shared" si="2"/>
        <v>1752031702.2055972</v>
      </c>
      <c r="R24" s="1188">
        <f t="shared" si="2"/>
        <v>1992727586.8823829</v>
      </c>
      <c r="S24" s="93"/>
      <c r="T24" s="94"/>
      <c r="U24" s="96"/>
      <c r="V24" s="94"/>
      <c r="W24" s="94"/>
      <c r="X24" s="94"/>
      <c r="Y24" s="94"/>
    </row>
    <row r="25" spans="2:25" s="60" customFormat="1">
      <c r="B25" s="1183" t="s">
        <v>998</v>
      </c>
      <c r="C25" s="1189">
        <f>'IMF Data'!C26*1000</f>
        <v>4234000</v>
      </c>
      <c r="D25" s="1190">
        <f>'IMF Data'!D26*1000</f>
        <v>5179000</v>
      </c>
      <c r="E25" s="1190">
        <f>'IMF Data'!E26*1000</f>
        <v>7415000</v>
      </c>
      <c r="F25" s="1190">
        <f>'IMF Data'!F26*1000</f>
        <v>12940000</v>
      </c>
      <c r="G25" s="1190">
        <f>'IMF Data'!G26*1000</f>
        <v>14329000</v>
      </c>
      <c r="H25" s="1190">
        <f>'IMF Data'!H26*1000</f>
        <v>20981592.539059948</v>
      </c>
      <c r="I25" s="1190">
        <f>'IMF Data'!I26*1000</f>
        <v>26867056.947686229</v>
      </c>
      <c r="J25" s="1190">
        <f>'IMF Data'!J26*1000</f>
        <v>31817754.134112488</v>
      </c>
      <c r="K25" s="1190">
        <f>'IMF Data'!K26*1000</f>
        <v>37859886.611594684</v>
      </c>
      <c r="L25" s="1190">
        <f>'IMF Data'!L26*1000</f>
        <v>44899041.621342503</v>
      </c>
      <c r="M25" s="1190">
        <f>'IMF Data'!M26*1000</f>
        <v>52945515.076034173</v>
      </c>
      <c r="N25" s="1190">
        <f>'IMF Data'!N26*1000</f>
        <v>60110333.805994034</v>
      </c>
      <c r="O25" s="1190">
        <f>'IMF Data'!O26*1000</f>
        <v>68124359.548482329</v>
      </c>
      <c r="P25" s="1190">
        <f>'IMF Data'!P26*1000</f>
        <v>77206377.026826918</v>
      </c>
      <c r="Q25" s="1190">
        <f>'IMF Data'!Q26*1000</f>
        <v>87527193.328487694</v>
      </c>
      <c r="R25" s="1191">
        <f>'IMF Data'!R26*1000</f>
        <v>99260987.760085791</v>
      </c>
      <c r="S25" s="93"/>
      <c r="T25" s="94"/>
      <c r="U25" s="96"/>
      <c r="V25" s="94"/>
      <c r="W25" s="94"/>
      <c r="X25" s="94"/>
      <c r="Y25" s="94"/>
    </row>
    <row r="26" spans="2:25" s="60" customFormat="1">
      <c r="B26" s="1183" t="s">
        <v>999</v>
      </c>
      <c r="C26" s="1189">
        <f>'IMF Data'!C27*1000</f>
        <v>30525000</v>
      </c>
      <c r="D26" s="1190">
        <f>'IMF Data'!D27*1000</f>
        <v>43070000</v>
      </c>
      <c r="E26" s="1190">
        <f>'IMF Data'!E27*1000</f>
        <v>47378200.000000007</v>
      </c>
      <c r="F26" s="1190">
        <f>'IMF Data'!F27*1000</f>
        <v>72136000</v>
      </c>
      <c r="G26" s="1190">
        <f>'IMF Data'!G27*1000</f>
        <v>66869000</v>
      </c>
      <c r="H26" s="1190">
        <f>'IMF Data'!H27*1000</f>
        <v>93258801.965155914</v>
      </c>
      <c r="I26" s="1190">
        <f>'IMF Data'!I27*1000</f>
        <v>106997554.48491155</v>
      </c>
      <c r="J26" s="1190">
        <f>'IMF Data'!J27*1000</f>
        <v>126713613.93177851</v>
      </c>
      <c r="K26" s="1190">
        <f>'IMF Data'!K27*1000</f>
        <v>150776294.12124866</v>
      </c>
      <c r="L26" s="1190">
        <f>'IMF Data'!L27*1000</f>
        <v>178809597.99780494</v>
      </c>
      <c r="M26" s="1190">
        <f>'IMF Data'!M27*1000</f>
        <v>210854528.84215301</v>
      </c>
      <c r="N26" s="1190">
        <f>'IMF Data'!N27*1000</f>
        <v>239388286.14672506</v>
      </c>
      <c r="O26" s="1190">
        <f>'IMF Data'!O27*1000</f>
        <v>271303994.58084965</v>
      </c>
      <c r="P26" s="1190">
        <f>'IMF Data'!P27*1000</f>
        <v>307472960.23511648</v>
      </c>
      <c r="Q26" s="1190">
        <f>'IMF Data'!Q27*1000</f>
        <v>348575419.15780151</v>
      </c>
      <c r="R26" s="1191">
        <f>'IMF Data'!R27*1000</f>
        <v>395305037.19725668</v>
      </c>
      <c r="S26" s="93"/>
      <c r="T26" s="94"/>
      <c r="U26" s="96"/>
      <c r="V26" s="94"/>
      <c r="W26" s="94"/>
      <c r="X26" s="94"/>
      <c r="Y26" s="94"/>
    </row>
    <row r="27" spans="2:25" s="60" customFormat="1">
      <c r="B27" s="1183" t="s">
        <v>863</v>
      </c>
      <c r="C27" s="1189">
        <f>'IMF Data'!C28*1000</f>
        <v>15716000</v>
      </c>
      <c r="D27" s="1190">
        <f>'IMF Data'!D28*1000</f>
        <v>17195000</v>
      </c>
      <c r="E27" s="1190">
        <f>'IMF Data'!E28*1000</f>
        <v>17365000</v>
      </c>
      <c r="F27" s="1190">
        <f>'IMF Data'!F28*1000</f>
        <v>22123000</v>
      </c>
      <c r="G27" s="1190">
        <f>'IMF Data'!G28*1000</f>
        <v>29058000</v>
      </c>
      <c r="H27" s="1190">
        <f>'IMF Data'!H28*1000</f>
        <v>38575437.399058945</v>
      </c>
      <c r="I27" s="1190">
        <f>'IMF Data'!I28*1000</f>
        <v>50087301.55273819</v>
      </c>
      <c r="J27" s="1190">
        <f>'IMF Data'!J28*1000</f>
        <v>59529050.358370788</v>
      </c>
      <c r="K27" s="1190">
        <f>'IMF Data'!K28*1000</f>
        <v>71093586.455905095</v>
      </c>
      <c r="L27" s="1190">
        <f>'IMF Data'!L28*1000</f>
        <v>84615874.523975044</v>
      </c>
      <c r="M27" s="1190">
        <f>'IMF Data'!M28*1000</f>
        <v>100128985.49455194</v>
      </c>
      <c r="N27" s="1190">
        <f>'IMF Data'!N28*1000</f>
        <v>113678877.8632066</v>
      </c>
      <c r="O27" s="1190">
        <f>'IMF Data'!O28*1000</f>
        <v>128834765.3103343</v>
      </c>
      <c r="P27" s="1190">
        <f>'IMF Data'!P28*1000</f>
        <v>146010407.00622672</v>
      </c>
      <c r="Q27" s="1190">
        <f>'IMF Data'!Q28*1000</f>
        <v>165528828.24128056</v>
      </c>
      <c r="R27" s="1191">
        <f>'IMF Data'!R28*1000</f>
        <v>187719431.74660665</v>
      </c>
      <c r="S27" s="93"/>
      <c r="T27" s="94"/>
      <c r="U27" s="96"/>
      <c r="V27" s="94"/>
      <c r="W27" s="94"/>
      <c r="X27" s="94"/>
      <c r="Y27" s="94"/>
    </row>
    <row r="28" spans="2:25" s="1197" customFormat="1">
      <c r="B28" s="1193" t="s">
        <v>776</v>
      </c>
      <c r="C28" s="1194">
        <f>C29+C30</f>
        <v>45878000</v>
      </c>
      <c r="D28" s="1195">
        <f t="shared" ref="D28:R28" si="3">D29+D30</f>
        <v>55148000</v>
      </c>
      <c r="E28" s="1195">
        <f t="shared" si="3"/>
        <v>69821600</v>
      </c>
      <c r="F28" s="1195">
        <f t="shared" si="3"/>
        <v>91506000</v>
      </c>
      <c r="G28" s="1195">
        <f t="shared" si="3"/>
        <v>106524000</v>
      </c>
      <c r="H28" s="1195">
        <f t="shared" si="3"/>
        <v>149694361.93079013</v>
      </c>
      <c r="I28" s="1195">
        <f t="shared" si="3"/>
        <v>188546901.83730286</v>
      </c>
      <c r="J28" s="1195">
        <f t="shared" si="3"/>
        <v>220701936.72478995</v>
      </c>
      <c r="K28" s="1195">
        <f t="shared" si="3"/>
        <v>260553738.60162413</v>
      </c>
      <c r="L28" s="1195">
        <f t="shared" si="3"/>
        <v>306806160.43164474</v>
      </c>
      <c r="M28" s="1195">
        <f t="shared" si="3"/>
        <v>359514754.25002873</v>
      </c>
      <c r="N28" s="1195">
        <f t="shared" si="3"/>
        <v>409641146.71254361</v>
      </c>
      <c r="O28" s="1195">
        <f t="shared" si="3"/>
        <v>465935625.70908046</v>
      </c>
      <c r="P28" s="1195">
        <f t="shared" si="3"/>
        <v>535707423.96027094</v>
      </c>
      <c r="Q28" s="1195">
        <f t="shared" si="3"/>
        <v>616172285.10042357</v>
      </c>
      <c r="R28" s="1196">
        <f t="shared" si="3"/>
        <v>709015566.63914216</v>
      </c>
      <c r="S28" s="93"/>
      <c r="T28" s="94"/>
      <c r="U28" s="96"/>
      <c r="V28" s="94"/>
      <c r="W28" s="94"/>
      <c r="X28" s="94"/>
      <c r="Y28" s="94"/>
    </row>
    <row r="29" spans="2:25" s="60" customFormat="1">
      <c r="B29" s="1185" t="s">
        <v>323</v>
      </c>
      <c r="C29" s="1189">
        <f>'IMF Data'!C30*1000</f>
        <v>31424000</v>
      </c>
      <c r="D29" s="1190">
        <f>'IMF Data'!D30*1000</f>
        <v>38603000</v>
      </c>
      <c r="E29" s="1190">
        <f>'IMF Data'!E30*1000</f>
        <v>47859600</v>
      </c>
      <c r="F29" s="1190">
        <f>'IMF Data'!F30*1000</f>
        <v>60523000</v>
      </c>
      <c r="G29" s="1190">
        <f>'IMF Data'!G30*1000</f>
        <v>77900000</v>
      </c>
      <c r="H29" s="1190">
        <f>'IMF Data'!H30*1000</f>
        <v>98636636.610107213</v>
      </c>
      <c r="I29" s="1190">
        <f>'IMF Data'!I30*1000</f>
        <v>128072247.39748043</v>
      </c>
      <c r="J29" s="1190">
        <f>'IMF Data'!J30*1000</f>
        <v>152214613.8539089</v>
      </c>
      <c r="K29" s="1190">
        <f>'IMF Data'!K30*1000</f>
        <v>182693830.2971797</v>
      </c>
      <c r="L29" s="1190">
        <f>'IMF Data'!L30*1000</f>
        <v>218530151.40079147</v>
      </c>
      <c r="M29" s="1190">
        <f>'IMF Data'!M30*1000</f>
        <v>259887503.3230311</v>
      </c>
      <c r="N29" s="1190">
        <f>'IMF Data'!N30*1000</f>
        <v>296531900.33359748</v>
      </c>
      <c r="O29" s="1190">
        <f>'IMF Data'!O30*1000</f>
        <v>337746436.25212836</v>
      </c>
      <c r="P29" s="1190">
        <f>'IMF Data'!P30*1000</f>
        <v>390428657.92749327</v>
      </c>
      <c r="Q29" s="1190">
        <f>'IMF Data'!Q30*1000</f>
        <v>451472902.34533477</v>
      </c>
      <c r="R29" s="1191">
        <f>'IMF Data'!R30*1000</f>
        <v>522236774.88248181</v>
      </c>
      <c r="S29" s="93"/>
      <c r="T29" s="94"/>
      <c r="U29" s="96"/>
      <c r="V29" s="94"/>
      <c r="W29" s="94"/>
      <c r="X29" s="94"/>
      <c r="Y29" s="94"/>
    </row>
    <row r="30" spans="2:25" s="60" customFormat="1">
      <c r="B30" s="1185" t="s">
        <v>864</v>
      </c>
      <c r="C30" s="1189">
        <f>'IMF Data'!C31*1000</f>
        <v>14454000</v>
      </c>
      <c r="D30" s="1190">
        <f>'IMF Data'!D31*1000</f>
        <v>16545000</v>
      </c>
      <c r="E30" s="1190">
        <f>'IMF Data'!E31*1000</f>
        <v>21962000</v>
      </c>
      <c r="F30" s="1190">
        <f>'IMF Data'!F31*1000</f>
        <v>30983000</v>
      </c>
      <c r="G30" s="1190">
        <f>'IMF Data'!G31*1000</f>
        <v>28624000</v>
      </c>
      <c r="H30" s="1190">
        <f>'IMF Data'!H31*1000</f>
        <v>51057725.320682921</v>
      </c>
      <c r="I30" s="1190">
        <f>'IMF Data'!I31*1000</f>
        <v>60474654.439822443</v>
      </c>
      <c r="J30" s="1190">
        <f>'IMF Data'!J31*1000</f>
        <v>68487322.870881051</v>
      </c>
      <c r="K30" s="1190">
        <f>'IMF Data'!K31*1000</f>
        <v>77859908.304444447</v>
      </c>
      <c r="L30" s="1190">
        <f>'IMF Data'!L31*1000</f>
        <v>88276009.030853271</v>
      </c>
      <c r="M30" s="1190">
        <f>'IMF Data'!M31*1000</f>
        <v>99627250.926997647</v>
      </c>
      <c r="N30" s="1190">
        <f>'IMF Data'!N31*1000</f>
        <v>113109246.37894614</v>
      </c>
      <c r="O30" s="1190">
        <f>'IMF Data'!O31*1000</f>
        <v>128189189.45695207</v>
      </c>
      <c r="P30" s="1190">
        <f>'IMF Data'!P31*1000</f>
        <v>145278766.03277767</v>
      </c>
      <c r="Q30" s="1190">
        <f>'IMF Data'!Q31*1000</f>
        <v>164699382.75508884</v>
      </c>
      <c r="R30" s="1191">
        <f>'IMF Data'!R31*1000</f>
        <v>186778791.75666037</v>
      </c>
      <c r="S30" s="93"/>
      <c r="T30" s="94"/>
      <c r="U30" s="96"/>
      <c r="V30" s="94"/>
      <c r="W30" s="94"/>
      <c r="X30" s="94"/>
      <c r="Y30" s="94"/>
    </row>
    <row r="31" spans="2:25" s="60" customFormat="1">
      <c r="B31" s="1183" t="s">
        <v>865</v>
      </c>
      <c r="C31" s="1189">
        <f>'IMF Data'!C32*1000</f>
        <v>23660000</v>
      </c>
      <c r="D31" s="1190">
        <f>'IMF Data'!D32*1000</f>
        <v>26280000</v>
      </c>
      <c r="E31" s="1190">
        <f>'IMF Data'!E32*1000</f>
        <v>38309000</v>
      </c>
      <c r="F31" s="1190">
        <f>'IMF Data'!F32*1000</f>
        <v>60474000</v>
      </c>
      <c r="G31" s="1190">
        <f>'IMF Data'!G32*1000</f>
        <v>77040000</v>
      </c>
      <c r="H31" s="1190">
        <f>'IMF Data'!H32*1000</f>
        <v>77828819.766807675</v>
      </c>
      <c r="I31" s="1190">
        <f>'IMF Data'!I32*1000</f>
        <v>87449322.278696492</v>
      </c>
      <c r="J31" s="1190">
        <f>'IMF Data'!J32*1000</f>
        <v>99331150.897280827</v>
      </c>
      <c r="K31" s="1190">
        <f>'IMF Data'!K32*1000</f>
        <v>111239183.77378795</v>
      </c>
      <c r="L31" s="1190">
        <f>'IMF Data'!L32*1000</f>
        <v>124423683.20427375</v>
      </c>
      <c r="M31" s="1190">
        <f>'IMF Data'!M32*1000</f>
        <v>139077647.63999638</v>
      </c>
      <c r="N31" s="1190">
        <f>'IMF Data'!N32*1000</f>
        <v>158068772.65203235</v>
      </c>
      <c r="O31" s="1190">
        <f>'IMF Data'!O32*1000</f>
        <v>176009237.81238735</v>
      </c>
      <c r="P31" s="1190">
        <f>'IMF Data'!P32*1000</f>
        <v>195970398.47961539</v>
      </c>
      <c r="Q31" s="1190">
        <f>'IMF Data'!Q32*1000</f>
        <v>218233767.11454087</v>
      </c>
      <c r="R31" s="1191">
        <f>'IMF Data'!R32*1000</f>
        <v>243070535.59945619</v>
      </c>
      <c r="S31" s="93"/>
      <c r="T31" s="94"/>
      <c r="U31" s="96"/>
      <c r="V31" s="94"/>
      <c r="W31" s="94"/>
      <c r="X31" s="94"/>
      <c r="Y31" s="94"/>
    </row>
    <row r="32" spans="2:25" s="60" customFormat="1">
      <c r="B32" s="1183" t="s">
        <v>50</v>
      </c>
      <c r="C32" s="1189">
        <f>'IMF Data'!C33*1000</f>
        <v>5154000</v>
      </c>
      <c r="D32" s="1190">
        <f>'IMF Data'!D33*1000</f>
        <v>6113000</v>
      </c>
      <c r="E32" s="1190">
        <f>'IMF Data'!E33*1000</f>
        <v>9671100</v>
      </c>
      <c r="F32" s="1190">
        <f>'IMF Data'!F33*1000</f>
        <v>14237000.000000009</v>
      </c>
      <c r="G32" s="1190">
        <f>'IMF Data'!G33*1000</f>
        <v>15713999.999999998</v>
      </c>
      <c r="H32" s="1190">
        <f>'IMF Data'!H33*1000</f>
        <v>18583043.709737126</v>
      </c>
      <c r="I32" s="1190">
        <f>'IMF Data'!I33*1000</f>
        <v>24128683.349162094</v>
      </c>
      <c r="J32" s="1190">
        <f>'IMF Data'!J33*1000</f>
        <v>28492414.425282907</v>
      </c>
      <c r="K32" s="1190">
        <f>'IMF Data'!K33*1000</f>
        <v>33802824.528637528</v>
      </c>
      <c r="L32" s="1190">
        <f>'IMF Data'!L33*1000</f>
        <v>39971221.256430186</v>
      </c>
      <c r="M32" s="1190">
        <f>'IMF Data'!M33*1000</f>
        <v>47001847.592254892</v>
      </c>
      <c r="N32" s="1190">
        <f>'IMF Data'!N33*1000</f>
        <v>53362343.235523097</v>
      </c>
      <c r="O32" s="1190">
        <f>'IMF Data'!O33*1000</f>
        <v>60476713.848556258</v>
      </c>
      <c r="P32" s="1190">
        <f>'IMF Data'!P33*1000</f>
        <v>68539183.365272149</v>
      </c>
      <c r="Q32" s="1190">
        <f>'IMF Data'!Q33*1000</f>
        <v>77701384.056712762</v>
      </c>
      <c r="R32" s="1191">
        <f>'IMF Data'!R33*1000</f>
        <v>88117941.847505972</v>
      </c>
      <c r="S32" s="93"/>
      <c r="T32" s="94"/>
      <c r="U32" s="96"/>
      <c r="V32" s="94"/>
      <c r="W32" s="94"/>
      <c r="X32" s="94"/>
      <c r="Y32" s="94"/>
    </row>
    <row r="33" spans="2:31" s="60" customFormat="1">
      <c r="B33" s="1183" t="s">
        <v>866</v>
      </c>
      <c r="C33" s="1189">
        <f>'IMF Data'!C34*1000</f>
        <v>15459000</v>
      </c>
      <c r="D33" s="1190">
        <f>'IMF Data'!D34*1000</f>
        <v>17409000</v>
      </c>
      <c r="E33" s="1190">
        <f>'IMF Data'!E34*1000</f>
        <v>31165000</v>
      </c>
      <c r="F33" s="1190">
        <f>'IMF Data'!F34*1000</f>
        <v>32885000</v>
      </c>
      <c r="G33" s="1190">
        <f>'IMF Data'!G34*1000</f>
        <v>37643000</v>
      </c>
      <c r="H33" s="1190">
        <f>'IMF Data'!H34*1000</f>
        <v>48261595.553696342</v>
      </c>
      <c r="I33" s="1190">
        <f>'IMF Data'!I34*1000</f>
        <v>50131239.003879681</v>
      </c>
      <c r="J33" s="1190">
        <f>'IMF Data'!J34*1000</f>
        <v>56933957.511716485</v>
      </c>
      <c r="K33" s="1190">
        <f>'IMF Data'!K34*1000</f>
        <v>63608981.002733096</v>
      </c>
      <c r="L33" s="1190">
        <f>'IMF Data'!L34*1000</f>
        <v>70844101.721875474</v>
      </c>
      <c r="M33" s="1190">
        <f>'IMF Data'!M34*1000</f>
        <v>78483281.183690846</v>
      </c>
      <c r="N33" s="1190">
        <f>'IMF Data'!N34*1000</f>
        <v>89103982.147806108</v>
      </c>
      <c r="O33" s="1190">
        <f>'IMF Data'!O34*1000</f>
        <v>100983497.05776206</v>
      </c>
      <c r="P33" s="1190">
        <f>'IMF Data'!P34*1000</f>
        <v>114446139.36928727</v>
      </c>
      <c r="Q33" s="1190">
        <f>'IMF Data'!Q34*1000</f>
        <v>129745103.34546578</v>
      </c>
      <c r="R33" s="1191">
        <f>'IMF Data'!R34*1000</f>
        <v>147138582.02641243</v>
      </c>
      <c r="S33" s="93"/>
      <c r="T33" s="94"/>
      <c r="U33" s="96"/>
      <c r="V33" s="94"/>
      <c r="W33" s="94"/>
      <c r="X33" s="94"/>
      <c r="Y33" s="94"/>
    </row>
    <row r="34" spans="2:31" s="60" customFormat="1">
      <c r="B34" s="1183" t="s">
        <v>867</v>
      </c>
      <c r="C34" s="1189">
        <f>'IMF Data'!C35*1000</f>
        <v>17316000</v>
      </c>
      <c r="D34" s="1190">
        <f>'IMF Data'!D35*1000</f>
        <v>17835000</v>
      </c>
      <c r="E34" s="1190">
        <f>'IMF Data'!E35*1000</f>
        <v>22139700</v>
      </c>
      <c r="F34" s="1190">
        <f>'IMF Data'!F35*1000</f>
        <v>25231000</v>
      </c>
      <c r="G34" s="1190">
        <f>'IMF Data'!G35*1000</f>
        <v>28144000</v>
      </c>
      <c r="H34" s="1190">
        <f>'IMF Data'!H35*1000</f>
        <v>36183438.35306409</v>
      </c>
      <c r="I34" s="1190">
        <f>'IMF Data'!I35*1000</f>
        <v>46981470.858164422</v>
      </c>
      <c r="J34" s="1190">
        <f>'IMF Data'!J35*1000</f>
        <v>51457970.911267914</v>
      </c>
      <c r="K34" s="1190">
        <f>'IMF Data'!K35*1000</f>
        <v>55955603.653035633</v>
      </c>
      <c r="L34" s="1190">
        <f>'IMF Data'!L35*1000</f>
        <v>60720652.745086253</v>
      </c>
      <c r="M34" s="1190">
        <f>'IMF Data'!M35*1000</f>
        <v>65660908.635397658</v>
      </c>
      <c r="N34" s="1190">
        <f>'IMF Data'!N35*1000</f>
        <v>74546430.050034523</v>
      </c>
      <c r="O34" s="1190">
        <f>'IMF Data'!O35*1000</f>
        <v>84485104.011815235</v>
      </c>
      <c r="P34" s="1190">
        <f>'IMF Data'!P35*1000</f>
        <v>95748258.577679485</v>
      </c>
      <c r="Q34" s="1190">
        <f>'IMF Data'!Q35*1000</f>
        <v>108547721.8608844</v>
      </c>
      <c r="R34" s="1191">
        <f>'IMF Data'!R35*1000</f>
        <v>123099504.06591664</v>
      </c>
      <c r="S34" s="93"/>
      <c r="T34" s="94"/>
      <c r="U34" s="96"/>
      <c r="V34" s="94"/>
      <c r="W34" s="94"/>
      <c r="X34" s="94"/>
      <c r="Y34" s="94"/>
    </row>
    <row r="35" spans="2:31" s="60" customFormat="1" ht="7.5" customHeight="1">
      <c r="B35" s="257"/>
      <c r="C35" s="1189"/>
      <c r="D35" s="1190"/>
      <c r="E35" s="1190"/>
      <c r="F35" s="1190"/>
      <c r="G35" s="1190"/>
      <c r="H35" s="1190"/>
      <c r="I35" s="1190"/>
      <c r="J35" s="1190"/>
      <c r="K35" s="1190"/>
      <c r="L35" s="1190"/>
      <c r="M35" s="1190"/>
      <c r="N35" s="1190"/>
      <c r="O35" s="1190"/>
      <c r="P35" s="1190"/>
      <c r="Q35" s="1190"/>
      <c r="R35" s="1191"/>
      <c r="S35" s="232"/>
      <c r="T35" s="231"/>
      <c r="U35" s="96">
        <f>((D35+E35)/2)/(($D$38+$E$38)/2)</f>
        <v>0</v>
      </c>
      <c r="V35" s="94">
        <v>0</v>
      </c>
      <c r="W35" s="94">
        <v>0</v>
      </c>
      <c r="X35" s="94">
        <v>0</v>
      </c>
    </row>
    <row r="36" spans="2:31" s="60" customFormat="1">
      <c r="B36" s="256" t="s">
        <v>34</v>
      </c>
      <c r="C36" s="1186">
        <f>'IMF Data'!C36*1000</f>
        <v>3789000</v>
      </c>
      <c r="D36" s="1187">
        <f>'IMF Data'!D36*1000</f>
        <v>7897000</v>
      </c>
      <c r="E36" s="1187">
        <f>'IMF Data'!E36*1000</f>
        <v>6012000</v>
      </c>
      <c r="F36" s="1187">
        <f>'IMF Data'!F36*1000</f>
        <v>9400000</v>
      </c>
      <c r="G36" s="1187">
        <f>'IMF Data'!G36*1000</f>
        <v>6520000</v>
      </c>
      <c r="H36" s="1187">
        <f>'IMF Data'!H36*1000</f>
        <v>5500000</v>
      </c>
      <c r="I36" s="1187">
        <f>'IMF Data'!I36*1000</f>
        <v>5000000</v>
      </c>
      <c r="J36" s="1187">
        <f>'IMF Data'!J36*1000</f>
        <v>5605284.7559661232</v>
      </c>
      <c r="K36" s="1187">
        <f>'IMF Data'!K36*1000</f>
        <v>6179273.4782614075</v>
      </c>
      <c r="L36" s="1187">
        <f>'IMF Data'!L36*1000</f>
        <v>6652101.663401613</v>
      </c>
      <c r="M36" s="1187">
        <f>'IMF Data'!M36*1000</f>
        <v>6976650.4950225707</v>
      </c>
      <c r="N36" s="1187">
        <f>'IMF Data'!N36*1000</f>
        <v>7128685.2257680474</v>
      </c>
      <c r="O36" s="1187">
        <f>'IMF Data'!O36*1000</f>
        <v>7271185.7714184746</v>
      </c>
      <c r="P36" s="1187">
        <f>'IMF Data'!P36*1000</f>
        <v>7416491.2879752191</v>
      </c>
      <c r="Q36" s="1187">
        <f>'IMF Data'!Q36*1000</f>
        <v>7567123.631516655</v>
      </c>
      <c r="R36" s="1188">
        <f>'IMF Data'!R36*1000</f>
        <v>7723407.1360346666</v>
      </c>
      <c r="S36" s="99"/>
      <c r="T36" s="239"/>
      <c r="U36" s="96">
        <f>((D36+E36)/2)/(($D$38+$E$38)/2)</f>
        <v>2.2899898680008284E-2</v>
      </c>
      <c r="V36" s="94">
        <v>1.0599078341013824E-2</v>
      </c>
      <c r="W36" s="94">
        <v>1.362088535754824E-2</v>
      </c>
      <c r="X36" s="94">
        <v>1.0416666666666666E-2</v>
      </c>
    </row>
    <row r="37" spans="2:31" s="60" customFormat="1">
      <c r="B37" s="1026" t="s">
        <v>63</v>
      </c>
      <c r="C37" s="1027">
        <f>'IMF Data'!C20*1000</f>
        <v>228289000</v>
      </c>
      <c r="D37" s="1027">
        <f>'IMF Data'!D20*1000</f>
        <v>279472000</v>
      </c>
      <c r="E37" s="1027">
        <f>'IMF Data'!E20*1000</f>
        <v>327910600.00000006</v>
      </c>
      <c r="F37" s="1027">
        <f>'IMF Data'!F20*1000</f>
        <v>430535000</v>
      </c>
      <c r="G37" s="1027">
        <f>'IMF Data'!G20*1000</f>
        <v>442341000</v>
      </c>
      <c r="H37" s="1027">
        <f>'IMF Data'!H20*1000</f>
        <v>557986681.45034456</v>
      </c>
      <c r="I37" s="1027">
        <f>'IMF Data'!I20*1000</f>
        <v>669005206.87984276</v>
      </c>
      <c r="J37" s="1027">
        <f>'IMF Data'!J20*1000</f>
        <v>773892538.6329248</v>
      </c>
      <c r="K37" s="1027">
        <f>'IMF Data'!K20*1000</f>
        <v>889647518.68079507</v>
      </c>
      <c r="L37" s="1027">
        <f>'IMF Data'!L20*1000</f>
        <v>1023344157.7558945</v>
      </c>
      <c r="M37" s="1027">
        <f>'IMF Data'!M20*1000</f>
        <v>1175398833.2093289</v>
      </c>
      <c r="N37" s="1027">
        <f>'IMF Data'!N20*1000</f>
        <v>1332120728.0891364</v>
      </c>
      <c r="O37" s="1027">
        <f>'IMF Data'!O20*1000</f>
        <v>1500755611.4114082</v>
      </c>
      <c r="P37" s="1027">
        <f>'IMF Data'!P20*1000</f>
        <v>1693975948.071764</v>
      </c>
      <c r="Q37" s="1027">
        <f>'IMF Data'!Q20*1000</f>
        <v>1911250153.1182036</v>
      </c>
      <c r="R37" s="1027">
        <f>'IMF Data'!R20*1000</f>
        <v>2156631720.0761662</v>
      </c>
      <c r="S37" s="1028"/>
      <c r="T37" s="1029"/>
      <c r="U37" s="96">
        <f>((D37+E37)/2)/(($D$38+$E$38)/2)</f>
        <v>1</v>
      </c>
      <c r="V37" s="94">
        <v>1.0520226971899471</v>
      </c>
      <c r="W37" s="94">
        <v>1.0574044646235337</v>
      </c>
      <c r="X37" s="94">
        <v>1.1385784722222223</v>
      </c>
    </row>
    <row r="38" spans="2:31" s="60" customFormat="1">
      <c r="B38" s="95" t="s">
        <v>579</v>
      </c>
      <c r="C38" s="1198">
        <f>C36+C20</f>
        <v>228289000</v>
      </c>
      <c r="D38" s="1198">
        <f t="shared" ref="D38:R38" si="4">D36+D20</f>
        <v>279472000</v>
      </c>
      <c r="E38" s="1198">
        <f t="shared" si="4"/>
        <v>327910600</v>
      </c>
      <c r="F38" s="1198">
        <f t="shared" si="4"/>
        <v>430535000</v>
      </c>
      <c r="G38" s="1198">
        <f t="shared" si="4"/>
        <v>442341000</v>
      </c>
      <c r="H38" s="1198">
        <f t="shared" si="4"/>
        <v>557986681.45034468</v>
      </c>
      <c r="I38" s="1198">
        <f t="shared" si="4"/>
        <v>669005206.87984264</v>
      </c>
      <c r="J38" s="1198">
        <f t="shared" si="4"/>
        <v>773892538.63292468</v>
      </c>
      <c r="K38" s="1198">
        <f t="shared" si="4"/>
        <v>889647518.68079495</v>
      </c>
      <c r="L38" s="1198">
        <f t="shared" si="4"/>
        <v>1023344157.7558947</v>
      </c>
      <c r="M38" s="1198">
        <f t="shared" si="4"/>
        <v>1175398833.2093291</v>
      </c>
      <c r="N38" s="1198">
        <f t="shared" si="4"/>
        <v>1332120728.0891364</v>
      </c>
      <c r="O38" s="1198">
        <f t="shared" si="4"/>
        <v>1500755611.4114087</v>
      </c>
      <c r="P38" s="1198">
        <f t="shared" si="4"/>
        <v>1693975948.0717642</v>
      </c>
      <c r="Q38" s="1198">
        <f t="shared" si="4"/>
        <v>1911250153.1182036</v>
      </c>
      <c r="R38" s="1198">
        <f t="shared" si="4"/>
        <v>2156631720.0761662</v>
      </c>
      <c r="S38" s="1028"/>
      <c r="T38" s="1029"/>
      <c r="U38" s="96">
        <f>((D38+E38)/2)/(($D$38+$E$38)/2)</f>
        <v>1</v>
      </c>
      <c r="V38" s="94">
        <v>1</v>
      </c>
      <c r="W38" s="94">
        <v>1</v>
      </c>
      <c r="X38" s="94">
        <v>1</v>
      </c>
    </row>
    <row r="39" spans="2:31" s="60" customFormat="1">
      <c r="B39" s="307" t="s">
        <v>208</v>
      </c>
      <c r="C39" s="1199">
        <f>C37/ECO!B$64*100</f>
        <v>27.202804216129017</v>
      </c>
      <c r="D39" s="1199">
        <f>D37/ECO!C$64*100</f>
        <v>28.685419264779089</v>
      </c>
      <c r="E39" s="1199">
        <f>E37/ECO!D$64*100</f>
        <v>28.670647506433188</v>
      </c>
      <c r="F39" s="1199">
        <f>F38/ECO!E$64*100</f>
        <v>28.991514021863413</v>
      </c>
      <c r="G39" s="1199">
        <f>G38/ECO!F$64*100</f>
        <v>26.672933792976195</v>
      </c>
      <c r="H39" s="1199">
        <f>H38/ECO!G$64*100</f>
        <v>28.168148345810977</v>
      </c>
      <c r="I39" s="1199">
        <f>I38/ECO!H$64*100</f>
        <v>27.785370193542814</v>
      </c>
      <c r="J39" s="1199">
        <f>J38/ECO!I$64*100</f>
        <v>28.097375064699342</v>
      </c>
      <c r="K39" s="1199">
        <f>K38/ECO!J$64*100</f>
        <v>28.127721801650978</v>
      </c>
      <c r="L39" s="1199">
        <f>L38/ECO!K$64*100</f>
        <v>28.251706955473736</v>
      </c>
      <c r="M39" s="1199">
        <f>M38/ECO!L$64*100</f>
        <v>28.464789194191752</v>
      </c>
      <c r="N39" s="1199">
        <f>N38/ECO!M$64*100</f>
        <v>28.414913649480795</v>
      </c>
      <c r="O39" s="1199">
        <f>O38/ECO!N$64*100</f>
        <v>28.246161487449008</v>
      </c>
      <c r="P39" s="1199">
        <f>P38/ECO!O$64*100</f>
        <v>28.132346678303104</v>
      </c>
      <c r="Q39" s="1199">
        <f>Q38/ECO!P$64*100</f>
        <v>27.997962335889039</v>
      </c>
      <c r="R39" s="1199">
        <f>R38/ECO!Q$64*100</f>
        <v>27.857958701276576</v>
      </c>
      <c r="S39" s="1028"/>
      <c r="T39" s="233"/>
      <c r="U39" s="231" t="s">
        <v>51</v>
      </c>
      <c r="V39" s="94">
        <f>C39/C$38</f>
        <v>1.1915950490881741E-7</v>
      </c>
      <c r="W39" s="94">
        <f>D39/D$38</f>
        <v>1.0264147844785555E-7</v>
      </c>
      <c r="X39" s="94">
        <f>E39/E$38</f>
        <v>8.7434341879869655E-8</v>
      </c>
    </row>
    <row r="40" spans="2:31" s="60" customFormat="1">
      <c r="B40" s="299"/>
      <c r="C40" s="1025"/>
      <c r="D40" s="1025"/>
      <c r="E40" s="1025"/>
      <c r="F40" s="1025"/>
      <c r="G40" s="1025"/>
      <c r="H40" s="1025"/>
      <c r="I40" s="1025"/>
      <c r="J40" s="1025"/>
      <c r="K40" s="1025"/>
      <c r="L40" s="1025"/>
      <c r="M40" s="1025"/>
      <c r="N40" s="1025"/>
      <c r="O40" s="1025"/>
      <c r="P40" s="1025"/>
      <c r="Q40" s="1025"/>
      <c r="R40" s="1025"/>
      <c r="S40" s="71"/>
      <c r="T40" s="56"/>
      <c r="U40" s="56"/>
      <c r="V40" s="56"/>
      <c r="W40" s="56"/>
      <c r="X40" s="56"/>
    </row>
    <row r="41" spans="2:31" s="60" customFormat="1" ht="18.75">
      <c r="B41" s="1033" t="s">
        <v>971</v>
      </c>
      <c r="C41" s="1025"/>
      <c r="D41" s="1025"/>
      <c r="E41" s="1025"/>
      <c r="F41" s="1025"/>
      <c r="G41" s="1025"/>
      <c r="H41" s="1025"/>
      <c r="I41" s="1025"/>
      <c r="J41" s="1025"/>
      <c r="K41" s="1025"/>
      <c r="L41" s="1025"/>
      <c r="M41" s="1025"/>
      <c r="N41" s="1025"/>
      <c r="O41" s="1025"/>
      <c r="P41" s="1025"/>
      <c r="Q41" s="1025"/>
      <c r="R41" s="1025"/>
      <c r="S41" s="71"/>
      <c r="T41" s="56"/>
      <c r="U41" s="56"/>
      <c r="V41" s="56"/>
      <c r="W41" s="56"/>
      <c r="X41" s="56"/>
    </row>
    <row r="42" spans="2:31" s="60" customFormat="1">
      <c r="B42" s="299"/>
      <c r="C42" s="1025"/>
      <c r="D42" s="1025"/>
      <c r="E42" s="1025"/>
      <c r="F42" s="1025"/>
      <c r="G42" s="1025"/>
      <c r="H42" s="1025"/>
      <c r="I42" s="1025"/>
      <c r="J42" s="1025"/>
      <c r="K42" s="1025"/>
      <c r="L42" s="1025"/>
      <c r="M42" s="1025"/>
      <c r="N42" s="1025"/>
      <c r="O42" s="1025"/>
      <c r="P42" s="1025"/>
      <c r="Q42" s="1025"/>
      <c r="R42" s="1025"/>
      <c r="S42" s="71"/>
      <c r="T42" s="56"/>
      <c r="U42" s="56"/>
      <c r="V42" s="56"/>
      <c r="W42" s="56"/>
      <c r="X42" s="56"/>
    </row>
    <row r="43" spans="2:31" s="60" customFormat="1">
      <c r="B43" s="644"/>
      <c r="C43" s="1517" t="s">
        <v>730</v>
      </c>
      <c r="D43" s="1518"/>
      <c r="E43" s="1518"/>
      <c r="F43" s="1518"/>
      <c r="G43" s="1518"/>
      <c r="H43" s="1518"/>
      <c r="I43" s="1517" t="s">
        <v>734</v>
      </c>
      <c r="J43" s="1518"/>
      <c r="K43" s="1518"/>
      <c r="L43" s="1518"/>
      <c r="M43" s="1518"/>
      <c r="N43" s="1518"/>
      <c r="O43" s="1518"/>
      <c r="P43" s="1518"/>
      <c r="Q43" s="1518"/>
      <c r="R43" s="1519"/>
      <c r="S43" s="1520" t="s">
        <v>744</v>
      </c>
      <c r="T43" s="645"/>
      <c r="U43" s="56"/>
      <c r="V43" s="56"/>
      <c r="W43" s="56"/>
      <c r="X43" s="56"/>
    </row>
    <row r="44" spans="2:31" s="60" customFormat="1">
      <c r="B44" s="1018" t="s">
        <v>764</v>
      </c>
      <c r="C44" s="646">
        <v>2005</v>
      </c>
      <c r="D44" s="647">
        <v>2006</v>
      </c>
      <c r="E44" s="647">
        <v>2007</v>
      </c>
      <c r="F44" s="647">
        <v>2008</v>
      </c>
      <c r="G44" s="647">
        <v>2009</v>
      </c>
      <c r="H44" s="647">
        <v>2010</v>
      </c>
      <c r="I44" s="646">
        <v>2011</v>
      </c>
      <c r="J44" s="647">
        <v>2012</v>
      </c>
      <c r="K44" s="647">
        <v>2013</v>
      </c>
      <c r="L44" s="647">
        <v>2014</v>
      </c>
      <c r="M44" s="647">
        <v>2015</v>
      </c>
      <c r="N44" s="647">
        <v>2016</v>
      </c>
      <c r="O44" s="647">
        <v>2017</v>
      </c>
      <c r="P44" s="647">
        <v>2018</v>
      </c>
      <c r="Q44" s="647">
        <v>2019</v>
      </c>
      <c r="R44" s="648">
        <v>2020</v>
      </c>
      <c r="S44" s="1521"/>
      <c r="T44" s="649"/>
      <c r="U44" s="56"/>
      <c r="V44" s="56"/>
      <c r="W44" s="56"/>
      <c r="X44" s="56"/>
    </row>
    <row r="45" spans="2:31" s="60" customFormat="1">
      <c r="B45" s="1019"/>
      <c r="C45" s="97"/>
      <c r="D45" s="97"/>
      <c r="E45" s="97"/>
      <c r="F45" s="97"/>
      <c r="G45" s="97"/>
      <c r="H45" s="97"/>
      <c r="I45" s="97"/>
      <c r="J45" s="97"/>
      <c r="K45" s="97"/>
      <c r="L45" s="97"/>
      <c r="M45" s="97"/>
      <c r="N45" s="233"/>
      <c r="O45" s="233"/>
      <c r="P45" s="233"/>
      <c r="Q45" s="233"/>
      <c r="R45" s="233"/>
      <c r="S45" s="232"/>
      <c r="T45" s="231"/>
      <c r="U45" s="96"/>
      <c r="V45" s="231"/>
      <c r="W45" s="231"/>
      <c r="X45" s="231"/>
      <c r="Z45" s="60" t="s">
        <v>66</v>
      </c>
    </row>
    <row r="46" spans="2:31" s="60" customFormat="1">
      <c r="B46" s="1019"/>
      <c r="C46" s="97">
        <f>C48+C49+C50+C60+C61+C62+C63+C66</f>
        <v>149893000</v>
      </c>
      <c r="D46" s="97">
        <f t="shared" ref="D46:R46" si="5">D48+D49+D50+D60+D61+D62+D63+D66</f>
        <v>180070000</v>
      </c>
      <c r="E46" s="97">
        <f t="shared" si="5"/>
        <v>232010678.92699999</v>
      </c>
      <c r="F46" s="97">
        <f t="shared" si="5"/>
        <v>292374000</v>
      </c>
      <c r="G46" s="97">
        <f t="shared" si="5"/>
        <v>347153429.31816053</v>
      </c>
      <c r="H46" s="97">
        <f t="shared" si="5"/>
        <v>417147775.45656449</v>
      </c>
      <c r="I46" s="97">
        <f>I48+I49+I50+I60+I61+I62+I63+I66</f>
        <v>525625344.51346183</v>
      </c>
      <c r="J46" s="97">
        <f>J48+J49+J50+J60+J61+J62+J63+J66</f>
        <v>606953066.87312758</v>
      </c>
      <c r="K46" s="97">
        <f t="shared" si="5"/>
        <v>693560250.76813376</v>
      </c>
      <c r="L46" s="97">
        <f t="shared" si="5"/>
        <v>792908010.05808079</v>
      </c>
      <c r="M46" s="97">
        <f t="shared" si="5"/>
        <v>900558504.54025507</v>
      </c>
      <c r="N46" s="97">
        <f t="shared" si="5"/>
        <v>1019980181.9109972</v>
      </c>
      <c r="O46" s="97">
        <f t="shared" si="5"/>
        <v>1156915793.2135243</v>
      </c>
      <c r="P46" s="97">
        <f t="shared" si="5"/>
        <v>1313381981.2147646</v>
      </c>
      <c r="Q46" s="97">
        <f t="shared" si="5"/>
        <v>1491728554.4555199</v>
      </c>
      <c r="R46" s="97">
        <f t="shared" si="5"/>
        <v>1693823269.9556642</v>
      </c>
      <c r="S46" s="232"/>
      <c r="T46" s="231"/>
      <c r="U46" s="96"/>
      <c r="V46" s="231">
        <v>2005</v>
      </c>
      <c r="W46" s="231">
        <v>2006</v>
      </c>
      <c r="X46" s="231">
        <v>2007</v>
      </c>
      <c r="Y46" s="60">
        <v>2008</v>
      </c>
      <c r="Z46" s="231">
        <v>2009</v>
      </c>
      <c r="AA46" s="231">
        <v>2010</v>
      </c>
      <c r="AB46" s="231">
        <v>2011</v>
      </c>
      <c r="AD46" s="60" t="s">
        <v>1013</v>
      </c>
      <c r="AE46" s="1259" t="s">
        <v>1014</v>
      </c>
    </row>
    <row r="47" spans="2:31" s="60" customFormat="1">
      <c r="B47" s="301" t="s">
        <v>209</v>
      </c>
      <c r="C47" s="1279">
        <f>'IMF Data'!C39*1000</f>
        <v>149893000</v>
      </c>
      <c r="D47" s="1279">
        <f>'IMF Data'!D39*1000</f>
        <v>180069000</v>
      </c>
      <c r="E47" s="1279">
        <f>'IMF Data'!E39*1000</f>
        <v>231818678.92699999</v>
      </c>
      <c r="F47" s="1279">
        <f>'IMF Data'!F39*1000</f>
        <v>292370000</v>
      </c>
      <c r="G47" s="1200">
        <f>'IMF Data'!G39*1000</f>
        <v>347081000</v>
      </c>
      <c r="H47" s="1200">
        <f>'IMF Data'!H39*1000</f>
        <v>417059999.99999994</v>
      </c>
      <c r="I47" s="1200">
        <f>'IMF Data'!I39*1000</f>
        <v>525515590.32497692</v>
      </c>
      <c r="J47" s="1200">
        <f>'IMF Data'!J39*1000</f>
        <v>606827515.14259338</v>
      </c>
      <c r="K47" s="1200">
        <f>'IMF Data'!K39*1000</f>
        <v>693416075.35443616</v>
      </c>
      <c r="L47" s="1200">
        <f>'IMF Data'!L39*1000</f>
        <v>792742895.70999634</v>
      </c>
      <c r="M47" s="1200">
        <f>'IMF Data'!M39*1000</f>
        <v>900370276.17264462</v>
      </c>
      <c r="N47" s="1200">
        <f>'IMF Data'!N39*1000</f>
        <v>1019766481.6572067</v>
      </c>
      <c r="O47" s="1200">
        <f>'IMF Data'!O39*1000</f>
        <v>1156673602.0293624</v>
      </c>
      <c r="P47" s="1200">
        <f>'IMF Data'!P39*1000</f>
        <v>1313107502.2471693</v>
      </c>
      <c r="Q47" s="1200">
        <f>'IMF Data'!Q39*1000</f>
        <v>1491417383.6094513</v>
      </c>
      <c r="R47" s="1200">
        <f>'IMF Data'!R39*1000</f>
        <v>1693470383.9054167</v>
      </c>
      <c r="S47" s="93"/>
      <c r="T47" s="94"/>
      <c r="U47" s="953">
        <v>0.60897823458282951</v>
      </c>
      <c r="V47" s="1260">
        <f>(C47-C$66)/(C$47-C$66)</f>
        <v>1</v>
      </c>
      <c r="W47" s="1260">
        <f t="shared" ref="W47:AB47" si="6">D47/D$47</f>
        <v>1</v>
      </c>
      <c r="X47" s="1260">
        <f t="shared" si="6"/>
        <v>1</v>
      </c>
      <c r="Y47" s="1260">
        <f t="shared" si="6"/>
        <v>1</v>
      </c>
      <c r="Z47" s="1260">
        <f t="shared" si="6"/>
        <v>1</v>
      </c>
      <c r="AA47" s="1260">
        <f t="shared" si="6"/>
        <v>1</v>
      </c>
      <c r="AB47" s="1260">
        <f t="shared" si="6"/>
        <v>1</v>
      </c>
      <c r="AC47" s="1261"/>
      <c r="AD47" s="1264">
        <f>AVERAGE(V47:Y47)</f>
        <v>1</v>
      </c>
      <c r="AE47" s="1262">
        <f>AVERAGE(V47:AB47)</f>
        <v>1</v>
      </c>
    </row>
    <row r="48" spans="2:31" s="60" customFormat="1">
      <c r="B48" s="257" t="s">
        <v>1000</v>
      </c>
      <c r="C48" s="1280">
        <v>18761000</v>
      </c>
      <c r="D48" s="1280">
        <v>18515000</v>
      </c>
      <c r="E48" s="1280">
        <v>32070999.999999996</v>
      </c>
      <c r="F48" s="1280">
        <v>38025000</v>
      </c>
      <c r="G48" s="1223">
        <f>(G$47-G$66)*$AD48</f>
        <v>42243631.13548658</v>
      </c>
      <c r="H48" s="1223">
        <f t="shared" ref="H48:R49" si="7">(H$47-H$66)*$AD48</f>
        <v>51194103.493328862</v>
      </c>
      <c r="I48" s="1223">
        <f t="shared" si="7"/>
        <v>64012965.628914535</v>
      </c>
      <c r="J48" s="1223">
        <f t="shared" si="7"/>
        <v>73226714.372232258</v>
      </c>
      <c r="K48" s="1223">
        <f t="shared" si="7"/>
        <v>84088779.926787987</v>
      </c>
      <c r="L48" s="1223">
        <f t="shared" si="7"/>
        <v>96301191.186173081</v>
      </c>
      <c r="M48" s="1223">
        <f t="shared" si="7"/>
        <v>109782197.76908365</v>
      </c>
      <c r="N48" s="1223">
        <f t="shared" si="7"/>
        <v>124638405.05429955</v>
      </c>
      <c r="O48" s="1223">
        <f t="shared" si="7"/>
        <v>141255437.82326809</v>
      </c>
      <c r="P48" s="1223">
        <f t="shared" si="7"/>
        <v>160086944.84549767</v>
      </c>
      <c r="Q48" s="1223">
        <f t="shared" si="7"/>
        <v>181487093.5595136</v>
      </c>
      <c r="R48" s="1223">
        <f t="shared" si="7"/>
        <v>205817043.67939752</v>
      </c>
      <c r="S48" s="93"/>
      <c r="T48" s="94"/>
      <c r="U48" s="953"/>
      <c r="V48" s="1260">
        <f>(C48)/(C$47-C$66)</f>
        <v>0.13094673069406443</v>
      </c>
      <c r="W48" s="1260">
        <f t="shared" ref="W48:AB63" si="8">(D48)/(D$47-D$66)</f>
        <v>0.10758030028354948</v>
      </c>
      <c r="X48" s="1260">
        <f t="shared" si="8"/>
        <v>0.14633689232395214</v>
      </c>
      <c r="Y48" s="1260">
        <f t="shared" si="8"/>
        <v>0.1379516760992599</v>
      </c>
      <c r="Z48" s="1260">
        <f t="shared" si="8"/>
        <v>0.13070389985020647</v>
      </c>
      <c r="AA48" s="1260">
        <f t="shared" si="8"/>
        <v>0.13070389985020647</v>
      </c>
      <c r="AB48" s="1260">
        <f t="shared" si="8"/>
        <v>0.13070389985020647</v>
      </c>
      <c r="AC48" s="1261"/>
      <c r="AD48" s="1264">
        <f t="shared" ref="AD48:AD65" si="9">AVERAGE(V48:Y48)</f>
        <v>0.13070389985020647</v>
      </c>
      <c r="AE48" s="1262">
        <f t="shared" ref="AE48:AE65" si="10">AVERAGE(V48:AB48)</f>
        <v>0.13070389985020647</v>
      </c>
    </row>
    <row r="49" spans="2:31" s="60" customFormat="1">
      <c r="B49" s="257" t="s">
        <v>1001</v>
      </c>
      <c r="C49" s="1280">
        <v>11801000</v>
      </c>
      <c r="D49" s="1280">
        <v>14212000</v>
      </c>
      <c r="E49" s="1280">
        <v>15936000</v>
      </c>
      <c r="F49" s="1280">
        <v>21193000</v>
      </c>
      <c r="G49" s="1223">
        <f>(G$47-G$66)*$AD49</f>
        <v>25415454.895158514</v>
      </c>
      <c r="H49" s="1223">
        <f t="shared" si="7"/>
        <v>30800416.37660677</v>
      </c>
      <c r="I49" s="1223">
        <f t="shared" si="7"/>
        <v>38512755.577972166</v>
      </c>
      <c r="J49" s="1223">
        <f t="shared" si="7"/>
        <v>44056114.64315442</v>
      </c>
      <c r="K49" s="1223">
        <f t="shared" si="7"/>
        <v>50591166.904278815</v>
      </c>
      <c r="L49" s="1223">
        <f t="shared" si="7"/>
        <v>57938641.048453204</v>
      </c>
      <c r="M49" s="1223">
        <f t="shared" si="7"/>
        <v>66049352.782735839</v>
      </c>
      <c r="N49" s="1223">
        <f t="shared" si="7"/>
        <v>74987440.158784062</v>
      </c>
      <c r="O49" s="1223">
        <f t="shared" si="7"/>
        <v>84984910.439607397</v>
      </c>
      <c r="P49" s="1223">
        <f t="shared" si="7"/>
        <v>96314696.835012257</v>
      </c>
      <c r="Q49" s="1223">
        <f t="shared" si="7"/>
        <v>109189880.61470065</v>
      </c>
      <c r="R49" s="1223">
        <f t="shared" si="7"/>
        <v>123827749.88048729</v>
      </c>
      <c r="S49" s="93"/>
      <c r="T49" s="94"/>
      <c r="U49" s="953"/>
      <c r="V49" s="1260">
        <f t="shared" ref="V49:V65" si="11">(C49)/(C$47-C$66)</f>
        <v>8.2367803897481717E-2</v>
      </c>
      <c r="W49" s="1260">
        <f t="shared" si="8"/>
        <v>8.2577976107469905E-2</v>
      </c>
      <c r="X49" s="1260">
        <f t="shared" si="8"/>
        <v>7.2714437219746866E-2</v>
      </c>
      <c r="Y49" s="1260">
        <f t="shared" si="8"/>
        <v>7.688651864751124E-2</v>
      </c>
      <c r="Z49" s="1260">
        <f t="shared" si="8"/>
        <v>7.8636683968052429E-2</v>
      </c>
      <c r="AA49" s="1260">
        <f t="shared" si="8"/>
        <v>7.8636683968052429E-2</v>
      </c>
      <c r="AB49" s="1260">
        <f t="shared" si="8"/>
        <v>7.8636683968052429E-2</v>
      </c>
      <c r="AC49" s="1261"/>
      <c r="AD49" s="1264">
        <f t="shared" si="9"/>
        <v>7.8636683968052429E-2</v>
      </c>
      <c r="AE49" s="1262">
        <f t="shared" si="10"/>
        <v>7.8636683968052443E-2</v>
      </c>
    </row>
    <row r="50" spans="2:31" s="1197" customFormat="1">
      <c r="B50" s="717" t="s">
        <v>1002</v>
      </c>
      <c r="C50" s="1281">
        <f>SUM(C51:C59)</f>
        <v>61475000</v>
      </c>
      <c r="D50" s="1281">
        <f t="shared" ref="D50:I50" si="12">SUM(D51:D59)</f>
        <v>78060000</v>
      </c>
      <c r="E50" s="1281">
        <f t="shared" si="12"/>
        <v>92028600</v>
      </c>
      <c r="F50" s="1281">
        <f t="shared" si="12"/>
        <v>114020000</v>
      </c>
      <c r="G50" s="1258">
        <f t="shared" si="12"/>
        <v>138670606.79331863</v>
      </c>
      <c r="H50" s="1258">
        <f t="shared" si="12"/>
        <v>168051779.75565368</v>
      </c>
      <c r="I50" s="1258">
        <f t="shared" si="12"/>
        <v>210131481.30972525</v>
      </c>
      <c r="J50" s="1258">
        <f t="shared" ref="J50:R50" si="13">SUM(J51:J59)</f>
        <v>240376895.70081288</v>
      </c>
      <c r="K50" s="1258">
        <f t="shared" si="13"/>
        <v>276033139.75445753</v>
      </c>
      <c r="L50" s="1258">
        <f t="shared" si="13"/>
        <v>316122081.78496087</v>
      </c>
      <c r="M50" s="1258">
        <f t="shared" si="13"/>
        <v>360375364.77195603</v>
      </c>
      <c r="N50" s="1258">
        <f t="shared" si="13"/>
        <v>409142935.72912246</v>
      </c>
      <c r="O50" s="1258">
        <f t="shared" si="13"/>
        <v>463690661.74696517</v>
      </c>
      <c r="P50" s="1258">
        <f t="shared" si="13"/>
        <v>525507708.13745737</v>
      </c>
      <c r="Q50" s="1258">
        <f t="shared" si="13"/>
        <v>595756678.87868118</v>
      </c>
      <c r="R50" s="1258">
        <f t="shared" si="13"/>
        <v>675623131.06776142</v>
      </c>
      <c r="S50" s="93"/>
      <c r="T50" s="94"/>
      <c r="U50" s="96"/>
      <c r="V50" s="1260">
        <f t="shared" si="11"/>
        <v>0.42907895471550617</v>
      </c>
      <c r="W50" s="1260">
        <f t="shared" si="8"/>
        <v>0.45356296192999579</v>
      </c>
      <c r="X50" s="1260">
        <f t="shared" si="8"/>
        <v>0.4199176617169425</v>
      </c>
      <c r="Y50" s="1260">
        <f t="shared" si="8"/>
        <v>0.41365549267160062</v>
      </c>
      <c r="Z50" s="1260">
        <f t="shared" si="8"/>
        <v>0.42905376775851134</v>
      </c>
      <c r="AA50" s="1260">
        <f t="shared" si="8"/>
        <v>0.42905376775851128</v>
      </c>
      <c r="AB50" s="1260">
        <f t="shared" si="8"/>
        <v>0.42905376775851128</v>
      </c>
      <c r="AC50" s="1263"/>
      <c r="AD50" s="1264">
        <f t="shared" si="9"/>
        <v>0.42905376775851123</v>
      </c>
      <c r="AE50" s="1262">
        <f t="shared" si="10"/>
        <v>0.42905376775851117</v>
      </c>
    </row>
    <row r="51" spans="2:31" s="60" customFormat="1">
      <c r="B51" s="942" t="s">
        <v>52</v>
      </c>
      <c r="C51" s="1280">
        <v>22031000</v>
      </c>
      <c r="D51" s="1280">
        <v>30127000</v>
      </c>
      <c r="E51" s="1280">
        <v>35241197</v>
      </c>
      <c r="F51" s="1280">
        <v>43414000</v>
      </c>
      <c r="G51" s="1223">
        <f>(G$47-G$66)*$AD51</f>
        <v>52287968.335907757</v>
      </c>
      <c r="H51" s="1223">
        <f t="shared" ref="H51:R51" si="14">(H$47-H$66)*$AD51</f>
        <v>63366609.131185688</v>
      </c>
      <c r="I51" s="1223">
        <f t="shared" si="14"/>
        <v>79233433.062540665</v>
      </c>
      <c r="J51" s="1223">
        <f t="shared" si="14"/>
        <v>90637949.899657428</v>
      </c>
      <c r="K51" s="1223">
        <f t="shared" si="14"/>
        <v>104082706.52954042</v>
      </c>
      <c r="L51" s="1223">
        <f t="shared" si="14"/>
        <v>119198882.76893073</v>
      </c>
      <c r="M51" s="1223">
        <f t="shared" si="14"/>
        <v>135885290.31478319</v>
      </c>
      <c r="N51" s="1223">
        <f t="shared" si="14"/>
        <v>154273882.28098145</v>
      </c>
      <c r="O51" s="1223">
        <f t="shared" si="14"/>
        <v>174841974.08336151</v>
      </c>
      <c r="P51" s="1223">
        <f t="shared" si="14"/>
        <v>198151079.30061173</v>
      </c>
      <c r="Q51" s="1223">
        <f t="shared" si="14"/>
        <v>224639576.3418189</v>
      </c>
      <c r="R51" s="1223">
        <f t="shared" si="14"/>
        <v>254754498.45641029</v>
      </c>
      <c r="S51" s="93"/>
      <c r="T51" s="94"/>
      <c r="U51" s="953"/>
      <c r="V51" s="1260">
        <f t="shared" si="11"/>
        <v>0.15377045061142441</v>
      </c>
      <c r="W51" s="1260">
        <f t="shared" si="8"/>
        <v>0.17505113187375076</v>
      </c>
      <c r="X51" s="1260">
        <f t="shared" si="8"/>
        <v>0.16080219671217566</v>
      </c>
      <c r="Y51" s="1260">
        <f t="shared" si="8"/>
        <v>0.15750253954433319</v>
      </c>
      <c r="Z51" s="1260">
        <f t="shared" si="8"/>
        <v>0.16178157968542101</v>
      </c>
      <c r="AA51" s="1260">
        <f t="shared" si="8"/>
        <v>0.16178157968542101</v>
      </c>
      <c r="AB51" s="1260">
        <f t="shared" si="8"/>
        <v>0.16178157968542101</v>
      </c>
      <c r="AC51" s="1261"/>
      <c r="AD51" s="1264">
        <f t="shared" si="9"/>
        <v>0.16178157968542101</v>
      </c>
      <c r="AE51" s="1262">
        <f t="shared" si="10"/>
        <v>0.16178157968542098</v>
      </c>
    </row>
    <row r="52" spans="2:31" s="60" customFormat="1">
      <c r="B52" s="942" t="s">
        <v>1003</v>
      </c>
      <c r="C52" s="1280">
        <v>6580000</v>
      </c>
      <c r="D52" s="1280">
        <v>7205000</v>
      </c>
      <c r="E52" s="1280">
        <v>8755803</v>
      </c>
      <c r="F52" s="1280">
        <v>10146000</v>
      </c>
      <c r="G52" s="1223">
        <f t="shared" ref="G52:R65" si="15">(G$47-G$66)*$AD52</f>
        <v>13295812.0238885</v>
      </c>
      <c r="H52" s="1223">
        <f t="shared" si="15"/>
        <v>16112894.618261229</v>
      </c>
      <c r="I52" s="1223">
        <f t="shared" si="15"/>
        <v>20147518.932829536</v>
      </c>
      <c r="J52" s="1223">
        <f t="shared" si="15"/>
        <v>23047465.458107807</v>
      </c>
      <c r="K52" s="1223">
        <f t="shared" si="15"/>
        <v>26466205.22840203</v>
      </c>
      <c r="L52" s="1223">
        <f t="shared" si="15"/>
        <v>30309954.45399363</v>
      </c>
      <c r="M52" s="1223">
        <f t="shared" si="15"/>
        <v>34552982.920090891</v>
      </c>
      <c r="N52" s="1223">
        <f t="shared" si="15"/>
        <v>39228843.733727798</v>
      </c>
      <c r="O52" s="1223">
        <f t="shared" si="15"/>
        <v>44458908.909289941</v>
      </c>
      <c r="P52" s="1223">
        <f t="shared" si="15"/>
        <v>50385960.414191708</v>
      </c>
      <c r="Q52" s="1223">
        <f t="shared" si="15"/>
        <v>57121469.340312287</v>
      </c>
      <c r="R52" s="1223">
        <f t="shared" si="15"/>
        <v>64779107.53687387</v>
      </c>
      <c r="S52" s="93"/>
      <c r="T52" s="94"/>
      <c r="U52" s="953"/>
      <c r="V52" s="1260">
        <f t="shared" si="11"/>
        <v>4.5926629069183093E-2</v>
      </c>
      <c r="W52" s="1260">
        <f t="shared" si="8"/>
        <v>4.1864221633430947E-2</v>
      </c>
      <c r="X52" s="1260">
        <f t="shared" si="8"/>
        <v>3.9951888024094578E-2</v>
      </c>
      <c r="Y52" s="1260">
        <f t="shared" si="8"/>
        <v>3.6808881149325207E-2</v>
      </c>
      <c r="Z52" s="1260">
        <f t="shared" si="8"/>
        <v>4.1137904969008453E-2</v>
      </c>
      <c r="AA52" s="1260">
        <f t="shared" si="8"/>
        <v>4.1137904969008453E-2</v>
      </c>
      <c r="AB52" s="1260">
        <f t="shared" si="8"/>
        <v>4.1137904969008453E-2</v>
      </c>
      <c r="AC52" s="1261"/>
      <c r="AD52" s="1264">
        <f t="shared" si="9"/>
        <v>4.1137904969008453E-2</v>
      </c>
      <c r="AE52" s="1262">
        <f t="shared" si="10"/>
        <v>4.1137904969008453E-2</v>
      </c>
    </row>
    <row r="53" spans="2:31" s="60" customFormat="1">
      <c r="B53" s="942" t="s">
        <v>53</v>
      </c>
      <c r="C53" s="1280">
        <v>7608000</v>
      </c>
      <c r="D53" s="1280">
        <v>11528000</v>
      </c>
      <c r="E53" s="1280">
        <v>12688000</v>
      </c>
      <c r="F53" s="1280">
        <v>14384000</v>
      </c>
      <c r="G53" s="1223">
        <f t="shared" si="15"/>
        <v>18597202.113034151</v>
      </c>
      <c r="H53" s="1223">
        <f t="shared" si="15"/>
        <v>22537529.659973871</v>
      </c>
      <c r="I53" s="1223">
        <f t="shared" si="15"/>
        <v>28180864.846525688</v>
      </c>
      <c r="J53" s="1223">
        <f t="shared" si="15"/>
        <v>32237096.353912659</v>
      </c>
      <c r="K53" s="1223">
        <f t="shared" si="15"/>
        <v>37018977.623428024</v>
      </c>
      <c r="L53" s="1223">
        <f t="shared" si="15"/>
        <v>42395330.800782852</v>
      </c>
      <c r="M53" s="1223">
        <f t="shared" si="15"/>
        <v>48330166.357542664</v>
      </c>
      <c r="N53" s="1223">
        <f t="shared" si="15"/>
        <v>54870415.907354668</v>
      </c>
      <c r="O53" s="1223">
        <f t="shared" si="15"/>
        <v>62185845.68024224</v>
      </c>
      <c r="P53" s="1223">
        <f t="shared" si="15"/>
        <v>70476168.570862085</v>
      </c>
      <c r="Q53" s="1223">
        <f t="shared" si="15"/>
        <v>79897302.128417909</v>
      </c>
      <c r="R53" s="1223">
        <f t="shared" si="15"/>
        <v>90608242.159314677</v>
      </c>
      <c r="S53" s="93"/>
      <c r="T53" s="94"/>
      <c r="U53" s="953"/>
      <c r="V53" s="1260">
        <f t="shared" si="11"/>
        <v>5.3101792394885251E-2</v>
      </c>
      <c r="W53" s="1260">
        <f t="shared" si="8"/>
        <v>6.6982754613489515E-2</v>
      </c>
      <c r="X53" s="1260">
        <f t="shared" si="8"/>
        <v>5.7894125216123755E-2</v>
      </c>
      <c r="Y53" s="1260">
        <f t="shared" si="8"/>
        <v>5.2184008126541864E-2</v>
      </c>
      <c r="Z53" s="1260">
        <f t="shared" si="8"/>
        <v>5.75406700877601E-2</v>
      </c>
      <c r="AA53" s="1260">
        <f t="shared" si="8"/>
        <v>5.7540670087760093E-2</v>
      </c>
      <c r="AB53" s="1260">
        <f t="shared" si="8"/>
        <v>5.75406700877601E-2</v>
      </c>
      <c r="AC53" s="1261"/>
      <c r="AD53" s="1264">
        <f t="shared" si="9"/>
        <v>5.7540670087760093E-2</v>
      </c>
      <c r="AE53" s="1262">
        <f t="shared" si="10"/>
        <v>5.7540670087760093E-2</v>
      </c>
    </row>
    <row r="54" spans="2:31" s="60" customFormat="1">
      <c r="B54" s="942" t="s">
        <v>1004</v>
      </c>
      <c r="C54" s="1280">
        <v>2584000</v>
      </c>
      <c r="D54" s="1280">
        <v>2540000</v>
      </c>
      <c r="E54" s="1280">
        <v>2932500</v>
      </c>
      <c r="F54" s="1280">
        <v>3191000</v>
      </c>
      <c r="G54" s="1223">
        <f t="shared" si="15"/>
        <v>4666339.8960831501</v>
      </c>
      <c r="H54" s="1223">
        <f t="shared" si="15"/>
        <v>5655032.0404263847</v>
      </c>
      <c r="I54" s="1223">
        <f t="shared" si="15"/>
        <v>7071036.4462461267</v>
      </c>
      <c r="J54" s="1223">
        <f t="shared" si="15"/>
        <v>8088810.7757192422</v>
      </c>
      <c r="K54" s="1223">
        <f t="shared" si="15"/>
        <v>9288662.4098870102</v>
      </c>
      <c r="L54" s="1223">
        <f t="shared" si="15"/>
        <v>10637676.695715575</v>
      </c>
      <c r="M54" s="1223">
        <f t="shared" si="15"/>
        <v>12126823.276307469</v>
      </c>
      <c r="N54" s="1223">
        <f t="shared" si="15"/>
        <v>13767878.055361457</v>
      </c>
      <c r="O54" s="1223">
        <f t="shared" si="15"/>
        <v>15603438.135783169</v>
      </c>
      <c r="P54" s="1223">
        <f t="shared" si="15"/>
        <v>17683614.724754982</v>
      </c>
      <c r="Q54" s="1223">
        <f t="shared" si="15"/>
        <v>20047530.066361062</v>
      </c>
      <c r="R54" s="1223">
        <f t="shared" si="15"/>
        <v>22735078.789386332</v>
      </c>
      <c r="S54" s="93"/>
      <c r="T54" s="94"/>
      <c r="U54" s="953"/>
      <c r="V54" s="1260">
        <f t="shared" si="11"/>
        <v>1.8035624546317495E-2</v>
      </c>
      <c r="W54" s="1260">
        <f t="shared" si="8"/>
        <v>1.475851810533166E-2</v>
      </c>
      <c r="X54" s="1260">
        <f t="shared" si="8"/>
        <v>1.3380715809921416E-2</v>
      </c>
      <c r="Y54" s="1260">
        <f t="shared" si="8"/>
        <v>1.1576694238862284E-2</v>
      </c>
      <c r="Z54" s="1260">
        <f t="shared" si="8"/>
        <v>1.4437888175108214E-2</v>
      </c>
      <c r="AA54" s="1260">
        <f t="shared" si="8"/>
        <v>1.4437888175108214E-2</v>
      </c>
      <c r="AB54" s="1260">
        <f t="shared" si="8"/>
        <v>1.4437888175108214E-2</v>
      </c>
      <c r="AC54" s="1261"/>
      <c r="AD54" s="1264">
        <f t="shared" si="9"/>
        <v>1.4437888175108214E-2</v>
      </c>
      <c r="AE54" s="1262">
        <f t="shared" si="10"/>
        <v>1.4437888175108214E-2</v>
      </c>
    </row>
    <row r="55" spans="2:31" s="60" customFormat="1">
      <c r="B55" s="942" t="s">
        <v>1005</v>
      </c>
      <c r="C55" s="1280">
        <v>2099000</v>
      </c>
      <c r="D55" s="1280">
        <v>1874000</v>
      </c>
      <c r="E55" s="1280">
        <v>2236599.9999999995</v>
      </c>
      <c r="F55" s="1280">
        <v>2662000</v>
      </c>
      <c r="G55" s="1223">
        <f t="shared" si="15"/>
        <v>3668503.8807564666</v>
      </c>
      <c r="H55" s="1223">
        <f t="shared" si="15"/>
        <v>4445777.0861312086</v>
      </c>
      <c r="I55" s="1223">
        <f t="shared" si="15"/>
        <v>5558987.390909533</v>
      </c>
      <c r="J55" s="1223">
        <f t="shared" si="15"/>
        <v>6359123.934872061</v>
      </c>
      <c r="K55" s="1223">
        <f t="shared" si="15"/>
        <v>7302402.923179605</v>
      </c>
      <c r="L55" s="1223">
        <f t="shared" si="15"/>
        <v>8362948.072690038</v>
      </c>
      <c r="M55" s="1223">
        <f t="shared" si="15"/>
        <v>9533660.050722776</v>
      </c>
      <c r="N55" s="1223">
        <f t="shared" si="15"/>
        <v>10823796.637332503</v>
      </c>
      <c r="O55" s="1223">
        <f t="shared" si="15"/>
        <v>12266846.099726126</v>
      </c>
      <c r="P55" s="1223">
        <f t="shared" si="15"/>
        <v>13902204.016046643</v>
      </c>
      <c r="Q55" s="1223">
        <f t="shared" si="15"/>
        <v>15760626.847984117</v>
      </c>
      <c r="R55" s="1223">
        <f t="shared" si="15"/>
        <v>17873478.277520146</v>
      </c>
      <c r="S55" s="93"/>
      <c r="T55" s="94"/>
      <c r="U55" s="953"/>
      <c r="V55" s="1260">
        <f t="shared" si="11"/>
        <v>1.4650455078452175E-2</v>
      </c>
      <c r="W55" s="1260">
        <f t="shared" si="8"/>
        <v>1.0888764932831311E-2</v>
      </c>
      <c r="X55" s="1260">
        <f t="shared" si="8"/>
        <v>1.0205390956682091E-2</v>
      </c>
      <c r="Y55" s="1260">
        <f t="shared" si="8"/>
        <v>9.6575243070671883E-3</v>
      </c>
      <c r="Z55" s="1260">
        <f t="shared" si="8"/>
        <v>1.1350533818758193E-2</v>
      </c>
      <c r="AA55" s="1260">
        <f t="shared" si="8"/>
        <v>1.1350533818758194E-2</v>
      </c>
      <c r="AB55" s="1260">
        <f t="shared" si="8"/>
        <v>1.1350533818758193E-2</v>
      </c>
      <c r="AC55" s="1261"/>
      <c r="AD55" s="1264">
        <f t="shared" si="9"/>
        <v>1.1350533818758193E-2</v>
      </c>
      <c r="AE55" s="1262">
        <f t="shared" si="10"/>
        <v>1.1350533818758194E-2</v>
      </c>
    </row>
    <row r="56" spans="2:31" s="60" customFormat="1">
      <c r="B56" s="942" t="s">
        <v>1006</v>
      </c>
      <c r="C56" s="1280">
        <v>1464000</v>
      </c>
      <c r="D56" s="1280">
        <v>1184000</v>
      </c>
      <c r="E56" s="1280">
        <v>1340000</v>
      </c>
      <c r="F56" s="1280">
        <v>1373000</v>
      </c>
      <c r="G56" s="1223">
        <f t="shared" si="15"/>
        <v>2278026.7607636219</v>
      </c>
      <c r="H56" s="1223">
        <f t="shared" si="15"/>
        <v>2760689.2356641698</v>
      </c>
      <c r="I56" s="1223">
        <f t="shared" si="15"/>
        <v>3451958.1962737818</v>
      </c>
      <c r="J56" s="1223">
        <f t="shared" si="15"/>
        <v>3948818.0930215805</v>
      </c>
      <c r="K56" s="1223">
        <f t="shared" si="15"/>
        <v>4534564.9936865792</v>
      </c>
      <c r="L56" s="1223">
        <f t="shared" si="15"/>
        <v>5193130.5316040805</v>
      </c>
      <c r="M56" s="1223">
        <f t="shared" si="15"/>
        <v>5920106.2420823146</v>
      </c>
      <c r="N56" s="1223">
        <f t="shared" si="15"/>
        <v>6721240.918470107</v>
      </c>
      <c r="O56" s="1223">
        <f t="shared" si="15"/>
        <v>7617329.7326818472</v>
      </c>
      <c r="P56" s="1223">
        <f t="shared" si="15"/>
        <v>8632836.1129113212</v>
      </c>
      <c r="Q56" s="1223">
        <f t="shared" si="15"/>
        <v>9786858.86484983</v>
      </c>
      <c r="R56" s="1223">
        <f t="shared" si="15"/>
        <v>11098873.859095454</v>
      </c>
      <c r="S56" s="93"/>
      <c r="T56" s="94"/>
      <c r="U56" s="953"/>
      <c r="V56" s="1260">
        <f t="shared" si="11"/>
        <v>1.0218325981350159E-2</v>
      </c>
      <c r="W56" s="1260">
        <f t="shared" si="8"/>
        <v>6.8795611955561756E-3</v>
      </c>
      <c r="X56" s="1260">
        <f t="shared" si="8"/>
        <v>6.1142912822829314E-3</v>
      </c>
      <c r="Y56" s="1260">
        <f t="shared" si="8"/>
        <v>4.9811348135248871E-3</v>
      </c>
      <c r="Z56" s="1260">
        <f t="shared" si="8"/>
        <v>7.0483283181785386E-3</v>
      </c>
      <c r="AA56" s="1260">
        <f t="shared" si="8"/>
        <v>7.0483283181785395E-3</v>
      </c>
      <c r="AB56" s="1260">
        <f t="shared" si="8"/>
        <v>7.0483283181785386E-3</v>
      </c>
      <c r="AC56" s="1261"/>
      <c r="AD56" s="1264">
        <f t="shared" si="9"/>
        <v>7.0483283181785386E-3</v>
      </c>
      <c r="AE56" s="1262">
        <f t="shared" si="10"/>
        <v>7.0483283181785386E-3</v>
      </c>
    </row>
    <row r="57" spans="2:31" s="60" customFormat="1">
      <c r="B57" s="942" t="s">
        <v>1007</v>
      </c>
      <c r="C57" s="1280">
        <v>879000</v>
      </c>
      <c r="D57" s="1280">
        <v>956000</v>
      </c>
      <c r="E57" s="1280">
        <v>1048000</v>
      </c>
      <c r="F57" s="1280">
        <v>1119000</v>
      </c>
      <c r="G57" s="1223">
        <f t="shared" si="15"/>
        <v>1658952.8054730389</v>
      </c>
      <c r="H57" s="1223">
        <f t="shared" si="15"/>
        <v>2010447.4764857776</v>
      </c>
      <c r="I57" s="1223">
        <f t="shared" si="15"/>
        <v>2513857.9724868573</v>
      </c>
      <c r="J57" s="1223">
        <f t="shared" si="15"/>
        <v>2875691.7901723445</v>
      </c>
      <c r="K57" s="1223">
        <f t="shared" si="15"/>
        <v>3302256.7809319803</v>
      </c>
      <c r="L57" s="1223">
        <f t="shared" si="15"/>
        <v>3781851.2991060647</v>
      </c>
      <c r="M57" s="1223">
        <f t="shared" si="15"/>
        <v>4311264.9193413034</v>
      </c>
      <c r="N57" s="1223">
        <f t="shared" si="15"/>
        <v>4894684.1494603343</v>
      </c>
      <c r="O57" s="1223">
        <f t="shared" si="15"/>
        <v>5547252.8891670005</v>
      </c>
      <c r="P57" s="1223">
        <f t="shared" si="15"/>
        <v>6286786.413300287</v>
      </c>
      <c r="Q57" s="1223">
        <f t="shared" si="15"/>
        <v>7127193.2578916792</v>
      </c>
      <c r="R57" s="1223">
        <f t="shared" si="15"/>
        <v>8082656.5531502729</v>
      </c>
      <c r="S57" s="93"/>
      <c r="T57" s="94"/>
      <c r="U57" s="953"/>
      <c r="V57" s="1260">
        <f t="shared" si="11"/>
        <v>6.1351834273270425E-3</v>
      </c>
      <c r="W57" s="1260">
        <f t="shared" si="8"/>
        <v>5.5547808301956957E-3</v>
      </c>
      <c r="X57" s="1260">
        <f t="shared" si="8"/>
        <v>4.7819233312182928E-3</v>
      </c>
      <c r="Y57" s="1260">
        <f t="shared" si="8"/>
        <v>4.059643012625163E-3</v>
      </c>
      <c r="Z57" s="1260">
        <f t="shared" si="8"/>
        <v>5.1328826503415489E-3</v>
      </c>
      <c r="AA57" s="1260">
        <f t="shared" si="8"/>
        <v>5.1328826503415489E-3</v>
      </c>
      <c r="AB57" s="1260">
        <f t="shared" si="8"/>
        <v>5.1328826503415489E-3</v>
      </c>
      <c r="AC57" s="1261"/>
      <c r="AD57" s="1264">
        <f t="shared" si="9"/>
        <v>5.1328826503415489E-3</v>
      </c>
      <c r="AE57" s="1262">
        <f t="shared" si="10"/>
        <v>5.1328826503415489E-3</v>
      </c>
    </row>
    <row r="58" spans="2:31" s="60" customFormat="1">
      <c r="B58" s="942" t="s">
        <v>1008</v>
      </c>
      <c r="C58" s="1280">
        <v>483000</v>
      </c>
      <c r="D58" s="1280">
        <v>489000</v>
      </c>
      <c r="E58" s="1280">
        <v>558000</v>
      </c>
      <c r="F58" s="1280">
        <v>594000</v>
      </c>
      <c r="G58" s="1223">
        <f t="shared" si="15"/>
        <v>881821.64280472044</v>
      </c>
      <c r="H58" s="1223">
        <f t="shared" si="15"/>
        <v>1068659.7536943043</v>
      </c>
      <c r="I58" s="1223">
        <f t="shared" si="15"/>
        <v>1336249.2047771101</v>
      </c>
      <c r="J58" s="1223">
        <f t="shared" si="15"/>
        <v>1528583.1219814266</v>
      </c>
      <c r="K58" s="1223">
        <f t="shared" si="15"/>
        <v>1755325.1002183449</v>
      </c>
      <c r="L58" s="1223">
        <f t="shared" si="15"/>
        <v>2010255.0925009269</v>
      </c>
      <c r="M58" s="1223">
        <f t="shared" si="15"/>
        <v>2291666.5870165369</v>
      </c>
      <c r="N58" s="1223">
        <f t="shared" si="15"/>
        <v>2601784.9353204425</v>
      </c>
      <c r="O58" s="1223">
        <f t="shared" si="15"/>
        <v>2948659.9254905535</v>
      </c>
      <c r="P58" s="1223">
        <f t="shared" si="15"/>
        <v>3341761.3235586118</v>
      </c>
      <c r="Q58" s="1223">
        <f t="shared" si="15"/>
        <v>3788482.2561113597</v>
      </c>
      <c r="R58" s="1223">
        <f t="shared" si="15"/>
        <v>4296361.8111444507</v>
      </c>
      <c r="S58" s="93"/>
      <c r="T58" s="94"/>
      <c r="U58" s="953"/>
      <c r="V58" s="1260">
        <f t="shared" si="11"/>
        <v>3.3712100061421631E-3</v>
      </c>
      <c r="W58" s="1260">
        <f t="shared" si="8"/>
        <v>2.8413052572862918E-3</v>
      </c>
      <c r="X58" s="1260">
        <f t="shared" si="8"/>
        <v>2.5461003996372208E-3</v>
      </c>
      <c r="Y58" s="1260">
        <f t="shared" si="8"/>
        <v>2.1549847627340009E-3</v>
      </c>
      <c r="Z58" s="1260">
        <f t="shared" si="8"/>
        <v>2.7284001064499194E-3</v>
      </c>
      <c r="AA58" s="1260">
        <f t="shared" si="8"/>
        <v>2.7284001064499194E-3</v>
      </c>
      <c r="AB58" s="1260">
        <f t="shared" si="8"/>
        <v>2.7284001064499194E-3</v>
      </c>
      <c r="AC58" s="1261"/>
      <c r="AD58" s="1264">
        <f t="shared" si="9"/>
        <v>2.7284001064499194E-3</v>
      </c>
      <c r="AE58" s="1262">
        <f t="shared" si="10"/>
        <v>2.7284001064499198E-3</v>
      </c>
    </row>
    <row r="59" spans="2:31" s="60" customFormat="1">
      <c r="B59" s="942" t="s">
        <v>54</v>
      </c>
      <c r="C59" s="1280">
        <v>17747000</v>
      </c>
      <c r="D59" s="1280">
        <v>22157000</v>
      </c>
      <c r="E59" s="1280">
        <v>27228500</v>
      </c>
      <c r="F59" s="1280">
        <v>37137000</v>
      </c>
      <c r="G59" s="1223">
        <f t="shared" si="15"/>
        <v>41335979.334607206</v>
      </c>
      <c r="H59" s="1223">
        <f t="shared" si="15"/>
        <v>50094140.753831044</v>
      </c>
      <c r="I59" s="1223">
        <f t="shared" si="15"/>
        <v>62637575.257135957</v>
      </c>
      <c r="J59" s="1223">
        <f t="shared" si="15"/>
        <v>71653356.273368359</v>
      </c>
      <c r="K59" s="1223">
        <f t="shared" si="15"/>
        <v>82282038.165183514</v>
      </c>
      <c r="L59" s="1223">
        <f t="shared" si="15"/>
        <v>94232052.069636941</v>
      </c>
      <c r="M59" s="1223">
        <f t="shared" si="15"/>
        <v>107423404.10406892</v>
      </c>
      <c r="N59" s="1223">
        <f t="shared" si="15"/>
        <v>121960409.1111138</v>
      </c>
      <c r="O59" s="1223">
        <f t="shared" si="15"/>
        <v>138220406.29122272</v>
      </c>
      <c r="P59" s="1223">
        <f t="shared" si="15"/>
        <v>156647297.26121998</v>
      </c>
      <c r="Q59" s="1223">
        <f t="shared" si="15"/>
        <v>177587639.77493402</v>
      </c>
      <c r="R59" s="1223">
        <f t="shared" si="15"/>
        <v>201394833.62486589</v>
      </c>
      <c r="S59" s="93"/>
      <c r="T59" s="94"/>
      <c r="U59" s="953"/>
      <c r="V59" s="1260">
        <f t="shared" si="11"/>
        <v>0.12386928360042437</v>
      </c>
      <c r="W59" s="1260">
        <f t="shared" si="8"/>
        <v>0.12874192348812347</v>
      </c>
      <c r="X59" s="1260">
        <f t="shared" si="8"/>
        <v>0.12424102998480656</v>
      </c>
      <c r="Y59" s="1260">
        <f t="shared" si="8"/>
        <v>0.13473008271658685</v>
      </c>
      <c r="Z59" s="1260">
        <f t="shared" si="8"/>
        <v>0.12789557994748532</v>
      </c>
      <c r="AA59" s="1260">
        <f t="shared" si="8"/>
        <v>0.12789557994748532</v>
      </c>
      <c r="AB59" s="1260">
        <f t="shared" si="8"/>
        <v>0.12789557994748532</v>
      </c>
      <c r="AC59" s="1261"/>
      <c r="AD59" s="1264">
        <f t="shared" si="9"/>
        <v>0.12789557994748532</v>
      </c>
      <c r="AE59" s="1262">
        <f t="shared" si="10"/>
        <v>0.12789557994748532</v>
      </c>
    </row>
    <row r="60" spans="2:31" s="60" customFormat="1">
      <c r="B60" s="257" t="s">
        <v>1009</v>
      </c>
      <c r="C60" s="1280">
        <v>16277999.999999998</v>
      </c>
      <c r="D60" s="1280">
        <v>20577000</v>
      </c>
      <c r="E60" s="1280">
        <v>26178627</v>
      </c>
      <c r="F60" s="1280">
        <v>32406999.999999996</v>
      </c>
      <c r="G60" s="1223">
        <f t="shared" si="15"/>
        <v>37992121.293486409</v>
      </c>
      <c r="H60" s="1223">
        <f t="shared" si="15"/>
        <v>46041794.636256553</v>
      </c>
      <c r="I60" s="1223">
        <f t="shared" si="15"/>
        <v>57570532.86279919</v>
      </c>
      <c r="J60" s="1223">
        <f t="shared" si="15"/>
        <v>65856985.765039802</v>
      </c>
      <c r="K60" s="1223">
        <f t="shared" si="15"/>
        <v>75625864.551120728</v>
      </c>
      <c r="L60" s="1223">
        <f t="shared" si="15"/>
        <v>86609186.708356798</v>
      </c>
      <c r="M60" s="1223">
        <f t="shared" si="15"/>
        <v>98733429.428248808</v>
      </c>
      <c r="N60" s="1223">
        <f t="shared" si="15"/>
        <v>112094469.04463163</v>
      </c>
      <c r="O60" s="1223">
        <f t="shared" si="15"/>
        <v>127039120.04945864</v>
      </c>
      <c r="P60" s="1223">
        <f t="shared" si="15"/>
        <v>143975374.81015977</v>
      </c>
      <c r="Q60" s="1223">
        <f t="shared" si="15"/>
        <v>163221756.42527032</v>
      </c>
      <c r="R60" s="1223">
        <f t="shared" si="15"/>
        <v>185103076.54792926</v>
      </c>
      <c r="S60" s="93"/>
      <c r="T60" s="94"/>
      <c r="U60" s="953"/>
      <c r="V60" s="1260">
        <f t="shared" si="11"/>
        <v>0.1136160589647663</v>
      </c>
      <c r="W60" s="1260">
        <f t="shared" si="8"/>
        <v>0.11956142797378329</v>
      </c>
      <c r="X60" s="1260">
        <f t="shared" si="8"/>
        <v>0.11945056033450491</v>
      </c>
      <c r="Y60" s="1260">
        <f t="shared" si="8"/>
        <v>0.11757001886518646</v>
      </c>
      <c r="Z60" s="1260">
        <f t="shared" si="8"/>
        <v>0.11754951653456025</v>
      </c>
      <c r="AA60" s="1260">
        <f t="shared" si="8"/>
        <v>0.11754951653456025</v>
      </c>
      <c r="AB60" s="1260">
        <f t="shared" si="8"/>
        <v>0.11754951653456025</v>
      </c>
      <c r="AC60" s="1261"/>
      <c r="AD60" s="1264">
        <f t="shared" si="9"/>
        <v>0.11754951653456025</v>
      </c>
      <c r="AE60" s="1262">
        <f t="shared" si="10"/>
        <v>0.11754951653456025</v>
      </c>
    </row>
    <row r="61" spans="2:31" s="60" customFormat="1">
      <c r="B61" s="257" t="s">
        <v>1010</v>
      </c>
      <c r="C61" s="1280">
        <v>7266000</v>
      </c>
      <c r="D61" s="1280">
        <v>9984000</v>
      </c>
      <c r="E61" s="1280">
        <v>12102451.927000001</v>
      </c>
      <c r="F61" s="1280">
        <v>16515000</v>
      </c>
      <c r="G61" s="1223">
        <f t="shared" si="15"/>
        <v>18088234.171460263</v>
      </c>
      <c r="H61" s="1223">
        <f t="shared" si="15"/>
        <v>21920722.894661698</v>
      </c>
      <c r="I61" s="1223">
        <f t="shared" si="15"/>
        <v>27409611.370571073</v>
      </c>
      <c r="J61" s="1223">
        <f t="shared" si="15"/>
        <v>31354831.996411789</v>
      </c>
      <c r="K61" s="1223">
        <f t="shared" si="15"/>
        <v>36005842.81284485</v>
      </c>
      <c r="L61" s="1223">
        <f t="shared" si="15"/>
        <v>41235056.039081186</v>
      </c>
      <c r="M61" s="1223">
        <f t="shared" si="15"/>
        <v>47007467.107547328</v>
      </c>
      <c r="N61" s="1223">
        <f t="shared" si="15"/>
        <v>53368723.208209567</v>
      </c>
      <c r="O61" s="1223">
        <f t="shared" si="15"/>
        <v>60483944.411517456</v>
      </c>
      <c r="P61" s="1223">
        <f t="shared" si="15"/>
        <v>68547377.872696489</v>
      </c>
      <c r="Q61" s="1223">
        <f t="shared" si="15"/>
        <v>77710673.991860375</v>
      </c>
      <c r="R61" s="1223">
        <f t="shared" si="15"/>
        <v>88128477.1806283</v>
      </c>
      <c r="S61" s="93"/>
      <c r="T61" s="94"/>
      <c r="U61" s="953"/>
      <c r="V61" s="1260">
        <f t="shared" si="11"/>
        <v>5.0714724440225588E-2</v>
      </c>
      <c r="W61" s="1260">
        <f t="shared" si="8"/>
        <v>5.801143494631153E-2</v>
      </c>
      <c r="X61" s="1260">
        <f t="shared" si="8"/>
        <v>5.5222325605600274E-2</v>
      </c>
      <c r="Y61" s="1260">
        <f t="shared" si="8"/>
        <v>5.9915106660861993E-2</v>
      </c>
      <c r="Z61" s="1260">
        <f t="shared" si="8"/>
        <v>5.5965897913249844E-2</v>
      </c>
      <c r="AA61" s="1260">
        <f t="shared" si="8"/>
        <v>5.5965897913249851E-2</v>
      </c>
      <c r="AB61" s="1260">
        <f t="shared" si="8"/>
        <v>5.5965897913249844E-2</v>
      </c>
      <c r="AC61" s="1261"/>
      <c r="AD61" s="1264">
        <f t="shared" si="9"/>
        <v>5.5965897913249851E-2</v>
      </c>
      <c r="AE61" s="1262">
        <f t="shared" si="10"/>
        <v>5.5965897913249851E-2</v>
      </c>
    </row>
    <row r="62" spans="2:31" s="60" customFormat="1">
      <c r="B62" s="257" t="s">
        <v>1011</v>
      </c>
      <c r="C62" s="1280">
        <v>12983000</v>
      </c>
      <c r="D62" s="1280">
        <v>16572000</v>
      </c>
      <c r="E62" s="1280">
        <v>21666000</v>
      </c>
      <c r="F62" s="1280">
        <v>22891000</v>
      </c>
      <c r="G62" s="1223">
        <f t="shared" si="15"/>
        <v>29800349.469987713</v>
      </c>
      <c r="H62" s="1223">
        <f t="shared" si="15"/>
        <v>36114371.182034664</v>
      </c>
      <c r="I62" s="1223">
        <f t="shared" si="15"/>
        <v>45157309.991505116</v>
      </c>
      <c r="J62" s="1223">
        <f t="shared" si="15"/>
        <v>51657057.411391906</v>
      </c>
      <c r="K62" s="1223">
        <f t="shared" si="15"/>
        <v>59319593.533192277</v>
      </c>
      <c r="L62" s="1223">
        <f t="shared" si="15"/>
        <v>67934717.603224397</v>
      </c>
      <c r="M62" s="1223">
        <f t="shared" si="15"/>
        <v>77444759.628008112</v>
      </c>
      <c r="N62" s="1223">
        <f t="shared" si="15"/>
        <v>87924923.311809108</v>
      </c>
      <c r="O62" s="1223">
        <f t="shared" si="15"/>
        <v>99647243.82164602</v>
      </c>
      <c r="P62" s="1223">
        <f t="shared" si="15"/>
        <v>112931743.17041408</v>
      </c>
      <c r="Q62" s="1223">
        <f t="shared" si="15"/>
        <v>128028265.2554121</v>
      </c>
      <c r="R62" s="1223">
        <f t="shared" si="15"/>
        <v>145191586.60519168</v>
      </c>
      <c r="S62" s="93"/>
      <c r="T62" s="94"/>
      <c r="U62" s="953"/>
      <c r="V62" s="1260">
        <f t="shared" si="11"/>
        <v>9.0617845775866887E-2</v>
      </c>
      <c r="W62" s="1260">
        <f t="shared" si="8"/>
        <v>9.6290614976990652E-2</v>
      </c>
      <c r="X62" s="1260">
        <f t="shared" si="8"/>
        <v>9.8859876807419395E-2</v>
      </c>
      <c r="Y62" s="1260">
        <f t="shared" si="8"/>
        <v>8.3046727615730662E-2</v>
      </c>
      <c r="Z62" s="1260">
        <f t="shared" si="8"/>
        <v>9.2203766294001913E-2</v>
      </c>
      <c r="AA62" s="1260">
        <f t="shared" si="8"/>
        <v>9.2203766294001913E-2</v>
      </c>
      <c r="AB62" s="1260">
        <f t="shared" si="8"/>
        <v>9.2203766294001913E-2</v>
      </c>
      <c r="AC62" s="1261"/>
      <c r="AD62" s="1264">
        <f t="shared" si="9"/>
        <v>9.2203766294001913E-2</v>
      </c>
      <c r="AE62" s="1262">
        <f t="shared" si="10"/>
        <v>9.2203766294001926E-2</v>
      </c>
    </row>
    <row r="63" spans="2:31" s="1197" customFormat="1">
      <c r="B63" s="717" t="s">
        <v>55</v>
      </c>
      <c r="C63" s="1281">
        <f>C64+C65</f>
        <v>14708000</v>
      </c>
      <c r="D63" s="1281">
        <f t="shared" ref="D63:I63" si="16">D64+D65</f>
        <v>14185000</v>
      </c>
      <c r="E63" s="1281">
        <f t="shared" si="16"/>
        <v>19368000</v>
      </c>
      <c r="F63" s="1281">
        <f t="shared" si="16"/>
        <v>30593000</v>
      </c>
      <c r="G63" s="1258">
        <f t="shared" si="16"/>
        <v>31063031.559262395</v>
      </c>
      <c r="H63" s="1258">
        <f t="shared" si="16"/>
        <v>37644587.118022203</v>
      </c>
      <c r="I63" s="1258">
        <f t="shared" si="16"/>
        <v>47070687.771974541</v>
      </c>
      <c r="J63" s="1258">
        <f t="shared" ref="J63:R63" si="17">J64+J65</f>
        <v>53845838.494099975</v>
      </c>
      <c r="K63" s="1258">
        <f t="shared" si="17"/>
        <v>61833046.886242747</v>
      </c>
      <c r="L63" s="1258">
        <f t="shared" si="17"/>
        <v>70813205.697597757</v>
      </c>
      <c r="M63" s="1258">
        <f t="shared" si="17"/>
        <v>80726201.377171248</v>
      </c>
      <c r="N63" s="1258">
        <f t="shared" si="17"/>
        <v>91650424.114357829</v>
      </c>
      <c r="O63" s="1258">
        <f t="shared" si="17"/>
        <v>103869435.58305129</v>
      </c>
      <c r="P63" s="1258">
        <f t="shared" si="17"/>
        <v>117716817.57215765</v>
      </c>
      <c r="Q63" s="1258">
        <f t="shared" si="17"/>
        <v>133453000.21101138</v>
      </c>
      <c r="R63" s="1258">
        <f t="shared" si="17"/>
        <v>151343555.26261914</v>
      </c>
      <c r="S63" s="93"/>
      <c r="T63" s="94"/>
      <c r="U63" s="96"/>
      <c r="V63" s="1260">
        <f t="shared" si="11"/>
        <v>0.10265788151208889</v>
      </c>
      <c r="W63" s="1260">
        <f t="shared" si="8"/>
        <v>8.2421094222098271E-2</v>
      </c>
      <c r="X63" s="1260">
        <f t="shared" si="8"/>
        <v>8.8374323548698369E-2</v>
      </c>
      <c r="Y63" s="1260">
        <f t="shared" si="8"/>
        <v>0.11098897112175302</v>
      </c>
      <c r="Z63" s="1260">
        <f t="shared" si="8"/>
        <v>9.611056760115963E-2</v>
      </c>
      <c r="AA63" s="1260">
        <f t="shared" si="8"/>
        <v>9.6110567601159644E-2</v>
      </c>
      <c r="AB63" s="1260">
        <f t="shared" si="8"/>
        <v>9.6110567601159644E-2</v>
      </c>
      <c r="AC63" s="1263"/>
      <c r="AD63" s="1264">
        <f t="shared" si="9"/>
        <v>9.611056760115963E-2</v>
      </c>
      <c r="AE63" s="1262">
        <f t="shared" si="10"/>
        <v>9.6110567601159644E-2</v>
      </c>
    </row>
    <row r="64" spans="2:31" s="60" customFormat="1">
      <c r="B64" s="942" t="s">
        <v>1012</v>
      </c>
      <c r="C64" s="1280">
        <v>10700000</v>
      </c>
      <c r="D64" s="1280">
        <v>9539000</v>
      </c>
      <c r="E64" s="1280">
        <v>10382000</v>
      </c>
      <c r="F64" s="1280">
        <v>22380000</v>
      </c>
      <c r="G64" s="1223">
        <f t="shared" si="15"/>
        <v>20900910.79946626</v>
      </c>
      <c r="H64" s="1223">
        <f t="shared" si="15"/>
        <v>25329342.241932865</v>
      </c>
      <c r="I64" s="1223">
        <f t="shared" si="15"/>
        <v>31671739.589055367</v>
      </c>
      <c r="J64" s="1223">
        <f t="shared" si="15"/>
        <v>36230432.472134858</v>
      </c>
      <c r="K64" s="1223">
        <f t="shared" si="15"/>
        <v>41604664.211958274</v>
      </c>
      <c r="L64" s="1223">
        <f t="shared" si="15"/>
        <v>47647007.436671816</v>
      </c>
      <c r="M64" s="1223">
        <f t="shared" si="15"/>
        <v>54317014.45317886</v>
      </c>
      <c r="N64" s="1223">
        <f t="shared" si="15"/>
        <v>61667430.478988662</v>
      </c>
      <c r="O64" s="1223">
        <f t="shared" si="15"/>
        <v>69889051.355804384</v>
      </c>
      <c r="P64" s="1223">
        <f t="shared" si="15"/>
        <v>79206329.201280713</v>
      </c>
      <c r="Q64" s="1223">
        <f t="shared" si="15"/>
        <v>89794495.685653344</v>
      </c>
      <c r="R64" s="1223">
        <f t="shared" si="15"/>
        <v>101832242.05220513</v>
      </c>
      <c r="S64" s="93"/>
      <c r="T64" s="94"/>
      <c r="U64" s="953"/>
      <c r="V64" s="1260">
        <f t="shared" si="11"/>
        <v>7.4683120218884361E-2</v>
      </c>
      <c r="W64" s="1260">
        <f t="shared" ref="W64:AB65" si="18">(D64)/(D$47-D$66)</f>
        <v>5.5425789057779021E-2</v>
      </c>
      <c r="X64" s="1260">
        <f t="shared" si="18"/>
        <v>4.737206872586671E-2</v>
      </c>
      <c r="Y64" s="1260">
        <f t="shared" si="18"/>
        <v>8.119286025250326E-2</v>
      </c>
      <c r="Z64" s="1260">
        <f t="shared" si="18"/>
        <v>6.4668459563758343E-2</v>
      </c>
      <c r="AA64" s="1260">
        <f t="shared" si="18"/>
        <v>6.4668459563758343E-2</v>
      </c>
      <c r="AB64" s="1260">
        <f t="shared" si="18"/>
        <v>6.4668459563758343E-2</v>
      </c>
      <c r="AC64" s="1261"/>
      <c r="AD64" s="1264">
        <f t="shared" si="9"/>
        <v>6.4668459563758343E-2</v>
      </c>
      <c r="AE64" s="1262">
        <f t="shared" si="10"/>
        <v>6.4668459563758343E-2</v>
      </c>
    </row>
    <row r="65" spans="1:31" s="60" customFormat="1">
      <c r="B65" s="942" t="s">
        <v>899</v>
      </c>
      <c r="C65" s="1280">
        <v>4008000</v>
      </c>
      <c r="D65" s="1280">
        <v>4646000</v>
      </c>
      <c r="E65" s="1280">
        <v>8986000</v>
      </c>
      <c r="F65" s="1280">
        <v>8212999.9999999991</v>
      </c>
      <c r="G65" s="1223">
        <f t="shared" si="15"/>
        <v>10162120.759796135</v>
      </c>
      <c r="H65" s="1223">
        <f t="shared" si="15"/>
        <v>12315244.876089336</v>
      </c>
      <c r="I65" s="1223">
        <f t="shared" si="15"/>
        <v>15398948.182919173</v>
      </c>
      <c r="J65" s="1223">
        <f t="shared" si="15"/>
        <v>17615406.021965116</v>
      </c>
      <c r="K65" s="1223">
        <f t="shared" si="15"/>
        <v>20228382.674284469</v>
      </c>
      <c r="L65" s="1223">
        <f t="shared" si="15"/>
        <v>23166198.260925941</v>
      </c>
      <c r="M65" s="1223">
        <f t="shared" si="15"/>
        <v>26409186.923992388</v>
      </c>
      <c r="N65" s="1223">
        <f t="shared" si="15"/>
        <v>29982993.63536917</v>
      </c>
      <c r="O65" s="1223">
        <f t="shared" si="15"/>
        <v>33980384.22724691</v>
      </c>
      <c r="P65" s="1223">
        <f t="shared" si="15"/>
        <v>38510488.370876931</v>
      </c>
      <c r="Q65" s="1223">
        <f t="shared" si="15"/>
        <v>43658504.525358036</v>
      </c>
      <c r="R65" s="1223">
        <f t="shared" si="15"/>
        <v>49511313.210414015</v>
      </c>
      <c r="S65" s="93"/>
      <c r="T65" s="94"/>
      <c r="U65" s="953"/>
      <c r="V65" s="1260">
        <f t="shared" si="11"/>
        <v>2.7974761293204534E-2</v>
      </c>
      <c r="W65" s="1260">
        <f t="shared" si="18"/>
        <v>2.699530516431925E-2</v>
      </c>
      <c r="X65" s="1260">
        <f t="shared" si="18"/>
        <v>4.1002254822831659E-2</v>
      </c>
      <c r="Y65" s="1260">
        <f t="shared" si="18"/>
        <v>2.9796110869249742E-2</v>
      </c>
      <c r="Z65" s="1260">
        <f t="shared" si="18"/>
        <v>3.1442108037401294E-2</v>
      </c>
      <c r="AA65" s="1260">
        <f t="shared" si="18"/>
        <v>3.1442108037401294E-2</v>
      </c>
      <c r="AB65" s="1260">
        <f t="shared" si="18"/>
        <v>3.1442108037401294E-2</v>
      </c>
      <c r="AC65" s="1261"/>
      <c r="AD65" s="1264">
        <f t="shared" si="9"/>
        <v>3.1442108037401294E-2</v>
      </c>
      <c r="AE65" s="1262">
        <f t="shared" si="10"/>
        <v>3.1442108037401294E-2</v>
      </c>
    </row>
    <row r="66" spans="1:31" s="60" customFormat="1">
      <c r="B66" s="1041" t="s">
        <v>1040</v>
      </c>
      <c r="C66" s="1279">
        <f>'IMF Data'!C40*1000</f>
        <v>6621000</v>
      </c>
      <c r="D66" s="1279">
        <f>'IMF Data'!D40*1000</f>
        <v>7965000</v>
      </c>
      <c r="E66" s="1279">
        <f>'IMF Data'!E40*1000</f>
        <v>12660000</v>
      </c>
      <c r="F66" s="1279">
        <f>'IMF Data'!F40*1000</f>
        <v>16730000</v>
      </c>
      <c r="G66" s="1200">
        <f>'IMF Data'!G40*1000</f>
        <v>23880000</v>
      </c>
      <c r="H66" s="1200">
        <f>'IMF Data'!H40*1000</f>
        <v>25380000</v>
      </c>
      <c r="I66" s="1200">
        <f>'IMF Data'!I40*1000</f>
        <v>35760000</v>
      </c>
      <c r="J66" s="1200">
        <f>'IMF Data'!J40*1000</f>
        <v>46578628.489984632</v>
      </c>
      <c r="K66" s="1200">
        <f>'IMF Data'!K40*1000</f>
        <v>50062816.399208806</v>
      </c>
      <c r="L66" s="1200">
        <f>'IMF Data'!L40*1000</f>
        <v>55953929.990233548</v>
      </c>
      <c r="M66" s="1200">
        <f>'IMF Data'!M40*1000</f>
        <v>60439731.675504081</v>
      </c>
      <c r="N66" s="1200">
        <f>'IMF Data'!N40*1000</f>
        <v>66172861.289782986</v>
      </c>
      <c r="O66" s="1200">
        <f>'IMF Data'!O40*1000</f>
        <v>75945039.338010356</v>
      </c>
      <c r="P66" s="1200">
        <f>'IMF Data'!P40*1000</f>
        <v>88301317.971369386</v>
      </c>
      <c r="Q66" s="1200">
        <f>'IMF Data'!Q40*1000</f>
        <v>102881205.51907033</v>
      </c>
      <c r="R66" s="1200">
        <f>'IMF Data'!R40*1000</f>
        <v>118788649.73164929</v>
      </c>
      <c r="S66" s="99"/>
      <c r="T66" s="239"/>
      <c r="U66" s="952">
        <v>3.1136638452237003E-2</v>
      </c>
      <c r="V66" s="94">
        <v>2.6286143447239955E-2</v>
      </c>
      <c r="W66" s="94">
        <v>2.9528865295288653E-2</v>
      </c>
      <c r="X66" s="94">
        <v>3.2481954469739033E-2</v>
      </c>
    </row>
    <row r="67" spans="1:31" s="60" customFormat="1">
      <c r="B67" s="1016" t="s">
        <v>1041</v>
      </c>
      <c r="C67" s="1279"/>
      <c r="D67" s="1279"/>
      <c r="E67" s="1279"/>
      <c r="F67" s="1279"/>
      <c r="G67" s="1200"/>
      <c r="H67" s="1200"/>
      <c r="I67" s="1200"/>
      <c r="J67" s="1200"/>
      <c r="K67" s="1200"/>
      <c r="L67" s="1200"/>
      <c r="M67" s="1200"/>
      <c r="N67" s="1200"/>
      <c r="O67" s="1200"/>
      <c r="P67" s="1200"/>
      <c r="Q67" s="1200"/>
      <c r="R67" s="1200"/>
      <c r="S67" s="99"/>
      <c r="T67" s="239"/>
      <c r="U67" s="952"/>
      <c r="V67" s="94"/>
      <c r="W67" s="94"/>
      <c r="X67" s="94"/>
    </row>
    <row r="68" spans="1:31" s="60" customFormat="1">
      <c r="B68" s="1016" t="s">
        <v>1042</v>
      </c>
      <c r="C68" s="1279"/>
      <c r="D68" s="1279"/>
      <c r="E68" s="1279"/>
      <c r="F68" s="1279"/>
      <c r="G68" s="1200"/>
      <c r="H68" s="1200"/>
      <c r="I68" s="1200"/>
      <c r="J68" s="1200"/>
      <c r="K68" s="1200"/>
      <c r="L68" s="1200"/>
      <c r="M68" s="1200"/>
      <c r="N68" s="1200"/>
      <c r="O68" s="1200"/>
      <c r="P68" s="1200"/>
      <c r="Q68" s="1200"/>
      <c r="R68" s="1200"/>
      <c r="S68" s="99"/>
      <c r="T68" s="239"/>
      <c r="U68" s="952"/>
      <c r="V68" s="94"/>
      <c r="W68" s="94"/>
      <c r="X68" s="94"/>
    </row>
    <row r="69" spans="1:31" s="1265" customFormat="1">
      <c r="B69" s="1266"/>
      <c r="C69" s="1267"/>
      <c r="D69" s="1267"/>
      <c r="E69" s="1267"/>
      <c r="F69" s="1267"/>
      <c r="G69" s="1268"/>
      <c r="H69" s="1268"/>
      <c r="I69" s="1268"/>
      <c r="J69" s="1268"/>
      <c r="K69" s="1268"/>
      <c r="L69" s="1268"/>
      <c r="M69" s="1268"/>
      <c r="N69" s="1268"/>
      <c r="O69" s="1268"/>
      <c r="P69" s="1268"/>
      <c r="Q69" s="1268"/>
      <c r="R69" s="1268"/>
      <c r="S69" s="1269"/>
      <c r="T69" s="1270"/>
      <c r="U69" s="1271"/>
      <c r="V69" s="1272"/>
      <c r="W69" s="1272"/>
      <c r="X69" s="1272"/>
    </row>
    <row r="70" spans="1:31" s="60" customFormat="1">
      <c r="B70" s="256" t="s">
        <v>56</v>
      </c>
      <c r="C70" s="1200">
        <f>'IMF Data'!C41*1000</f>
        <v>79199000</v>
      </c>
      <c r="D70" s="1200">
        <f>'IMF Data'!D41*1000</f>
        <v>88341000</v>
      </c>
      <c r="E70" s="1200">
        <f>'IMF Data'!E41*1000</f>
        <v>104301500</v>
      </c>
      <c r="F70" s="1200">
        <f>'IMF Data'!F41*1000</f>
        <v>119462000</v>
      </c>
      <c r="G70" s="1200">
        <f>'IMF Data'!G41*1000</f>
        <v>180261000</v>
      </c>
      <c r="H70" s="1200">
        <f>'IMF Data'!H41*1000</f>
        <v>178150000</v>
      </c>
      <c r="I70" s="1200">
        <f>'IMF Data'!I41*1000</f>
        <v>171646995.9687404</v>
      </c>
      <c r="J70" s="1200">
        <f>'IMF Data'!J41*1000</f>
        <v>196353120.38999164</v>
      </c>
      <c r="K70" s="1200">
        <f>'IMF Data'!K41*1000</f>
        <v>225479109.2289286</v>
      </c>
      <c r="L70" s="1200">
        <f>'IMF Data'!L41*1000</f>
        <v>258225970.51887664</v>
      </c>
      <c r="M70" s="1200">
        <f>'IMF Data'!M41*1000</f>
        <v>294374495.42874569</v>
      </c>
      <c r="N70" s="1200">
        <f>'IMF Data'!N41*1000</f>
        <v>330868434.60099936</v>
      </c>
      <c r="O70" s="1200">
        <f>'IMF Data'!O41*1000</f>
        <v>371230648.49386686</v>
      </c>
      <c r="P70" s="1200">
        <f>'IMF Data'!P41*1000</f>
        <v>412306935.86646819</v>
      </c>
      <c r="Q70" s="1200">
        <f>'IMF Data'!Q41*1000</f>
        <v>458074952.74965155</v>
      </c>
      <c r="R70" s="1200">
        <f>'IMF Data'!R41*1000</f>
        <v>509094272.73981166</v>
      </c>
      <c r="S70" s="99"/>
      <c r="T70" s="239"/>
      <c r="U70" s="953">
        <v>0.28053204353083433</v>
      </c>
      <c r="V70" s="94">
        <v>0.27037176117161099</v>
      </c>
      <c r="W70" s="94">
        <v>0.28566688785666888</v>
      </c>
      <c r="X70" s="94">
        <v>0.27623542476401997</v>
      </c>
    </row>
    <row r="71" spans="1:31" s="1234" customFormat="1">
      <c r="B71" s="1273"/>
      <c r="C71" s="1274"/>
      <c r="D71" s="1274"/>
      <c r="E71" s="1274"/>
      <c r="F71" s="1268"/>
      <c r="G71" s="1268"/>
      <c r="H71" s="1268"/>
      <c r="I71" s="1268"/>
      <c r="J71" s="1268"/>
      <c r="K71" s="1268"/>
      <c r="L71" s="1268"/>
      <c r="M71" s="1268"/>
      <c r="N71" s="1268"/>
      <c r="O71" s="1268"/>
      <c r="P71" s="1268"/>
      <c r="Q71" s="1268"/>
      <c r="R71" s="1268"/>
      <c r="S71" s="1275"/>
      <c r="T71" s="1276"/>
      <c r="U71" s="1277"/>
      <c r="V71" s="1278"/>
      <c r="W71" s="1278"/>
      <c r="X71" s="1278"/>
    </row>
    <row r="72" spans="1:31" s="60" customFormat="1">
      <c r="B72" s="256" t="s">
        <v>57</v>
      </c>
      <c r="C72" s="1200">
        <f>'IMF Data'!C45*1000</f>
        <v>26815479.999999981</v>
      </c>
      <c r="D72" s="1200">
        <f>'IMF Data'!D45*1000</f>
        <v>13056000</v>
      </c>
      <c r="E72" s="1200">
        <f>'IMF Data'!E45*1000</f>
        <v>20811000</v>
      </c>
      <c r="F72" s="1200">
        <f>'IMF Data'!F45*1000</f>
        <v>36454780.480000004</v>
      </c>
      <c r="G72" s="1200">
        <f>'IMF Data'!G45*1000</f>
        <v>64131799.050000004</v>
      </c>
      <c r="H72" s="1200">
        <f>'IMF Data'!H45*1000</f>
        <v>89832000</v>
      </c>
      <c r="I72" s="1200">
        <f>'IMF Data'!I45*1000</f>
        <v>66640000</v>
      </c>
      <c r="J72" s="1200">
        <f>'IMF Data'!J45*1000</f>
        <v>74192464.178499177</v>
      </c>
      <c r="K72" s="1200">
        <f>'IMF Data'!K45*1000</f>
        <v>83493828.2988116</v>
      </c>
      <c r="L72" s="1200">
        <f>'IMF Data'!L45*1000</f>
        <v>93707436.667442307</v>
      </c>
      <c r="M72" s="1200">
        <f>'IMF Data'!M45*1000</f>
        <v>106106396.07756285</v>
      </c>
      <c r="N72" s="1200">
        <f>'IMF Data'!N45*1000</f>
        <v>119260526.01875174</v>
      </c>
      <c r="O72" s="1200">
        <f>'IMF Data'!O45*1000</f>
        <v>133808963.87729083</v>
      </c>
      <c r="P72" s="1200">
        <f>'IMF Data'!P45*1000</f>
        <v>148614787.36075905</v>
      </c>
      <c r="Q72" s="1200">
        <f>'IMF Data'!Q45*1000</f>
        <v>165111730.54878438</v>
      </c>
      <c r="R72" s="1200">
        <f>'IMF Data'!R45*1000</f>
        <v>184437722.1429711</v>
      </c>
      <c r="S72" s="99"/>
      <c r="T72" s="239"/>
      <c r="U72" s="953">
        <v>0.11048972188633616</v>
      </c>
      <c r="V72" s="94">
        <v>0.14795343597446489</v>
      </c>
      <c r="W72" s="94">
        <v>0.11181154611811546</v>
      </c>
      <c r="X72" s="94">
        <v>0.10938367573570239</v>
      </c>
      <c r="Z72" s="60" t="s">
        <v>65</v>
      </c>
    </row>
    <row r="73" spans="1:31" s="60" customFormat="1">
      <c r="B73" s="981" t="s">
        <v>315</v>
      </c>
      <c r="C73" s="1022">
        <f>'IMF Data'!C46*1000</f>
        <v>10272000</v>
      </c>
      <c r="D73" s="1022">
        <f>'IMF Data'!D46*1000</f>
        <v>8393000</v>
      </c>
      <c r="E73" s="1022">
        <f>'IMF Data'!E46*1000</f>
        <v>16655000</v>
      </c>
      <c r="F73" s="1022">
        <f>'IMF Data'!F46*1000</f>
        <v>27000000</v>
      </c>
      <c r="G73" s="1022">
        <f>'IMF Data'!G46*1000</f>
        <v>46000000</v>
      </c>
      <c r="H73" s="1022">
        <f>'IMF Data'!H46*1000</f>
        <v>56000000</v>
      </c>
      <c r="I73" s="1022">
        <f>'IMF Data'!I46*1000</f>
        <v>45000000</v>
      </c>
      <c r="J73" s="1022">
        <f>'IMF Data'!J46*1000</f>
        <v>49932791.754677802</v>
      </c>
      <c r="K73" s="1022">
        <f>'IMF Data'!K46*1000</f>
        <v>56192768.192939661</v>
      </c>
      <c r="L73" s="1022">
        <f>'IMF Data'!L46*1000</f>
        <v>63066700.544177927</v>
      </c>
      <c r="M73" s="1022">
        <f>'IMF Data'!M46*1000</f>
        <v>71176326.039576754</v>
      </c>
      <c r="N73" s="1022">
        <f>'IMF Data'!N46*1000</f>
        <v>80000135.687928393</v>
      </c>
      <c r="O73" s="1022">
        <f>'IMF Data'!O46*1000</f>
        <v>89759249.1312778</v>
      </c>
      <c r="P73" s="1022">
        <f>'IMF Data'!P46*1000</f>
        <v>99691017.229154006</v>
      </c>
      <c r="Q73" s="1022">
        <f>'IMF Data'!Q46*1000</f>
        <v>110757190.90400903</v>
      </c>
      <c r="R73" s="1022">
        <f>'IMF Data'!R46*1000</f>
        <v>123721094.39706931</v>
      </c>
      <c r="S73" s="99"/>
      <c r="T73" s="239"/>
      <c r="U73" s="953"/>
      <c r="V73" s="94"/>
      <c r="W73" s="94"/>
      <c r="X73" s="94"/>
      <c r="Z73" s="60">
        <v>2005</v>
      </c>
      <c r="AA73" s="60">
        <v>2006</v>
      </c>
      <c r="AB73" s="60">
        <v>2007</v>
      </c>
    </row>
    <row r="74" spans="1:31" s="60" customFormat="1">
      <c r="B74" s="954" t="s">
        <v>58</v>
      </c>
      <c r="C74" s="1267">
        <f>C$73*Z74</f>
        <v>1701869.8224852069</v>
      </c>
      <c r="D74" s="1267">
        <f t="shared" ref="D74:E77" si="19">D$73*AA74</f>
        <v>0</v>
      </c>
      <c r="E74" s="1267">
        <f t="shared" si="19"/>
        <v>0</v>
      </c>
      <c r="F74" s="1282">
        <f>F$73*($AA74+$AB74)/2</f>
        <v>0</v>
      </c>
      <c r="G74" s="1282">
        <f t="shared" ref="G74:R74" si="20">G$73*($AA74+$AB74)/2</f>
        <v>0</v>
      </c>
      <c r="H74" s="1282">
        <f t="shared" si="20"/>
        <v>0</v>
      </c>
      <c r="I74" s="1282">
        <f t="shared" si="20"/>
        <v>0</v>
      </c>
      <c r="J74" s="1282">
        <f t="shared" si="20"/>
        <v>0</v>
      </c>
      <c r="K74" s="1282">
        <f t="shared" si="20"/>
        <v>0</v>
      </c>
      <c r="L74" s="1282">
        <f t="shared" si="20"/>
        <v>0</v>
      </c>
      <c r="M74" s="1282">
        <f t="shared" si="20"/>
        <v>0</v>
      </c>
      <c r="N74" s="1282">
        <f t="shared" si="20"/>
        <v>0</v>
      </c>
      <c r="O74" s="1282">
        <f t="shared" si="20"/>
        <v>0</v>
      </c>
      <c r="P74" s="1282">
        <f t="shared" si="20"/>
        <v>0</v>
      </c>
      <c r="Q74" s="1282">
        <f t="shared" si="20"/>
        <v>0</v>
      </c>
      <c r="R74" s="1282">
        <f t="shared" si="20"/>
        <v>0</v>
      </c>
      <c r="S74" s="232"/>
      <c r="T74" s="231"/>
      <c r="U74" s="953">
        <v>0</v>
      </c>
      <c r="V74" s="94">
        <v>1.0514457378895982E-2</v>
      </c>
      <c r="W74" s="94">
        <v>0</v>
      </c>
      <c r="X74" s="94">
        <v>0</v>
      </c>
      <c r="Z74" s="60">
        <v>0.16568047337278105</v>
      </c>
      <c r="AA74" s="60">
        <v>0</v>
      </c>
      <c r="AB74" s="60">
        <v>0</v>
      </c>
    </row>
    <row r="75" spans="1:31" s="60" customFormat="1">
      <c r="B75" s="954" t="s">
        <v>59</v>
      </c>
      <c r="C75" s="1280">
        <f>C$73*Z75</f>
        <v>6442792.8994082836</v>
      </c>
      <c r="D75" s="1280">
        <f t="shared" si="19"/>
        <v>6753742.1875</v>
      </c>
      <c r="E75" s="1280">
        <f t="shared" si="19"/>
        <v>13431451.612903224</v>
      </c>
      <c r="F75" s="1282">
        <f t="shared" ref="F75:R77" si="21">F$73*($AA75+$AB75)/2</f>
        <v>21750378.024193548</v>
      </c>
      <c r="G75" s="1282">
        <f t="shared" si="21"/>
        <v>37056199.596774191</v>
      </c>
      <c r="H75" s="1282">
        <f t="shared" si="21"/>
        <v>45111895.161290318</v>
      </c>
      <c r="I75" s="1282">
        <f t="shared" si="21"/>
        <v>36250630.040322579</v>
      </c>
      <c r="J75" s="1282">
        <f t="shared" si="21"/>
        <v>40224336.906206548</v>
      </c>
      <c r="K75" s="1282">
        <f t="shared" si="21"/>
        <v>45267183.348974705</v>
      </c>
      <c r="L75" s="1282">
        <f t="shared" si="21"/>
        <v>50804613.984240107</v>
      </c>
      <c r="M75" s="1282">
        <f t="shared" si="21"/>
        <v>57337481.397557229</v>
      </c>
      <c r="N75" s="1282">
        <f t="shared" si="21"/>
        <v>64445673.822193325</v>
      </c>
      <c r="O75" s="1282">
        <f t="shared" si="21"/>
        <v>72307318.510113269</v>
      </c>
      <c r="P75" s="1282">
        <f t="shared" si="21"/>
        <v>80308048.531499684</v>
      </c>
      <c r="Q75" s="1282">
        <f t="shared" si="21"/>
        <v>89222621.150369167</v>
      </c>
      <c r="R75" s="1282">
        <f t="shared" si="21"/>
        <v>99665947.13715525</v>
      </c>
      <c r="S75" s="232"/>
      <c r="T75" s="231"/>
      <c r="U75" s="953">
        <v>3.4461910519951636E-2</v>
      </c>
      <c r="V75" s="94">
        <v>3.9804731505820506E-2</v>
      </c>
      <c r="W75" s="94">
        <v>3.417385534173855E-2</v>
      </c>
      <c r="X75" s="94">
        <v>3.4702942809550247E-2</v>
      </c>
      <c r="Z75" s="60">
        <v>0.62721893491124259</v>
      </c>
      <c r="AA75" s="60">
        <v>0.8046875</v>
      </c>
      <c r="AB75" s="60">
        <v>0.80645161290322576</v>
      </c>
    </row>
    <row r="76" spans="1:31" s="60" customFormat="1">
      <c r="B76" s="954" t="s">
        <v>60</v>
      </c>
      <c r="C76" s="1280">
        <f>C$73*Z76</f>
        <v>0</v>
      </c>
      <c r="D76" s="1280">
        <f t="shared" si="19"/>
        <v>0</v>
      </c>
      <c r="E76" s="1280">
        <f t="shared" si="19"/>
        <v>0</v>
      </c>
      <c r="F76" s="1282">
        <f t="shared" si="21"/>
        <v>0</v>
      </c>
      <c r="G76" s="1282">
        <f t="shared" si="21"/>
        <v>0</v>
      </c>
      <c r="H76" s="1282">
        <f t="shared" si="21"/>
        <v>0</v>
      </c>
      <c r="I76" s="1282">
        <f t="shared" si="21"/>
        <v>0</v>
      </c>
      <c r="J76" s="1282">
        <f t="shared" si="21"/>
        <v>0</v>
      </c>
      <c r="K76" s="1282">
        <f t="shared" si="21"/>
        <v>0</v>
      </c>
      <c r="L76" s="1282">
        <f t="shared" si="21"/>
        <v>0</v>
      </c>
      <c r="M76" s="1282">
        <f t="shared" si="21"/>
        <v>0</v>
      </c>
      <c r="N76" s="1282">
        <f t="shared" si="21"/>
        <v>0</v>
      </c>
      <c r="O76" s="1282">
        <f t="shared" si="21"/>
        <v>0</v>
      </c>
      <c r="P76" s="1282">
        <f t="shared" si="21"/>
        <v>0</v>
      </c>
      <c r="Q76" s="1282">
        <f t="shared" si="21"/>
        <v>0</v>
      </c>
      <c r="R76" s="1282">
        <f t="shared" si="21"/>
        <v>0</v>
      </c>
      <c r="S76" s="232"/>
      <c r="T76" s="231"/>
      <c r="U76" s="953">
        <v>0</v>
      </c>
      <c r="V76" s="94">
        <v>0</v>
      </c>
      <c r="W76" s="94">
        <v>0</v>
      </c>
      <c r="X76" s="94">
        <v>0</v>
      </c>
      <c r="Z76" s="60">
        <v>0</v>
      </c>
      <c r="AA76" s="60">
        <v>0</v>
      </c>
      <c r="AB76" s="60">
        <v>0</v>
      </c>
    </row>
    <row r="77" spans="1:31" s="60" customFormat="1">
      <c r="B77" s="954" t="s">
        <v>61</v>
      </c>
      <c r="C77" s="1280">
        <f>C$73*Z77</f>
        <v>2127337.2781065088</v>
      </c>
      <c r="D77" s="1280">
        <f t="shared" si="19"/>
        <v>1639257.8125000002</v>
      </c>
      <c r="E77" s="1280">
        <f t="shared" si="19"/>
        <v>3223548.3870967743</v>
      </c>
      <c r="F77" s="1282">
        <f t="shared" si="21"/>
        <v>5249621.9758064523</v>
      </c>
      <c r="G77" s="1282">
        <f t="shared" si="21"/>
        <v>8943800.4032258075</v>
      </c>
      <c r="H77" s="1282">
        <f t="shared" si="21"/>
        <v>10888104.838709679</v>
      </c>
      <c r="I77" s="1282">
        <f t="shared" si="21"/>
        <v>8749369.9596774206</v>
      </c>
      <c r="J77" s="1282">
        <f t="shared" si="21"/>
        <v>9708454.8484712522</v>
      </c>
      <c r="K77" s="1282">
        <f t="shared" si="21"/>
        <v>10925584.843964959</v>
      </c>
      <c r="L77" s="1282">
        <f t="shared" si="21"/>
        <v>12262086.559937822</v>
      </c>
      <c r="M77" s="1282">
        <f t="shared" si="21"/>
        <v>13838844.642019525</v>
      </c>
      <c r="N77" s="1282">
        <f t="shared" si="21"/>
        <v>15554461.865735071</v>
      </c>
      <c r="O77" s="1282">
        <f t="shared" si="21"/>
        <v>17451930.621164523</v>
      </c>
      <c r="P77" s="1282">
        <f t="shared" si="21"/>
        <v>19382968.697654314</v>
      </c>
      <c r="Q77" s="1282">
        <f t="shared" si="21"/>
        <v>21534569.753639862</v>
      </c>
      <c r="R77" s="1282">
        <f t="shared" si="21"/>
        <v>24055147.259914059</v>
      </c>
      <c r="S77" s="232"/>
      <c r="T77" s="231"/>
      <c r="U77" s="953">
        <v>8.3131801692865777E-3</v>
      </c>
      <c r="V77" s="94">
        <v>1.3143071723619977E-2</v>
      </c>
      <c r="W77" s="94">
        <v>8.2946250829462505E-3</v>
      </c>
      <c r="X77" s="94">
        <v>8.3287062742920595E-3</v>
      </c>
      <c r="Z77" s="60">
        <v>0.20710059171597631</v>
      </c>
      <c r="AA77" s="60">
        <v>0.19531250000000003</v>
      </c>
      <c r="AB77" s="60">
        <v>0.19354838709677419</v>
      </c>
    </row>
    <row r="78" spans="1:31" s="60" customFormat="1">
      <c r="B78" s="1016" t="s">
        <v>211</v>
      </c>
      <c r="C78" s="1223">
        <f>'IMF Data'!C47*1000</f>
        <v>16543479.999999981</v>
      </c>
      <c r="D78" s="1223">
        <f>'IMF Data'!D47*1000</f>
        <v>4663000</v>
      </c>
      <c r="E78" s="1223">
        <f>'IMF Data'!E47*1000</f>
        <v>4156000.0000000009</v>
      </c>
      <c r="F78" s="1223">
        <f>'IMF Data'!F47*1000</f>
        <v>9454780.4799999986</v>
      </c>
      <c r="G78" s="1223">
        <f>'IMF Data'!G47*1000</f>
        <v>8131799.0499999998</v>
      </c>
      <c r="H78" s="1223">
        <f>'IMF Data'!H47*1000</f>
        <v>31832000</v>
      </c>
      <c r="I78" s="1223">
        <f>'IMF Data'!I47*1000</f>
        <v>21640000</v>
      </c>
      <c r="J78" s="1223">
        <f>'IMF Data'!J47*1000</f>
        <v>24259672.423821378</v>
      </c>
      <c r="K78" s="1223">
        <f>'IMF Data'!K47*1000</f>
        <v>27301060.105871942</v>
      </c>
      <c r="L78" s="1223">
        <f>'IMF Data'!L47*1000</f>
        <v>30640736.12326438</v>
      </c>
      <c r="M78" s="1223">
        <f>'IMF Data'!M47*1000</f>
        <v>34930070.037986092</v>
      </c>
      <c r="N78" s="1223">
        <f>'IMF Data'!N47*1000</f>
        <v>39260390.330823347</v>
      </c>
      <c r="O78" s="1223">
        <f>'IMF Data'!O47*1000</f>
        <v>44049714.746013038</v>
      </c>
      <c r="P78" s="1223">
        <f>'IMF Data'!P47*1000</f>
        <v>48923770.131605044</v>
      </c>
      <c r="Q78" s="1223">
        <f>'IMF Data'!Q47*1000</f>
        <v>54354539.644775361</v>
      </c>
      <c r="R78" s="1223">
        <f>'IMF Data'!R47*1000</f>
        <v>60716627.745901801</v>
      </c>
      <c r="S78" s="232"/>
      <c r="T78" s="231"/>
      <c r="U78" s="953">
        <v>6.7714631197097946E-2</v>
      </c>
      <c r="V78" s="94">
        <v>8.4491175366128421E-2</v>
      </c>
      <c r="W78" s="94">
        <v>6.9343065693430656E-2</v>
      </c>
      <c r="X78" s="94">
        <v>6.6352026651860074E-2</v>
      </c>
    </row>
    <row r="79" spans="1:31" s="60" customFormat="1" ht="16.5" thickBot="1">
      <c r="B79" s="981" t="s">
        <v>316</v>
      </c>
      <c r="C79" s="1223">
        <f>'IMF Data'!C48*1000</f>
        <v>0</v>
      </c>
      <c r="D79" s="1223">
        <f>'IMF Data'!D48*1000</f>
        <v>0</v>
      </c>
      <c r="E79" s="1223">
        <f>'IMF Data'!E48*1000</f>
        <v>0</v>
      </c>
      <c r="F79" s="1223">
        <f>'IMF Data'!F48*1000</f>
        <v>0</v>
      </c>
      <c r="G79" s="1223">
        <f>'IMF Data'!G48*1000</f>
        <v>10000000</v>
      </c>
      <c r="H79" s="1223">
        <f>'IMF Data'!H48*1000</f>
        <v>2000000</v>
      </c>
      <c r="I79" s="1223">
        <f>'IMF Data'!I48*1000</f>
        <v>0</v>
      </c>
      <c r="J79" s="1223">
        <f>'IMF Data'!J48*1000</f>
        <v>0</v>
      </c>
      <c r="K79" s="1223">
        <f>'IMF Data'!K48*1000</f>
        <v>0</v>
      </c>
      <c r="L79" s="1223">
        <f>'IMF Data'!L48*1000</f>
        <v>0</v>
      </c>
      <c r="M79" s="1223">
        <f>'IMF Data'!M48*1000</f>
        <v>0</v>
      </c>
      <c r="N79" s="1223">
        <f>'IMF Data'!N48*1000</f>
        <v>0</v>
      </c>
      <c r="O79" s="1223">
        <f>'IMF Data'!O48*1000</f>
        <v>0</v>
      </c>
      <c r="P79" s="1223">
        <f>'IMF Data'!P48*1000</f>
        <v>0</v>
      </c>
      <c r="Q79" s="1223">
        <f>'IMF Data'!Q48*1000</f>
        <v>0</v>
      </c>
      <c r="R79" s="1223">
        <f>'IMF Data'!R48*1000</f>
        <v>0</v>
      </c>
      <c r="S79" s="232"/>
      <c r="T79" s="231"/>
      <c r="U79" s="953">
        <v>0</v>
      </c>
      <c r="V79" s="94">
        <v>0</v>
      </c>
      <c r="W79" s="94">
        <v>0</v>
      </c>
      <c r="X79" s="94">
        <v>0</v>
      </c>
    </row>
    <row r="80" spans="1:31" s="60" customFormat="1" ht="16.5" thickBot="1">
      <c r="A80" s="1024" t="s">
        <v>672</v>
      </c>
      <c r="B80" s="306" t="s">
        <v>62</v>
      </c>
      <c r="C80" s="1225">
        <f t="shared" ref="C80:R80" si="22">C47+C70+C72</f>
        <v>255907479.99999997</v>
      </c>
      <c r="D80" s="1226">
        <f t="shared" si="22"/>
        <v>281466000</v>
      </c>
      <c r="E80" s="1226">
        <f t="shared" si="22"/>
        <v>356931178.92699999</v>
      </c>
      <c r="F80" s="1226">
        <f t="shared" si="22"/>
        <v>448286780.48000002</v>
      </c>
      <c r="G80" s="1226">
        <f t="shared" si="22"/>
        <v>591473799.04999995</v>
      </c>
      <c r="H80" s="1226">
        <f t="shared" si="22"/>
        <v>685042000</v>
      </c>
      <c r="I80" s="1226">
        <f t="shared" si="22"/>
        <v>763802586.29371738</v>
      </c>
      <c r="J80" s="1226">
        <f t="shared" si="22"/>
        <v>877373099.71108425</v>
      </c>
      <c r="K80" s="1226">
        <f t="shared" si="22"/>
        <v>1002389012.8821763</v>
      </c>
      <c r="L80" s="1226">
        <f t="shared" si="22"/>
        <v>1144676302.8963153</v>
      </c>
      <c r="M80" s="1226">
        <f t="shared" si="22"/>
        <v>1300851167.6789532</v>
      </c>
      <c r="N80" s="1226">
        <f t="shared" si="22"/>
        <v>1469895442.2769575</v>
      </c>
      <c r="O80" s="1226">
        <f t="shared" si="22"/>
        <v>1661713214.4005201</v>
      </c>
      <c r="P80" s="1226">
        <f t="shared" si="22"/>
        <v>1874029225.4743965</v>
      </c>
      <c r="Q80" s="1226">
        <f t="shared" si="22"/>
        <v>2114604066.907887</v>
      </c>
      <c r="R80" s="1227">
        <f t="shared" si="22"/>
        <v>2387002378.7881994</v>
      </c>
      <c r="S80" s="1224"/>
      <c r="T80" s="1020"/>
      <c r="U80" s="953">
        <v>1</v>
      </c>
      <c r="V80" s="94">
        <v>1</v>
      </c>
      <c r="W80" s="94">
        <v>1</v>
      </c>
      <c r="X80" s="94">
        <v>1</v>
      </c>
    </row>
    <row r="81" spans="1:24" s="60" customFormat="1">
      <c r="B81" s="1021" t="s">
        <v>212</v>
      </c>
      <c r="C81" s="1030">
        <f>'IMF Data'!C50*1000</f>
        <v>255907479.99999997</v>
      </c>
      <c r="D81" s="1031">
        <f>'IMF Data'!D50*1000</f>
        <v>281466000</v>
      </c>
      <c r="E81" s="1031">
        <f>'IMF Data'!E50*1000</f>
        <v>356931178.92700005</v>
      </c>
      <c r="F81" s="1031">
        <f>'IMF Data'!F50*1000</f>
        <v>448286780.48000002</v>
      </c>
      <c r="G81" s="1031">
        <f>'IMF Data'!G50*1000</f>
        <v>591473799.05000007</v>
      </c>
      <c r="H81" s="1031">
        <f>'IMF Data'!H50*1000</f>
        <v>685042000</v>
      </c>
      <c r="I81" s="1031">
        <f>'IMF Data'!I50*1000</f>
        <v>763802586.29371738</v>
      </c>
      <c r="J81" s="1031">
        <f>'IMF Data'!J50*1000</f>
        <v>877373099.71108425</v>
      </c>
      <c r="K81" s="1031">
        <f>'IMF Data'!K50*1000</f>
        <v>1002389012.8821763</v>
      </c>
      <c r="L81" s="1031">
        <f>'IMF Data'!L50*1000</f>
        <v>1144676302.8963153</v>
      </c>
      <c r="M81" s="1031">
        <f>'IMF Data'!M50*1000</f>
        <v>1300851167.6789532</v>
      </c>
      <c r="N81" s="1031">
        <f>'IMF Data'!N50*1000</f>
        <v>1469895442.276958</v>
      </c>
      <c r="O81" s="1031">
        <f>'IMF Data'!O50*1000</f>
        <v>1661713214.4005201</v>
      </c>
      <c r="P81" s="1031">
        <f>'IMF Data'!P50*1000</f>
        <v>1874029225.4743962</v>
      </c>
      <c r="Q81" s="1031">
        <f>'IMF Data'!Q50*1000</f>
        <v>2114604066.9078875</v>
      </c>
      <c r="R81" s="1032">
        <f>'IMF Data'!R50*1000</f>
        <v>2387002378.7881999</v>
      </c>
      <c r="S81" s="308"/>
      <c r="T81" s="1017"/>
      <c r="U81" s="231"/>
      <c r="V81" s="231"/>
      <c r="W81" s="231"/>
      <c r="X81" s="231"/>
    </row>
    <row r="82" spans="1:24" s="60" customFormat="1">
      <c r="B82" s="709"/>
      <c r="C82" s="1007"/>
      <c r="D82" s="1008"/>
      <c r="E82" s="1008"/>
      <c r="F82" s="1008"/>
      <c r="G82" s="1008"/>
      <c r="H82" s="1008"/>
      <c r="I82" s="1007"/>
      <c r="J82" s="1008"/>
      <c r="K82" s="1008"/>
      <c r="L82" s="1008"/>
      <c r="M82" s="1008"/>
      <c r="N82" s="1008"/>
      <c r="O82" s="1008"/>
      <c r="P82" s="1008"/>
      <c r="Q82" s="1008"/>
      <c r="R82" s="1009"/>
      <c r="S82" s="1010"/>
    </row>
    <row r="83" spans="1:24" s="60" customFormat="1">
      <c r="B83" s="709" t="s">
        <v>674</v>
      </c>
      <c r="C83" s="1007"/>
      <c r="D83" s="1008"/>
      <c r="E83" s="1008"/>
      <c r="F83" s="1008"/>
      <c r="G83" s="1008"/>
      <c r="H83" s="1446"/>
      <c r="I83" s="1007"/>
      <c r="J83" s="1008"/>
      <c r="K83" s="1008"/>
      <c r="L83" s="1008"/>
      <c r="M83" s="1008"/>
      <c r="N83" s="1008"/>
      <c r="O83" s="1008"/>
      <c r="P83" s="1008"/>
      <c r="Q83" s="1008"/>
      <c r="R83" s="1009"/>
      <c r="S83" s="1010"/>
    </row>
    <row r="84" spans="1:24" s="60" customFormat="1">
      <c r="B84" s="298" t="s">
        <v>763</v>
      </c>
      <c r="C84" s="666"/>
      <c r="D84" s="667"/>
      <c r="E84" s="667"/>
      <c r="F84" s="667"/>
      <c r="G84" s="667"/>
      <c r="H84" s="668"/>
      <c r="I84" s="666"/>
      <c r="J84" s="667"/>
      <c r="K84" s="667"/>
      <c r="L84" s="667"/>
      <c r="M84" s="667"/>
      <c r="N84" s="667"/>
      <c r="O84" s="667"/>
      <c r="P84" s="667"/>
      <c r="Q84" s="667"/>
      <c r="R84" s="668"/>
      <c r="S84" s="1010"/>
    </row>
    <row r="85" spans="1:24" s="60" customFormat="1">
      <c r="A85" s="1343"/>
      <c r="B85" s="662"/>
      <c r="C85" s="1011">
        <v>2005</v>
      </c>
      <c r="D85" s="1012">
        <v>2006</v>
      </c>
      <c r="E85" s="1012">
        <v>2007</v>
      </c>
      <c r="F85" s="1012">
        <v>2008</v>
      </c>
      <c r="G85" s="1012">
        <v>2009</v>
      </c>
      <c r="H85" s="1012">
        <v>2010</v>
      </c>
      <c r="I85" s="1013">
        <v>2011</v>
      </c>
      <c r="J85" s="1013">
        <v>2012</v>
      </c>
      <c r="K85" s="1013">
        <v>2013</v>
      </c>
      <c r="L85" s="1013">
        <v>2014</v>
      </c>
      <c r="M85" s="1013">
        <v>2015</v>
      </c>
      <c r="N85" s="1013">
        <v>2016</v>
      </c>
      <c r="O85" s="1013">
        <v>2017</v>
      </c>
      <c r="P85" s="1013">
        <v>2018</v>
      </c>
      <c r="Q85" s="1013">
        <v>2019</v>
      </c>
      <c r="R85" s="1013">
        <v>2020</v>
      </c>
      <c r="S85" s="1010"/>
    </row>
    <row r="86" spans="1:24" s="63" customFormat="1">
      <c r="A86" s="1343"/>
      <c r="B86" s="1192" t="s">
        <v>859</v>
      </c>
      <c r="C86" s="1228">
        <f>C20/ECO!B$64*100</f>
        <v>26.751308852029503</v>
      </c>
      <c r="D86" s="1229">
        <f>D20/ECO!C$64*100</f>
        <v>27.874859509476369</v>
      </c>
      <c r="E86" s="1229">
        <f>E20/ECO!D$64*100</f>
        <v>28.144992243051409</v>
      </c>
      <c r="F86" s="1229">
        <f>F20/ECO!E$64*100</f>
        <v>28.358533586345942</v>
      </c>
      <c r="G86" s="1229">
        <f>G20/ECO!F$64*100</f>
        <v>26.279781161114791</v>
      </c>
      <c r="H86" s="1229">
        <f>H20/ECO!G$64*100</f>
        <v>27.890498679515584</v>
      </c>
      <c r="I86" s="1229">
        <f>I20/ECO!H$64*100</f>
        <v>27.577708355429998</v>
      </c>
      <c r="J86" s="1229">
        <f>J20/ECO!I$64*100</f>
        <v>27.893866463348783</v>
      </c>
      <c r="K86" s="1229">
        <f>K20/ECO!J$64*100</f>
        <v>27.932353544354438</v>
      </c>
      <c r="L86" s="1229">
        <f>L20/ECO!K$64*100</f>
        <v>28.06806079361499</v>
      </c>
      <c r="M86" s="1229">
        <f>M20/ECO!L$64*100</f>
        <v>28.295834725281711</v>
      </c>
      <c r="N86" s="1229">
        <f>N20/ECO!M$64*100</f>
        <v>28.262854627461749</v>
      </c>
      <c r="O86" s="1229">
        <f>O20/ECO!N$64*100</f>
        <v>28.109308367631865</v>
      </c>
      <c r="P86" s="1229">
        <f>P20/ECO!O$64*100</f>
        <v>28.009178870467679</v>
      </c>
      <c r="Q86" s="1229">
        <f>Q20/ECO!P$64*100</f>
        <v>27.887111308837152</v>
      </c>
      <c r="R86" s="1230">
        <f>R20/ECO!Q$64*100</f>
        <v>27.758192776929885</v>
      </c>
      <c r="S86" s="1034"/>
    </row>
    <row r="87" spans="1:24" s="63" customFormat="1">
      <c r="A87" s="1343"/>
      <c r="B87" s="1184" t="s">
        <v>321</v>
      </c>
      <c r="C87" s="1231">
        <f>C21/ECO!B$64*100</f>
        <v>7.9310183277210689</v>
      </c>
      <c r="D87" s="1232">
        <f>D21/ECO!C$64*100</f>
        <v>8.5547566627149685</v>
      </c>
      <c r="E87" s="1232">
        <f>E21/ECO!D$64*100</f>
        <v>6.8753120393816705</v>
      </c>
      <c r="F87" s="1232">
        <f>F21/ECO!E$64*100</f>
        <v>6.03371765570982</v>
      </c>
      <c r="G87" s="1232">
        <f>G21/ECO!F$64*100</f>
        <v>3.6481187465666984</v>
      </c>
      <c r="H87" s="1232">
        <f>H21/ECO!G$64*100</f>
        <v>3.4892783932108151</v>
      </c>
      <c r="I87" s="1232">
        <f>I21/ECO!H$64*100</f>
        <v>3.439531124104473</v>
      </c>
      <c r="J87" s="1232">
        <f>J21/ECO!I$64*100</f>
        <v>3.3877434113585849</v>
      </c>
      <c r="K87" s="1232">
        <f>K21/ECO!J$64*100</f>
        <v>3.1167160262428126</v>
      </c>
      <c r="L87" s="1232">
        <f>L21/ECO!K$64*100</f>
        <v>2.9153720163410273</v>
      </c>
      <c r="M87" s="1232">
        <f>M21/ECO!L$64*100</f>
        <v>2.7790301051572457</v>
      </c>
      <c r="N87" s="1232">
        <f>N21/ECO!M$64*100</f>
        <v>2.7109438675808937</v>
      </c>
      <c r="O87" s="1232">
        <f>O21/ECO!N$64*100</f>
        <v>2.5847494305450027</v>
      </c>
      <c r="P87" s="1232">
        <f>P21/ECO!O$64*100</f>
        <v>2.4156680465459011</v>
      </c>
      <c r="Q87" s="1232">
        <f>Q21/ECO!P$64*100</f>
        <v>2.2215449623254733</v>
      </c>
      <c r="R87" s="1233">
        <f>R21/ECO!Q$64*100</f>
        <v>2.0174405189118207</v>
      </c>
      <c r="S87" s="1034"/>
    </row>
    <row r="88" spans="1:24">
      <c r="A88" s="1342"/>
      <c r="B88" s="1182" t="s">
        <v>999</v>
      </c>
      <c r="C88" s="1238">
        <f>C22/ECO!B$64*100</f>
        <v>5.4005470814774217</v>
      </c>
      <c r="D88" s="1239">
        <f>D22/ECO!C$64*100</f>
        <v>5.822440506433054</v>
      </c>
      <c r="E88" s="1239">
        <f>E22/ECO!D$64*100</f>
        <v>4.9989186020345393</v>
      </c>
      <c r="F88" s="1239">
        <f>F22/ECO!E$64*100</f>
        <v>4.3839282227121457</v>
      </c>
      <c r="G88" s="1239">
        <f>G22/ECO!F$64*100</f>
        <v>2.7257175487777596</v>
      </c>
      <c r="H88" s="1239">
        <f>H22/ECO!G$64*100</f>
        <v>2.4556819577559548</v>
      </c>
      <c r="I88" s="1239">
        <f>I22/ECO!H$64*100</f>
        <v>2.434424942936988</v>
      </c>
      <c r="J88" s="1239">
        <f>J22/ECO!I$64*100</f>
        <v>2.3977707319130741</v>
      </c>
      <c r="K88" s="1239">
        <f>K22/ECO!J$64*100</f>
        <v>2.2059434732728112</v>
      </c>
      <c r="L88" s="1239">
        <f>L22/ECO!K$64*100</f>
        <v>2.0634365843597244</v>
      </c>
      <c r="M88" s="1239">
        <f>M22/ECO!L$64*100</f>
        <v>1.9669367600006951</v>
      </c>
      <c r="N88" s="1239">
        <f>N22/ECO!M$64*100</f>
        <v>1.9187468093806785</v>
      </c>
      <c r="O88" s="1239">
        <f>O22/ECO!N$64*100</f>
        <v>1.8294291454040077</v>
      </c>
      <c r="P88" s="1239">
        <f>P22/ECO!O$64*100</f>
        <v>1.7097570378574043</v>
      </c>
      <c r="Q88" s="1239">
        <f>Q22/ECO!P$64*100</f>
        <v>1.572360962295184</v>
      </c>
      <c r="R88" s="1240">
        <f>R22/ECO!Q$64*100</f>
        <v>1.4279002988843139</v>
      </c>
      <c r="S88" s="1241"/>
    </row>
    <row r="89" spans="1:24">
      <c r="A89" s="1342"/>
      <c r="B89" s="1182" t="s">
        <v>861</v>
      </c>
      <c r="C89" s="1238">
        <f>C23/ECO!B$64*100</f>
        <v>2.5304712462436463</v>
      </c>
      <c r="D89" s="1239">
        <f>D23/ECO!C$64*100</f>
        <v>2.7323161562819149</v>
      </c>
      <c r="E89" s="1239">
        <f>E23/ECO!D$64*100</f>
        <v>1.8763934373471305</v>
      </c>
      <c r="F89" s="1239">
        <f>F23/ECO!E$64*100</f>
        <v>1.6497894329976743</v>
      </c>
      <c r="G89" s="1239">
        <f>G23/ECO!F$64*100</f>
        <v>0.92240119778893848</v>
      </c>
      <c r="H89" s="1239">
        <f>H23/ECO!G$64*100</f>
        <v>1.0335964354548601</v>
      </c>
      <c r="I89" s="1239">
        <f>I23/ECO!H$64*100</f>
        <v>1.0051061811674848</v>
      </c>
      <c r="J89" s="1239">
        <f>J23/ECO!I$64*100</f>
        <v>0.98997267944551071</v>
      </c>
      <c r="K89" s="1239">
        <f>K23/ECO!J$64*100</f>
        <v>0.91077255297000204</v>
      </c>
      <c r="L89" s="1239">
        <f>L23/ECO!K$64*100</f>
        <v>0.85193543198130262</v>
      </c>
      <c r="M89" s="1239">
        <f>M23/ECO!L$64*100</f>
        <v>0.81209334515655063</v>
      </c>
      <c r="N89" s="1239">
        <f>N23/ECO!M$64*100</f>
        <v>0.79219705820021513</v>
      </c>
      <c r="O89" s="1239">
        <f>O23/ECO!N$64*100</f>
        <v>0.75532028514099514</v>
      </c>
      <c r="P89" s="1239">
        <f>P23/ECO!O$64*100</f>
        <v>0.70591100868849688</v>
      </c>
      <c r="Q89" s="1239">
        <f>Q23/ECO!P$64*100</f>
        <v>0.64918400003028931</v>
      </c>
      <c r="R89" s="1240">
        <f>R23/ECO!Q$64*100</f>
        <v>0.58954022002750661</v>
      </c>
      <c r="S89" s="1241"/>
    </row>
    <row r="90" spans="1:24" s="63" customFormat="1">
      <c r="A90" s="1343"/>
      <c r="B90" s="1184" t="s">
        <v>322</v>
      </c>
      <c r="C90" s="1231">
        <f>C24/ECO!B$64*100</f>
        <v>18.82029052430844</v>
      </c>
      <c r="D90" s="1232">
        <f>D24/ECO!C$64*100</f>
        <v>19.320102846761404</v>
      </c>
      <c r="E90" s="1232">
        <f>E24/ECO!D$64*100</f>
        <v>21.26968020366974</v>
      </c>
      <c r="F90" s="1232">
        <f>F24/ECO!E$64*100</f>
        <v>22.32481593063612</v>
      </c>
      <c r="G90" s="1232">
        <f>G24/ECO!F$64*100</f>
        <v>22.631662414548096</v>
      </c>
      <c r="H90" s="1232">
        <f>H24/ECO!G$64*100</f>
        <v>24.40122028630477</v>
      </c>
      <c r="I90" s="1232">
        <f>I24/ECO!H$64*100</f>
        <v>24.138177231325521</v>
      </c>
      <c r="J90" s="1232">
        <f>J24/ECO!I$64*100</f>
        <v>24.506123051990201</v>
      </c>
      <c r="K90" s="1232">
        <f>K24/ECO!J$64*100</f>
        <v>24.815637518111629</v>
      </c>
      <c r="L90" s="1232">
        <f>L24/ECO!K$64*100</f>
        <v>25.152688777273969</v>
      </c>
      <c r="M90" s="1232">
        <f>M24/ECO!L$64*100</f>
        <v>25.516804620124461</v>
      </c>
      <c r="N90" s="1232">
        <f>N24/ECO!M$64*100</f>
        <v>25.551910759880851</v>
      </c>
      <c r="O90" s="1232">
        <f>O24/ECO!N$64*100</f>
        <v>25.524558937086862</v>
      </c>
      <c r="P90" s="1232">
        <f>P24/ECO!O$64*100</f>
        <v>25.593510823921779</v>
      </c>
      <c r="Q90" s="1232">
        <f>Q24/ECO!P$64*100</f>
        <v>25.665566346511682</v>
      </c>
      <c r="R90" s="1233">
        <f>R24/ECO!Q$64*100</f>
        <v>25.740752258018063</v>
      </c>
      <c r="S90" s="1034"/>
    </row>
    <row r="91" spans="1:24">
      <c r="A91" s="1342"/>
      <c r="B91" s="1183" t="s">
        <v>998</v>
      </c>
      <c r="C91" s="1238">
        <f>C25/ECO!B$64*100</f>
        <v>0.50452134378393287</v>
      </c>
      <c r="D91" s="1239">
        <f>D25/ECO!C$64*100</f>
        <v>0.53158021688144386</v>
      </c>
      <c r="E91" s="1239">
        <f>E25/ECO!D$64*100</f>
        <v>0.6483256450392334</v>
      </c>
      <c r="F91" s="1239">
        <f>F25/ECO!E$64*100</f>
        <v>0.87135817399958782</v>
      </c>
      <c r="G91" s="1239">
        <f>G25/ECO!F$64*100</f>
        <v>0.86403129784387145</v>
      </c>
      <c r="H91" s="1239">
        <f>H25/ECO!G$64*100</f>
        <v>1.0591876666937896</v>
      </c>
      <c r="I91" s="1239">
        <f>I25/ECO!H$64*100</f>
        <v>1.1158524860876551</v>
      </c>
      <c r="J91" s="1239">
        <f>J25/ECO!I$64*100</f>
        <v>1.15519316570978</v>
      </c>
      <c r="K91" s="1239">
        <f>K25/ECO!J$64*100</f>
        <v>1.1970048088619194</v>
      </c>
      <c r="L91" s="1239">
        <f>L25/ECO!K$64*100</f>
        <v>1.2395385822590146</v>
      </c>
      <c r="M91" s="1239">
        <f>M25/ECO!L$64*100</f>
        <v>1.2821885498237642</v>
      </c>
      <c r="N91" s="1239">
        <f>N25/ECO!M$64*100</f>
        <v>1.2821885498237642</v>
      </c>
      <c r="O91" s="1239">
        <f>O25/ECO!N$64*100</f>
        <v>1.282188549823764</v>
      </c>
      <c r="P91" s="1239">
        <f>P25/ECO!O$64*100</f>
        <v>1.282188549823764</v>
      </c>
      <c r="Q91" s="1239">
        <f>Q25/ECO!P$64*100</f>
        <v>1.2821885498237642</v>
      </c>
      <c r="R91" s="1240">
        <f>R25/ECO!Q$64*100</f>
        <v>1.2821885498237642</v>
      </c>
      <c r="S91" s="1241"/>
    </row>
    <row r="92" spans="1:24">
      <c r="A92" s="1342"/>
      <c r="B92" s="1183" t="s">
        <v>999</v>
      </c>
      <c r="C92" s="1238">
        <f>C26/ECO!B$64*100</f>
        <v>3.6373438873416513</v>
      </c>
      <c r="D92" s="1239">
        <f>D26/ECO!C$64*100</f>
        <v>4.4207684767491386</v>
      </c>
      <c r="E92" s="1239">
        <f>E26/ECO!D$64*100</f>
        <v>4.142481736452841</v>
      </c>
      <c r="F92" s="1239">
        <f>F26/ECO!E$64*100</f>
        <v>4.857518797498785</v>
      </c>
      <c r="G92" s="1239">
        <f>G26/ECO!F$64*100</f>
        <v>4.0321661564325382</v>
      </c>
      <c r="H92" s="1239">
        <f>H26/ECO!G$64*100</f>
        <v>4.7078682263151661</v>
      </c>
      <c r="I92" s="1239">
        <f>I26/ECO!H$64*100</f>
        <v>4.4438617675826215</v>
      </c>
      <c r="J92" s="1239">
        <f>J26/ECO!I$64*100</f>
        <v>4.6005352923210383</v>
      </c>
      <c r="K92" s="1239">
        <f>K26/ECO!J$64*100</f>
        <v>4.7670493833502752</v>
      </c>
      <c r="L92" s="1239">
        <f>L26/ECO!K$64*100</f>
        <v>4.9364393446462218</v>
      </c>
      <c r="M92" s="1239">
        <f>M26/ECO!L$64*100</f>
        <v>5.1062920470532873</v>
      </c>
      <c r="N92" s="1239">
        <f>N26/ECO!M$64*100</f>
        <v>5.1062920470532873</v>
      </c>
      <c r="O92" s="1239">
        <f>O26/ECO!N$64*100</f>
        <v>5.1062920470532864</v>
      </c>
      <c r="P92" s="1239">
        <f>P26/ECO!O$64*100</f>
        <v>5.1062920470532864</v>
      </c>
      <c r="Q92" s="1239">
        <f>Q26/ECO!P$64*100</f>
        <v>5.1062920470532873</v>
      </c>
      <c r="R92" s="1240">
        <f>R26/ECO!Q$64*100</f>
        <v>5.1062920470532864</v>
      </c>
      <c r="S92" s="1241"/>
    </row>
    <row r="93" spans="1:24">
      <c r="A93" s="1342"/>
      <c r="B93" s="1183" t="s">
        <v>863</v>
      </c>
      <c r="C93" s="1238">
        <f>C27/ECO!B$64*100</f>
        <v>1.8727107791469744</v>
      </c>
      <c r="D93" s="1239">
        <f>D27/ECO!C$64*100</f>
        <v>1.7649202219108762</v>
      </c>
      <c r="E93" s="1239">
        <f>E27/ECO!D$64*100</f>
        <v>1.5182973467439365</v>
      </c>
      <c r="F93" s="1239">
        <f>F27/ECO!E$64*100</f>
        <v>1.4897261888247977</v>
      </c>
      <c r="G93" s="1239">
        <f>G27/ECO!F$64*100</f>
        <v>1.7521823890534729</v>
      </c>
      <c r="H93" s="1239">
        <f>H27/ECO!G$64*100</f>
        <v>1.9473558765540782</v>
      </c>
      <c r="I93" s="1239">
        <f>I27/ECO!H$64*100</f>
        <v>2.080244221310521</v>
      </c>
      <c r="J93" s="1239">
        <f>J27/ECO!I$64*100</f>
        <v>2.1612949752935617</v>
      </c>
      <c r="K93" s="1239">
        <f>K27/ECO!J$64*100</f>
        <v>2.2477448424501389</v>
      </c>
      <c r="L93" s="1239">
        <f>L27/ECO!K$64*100</f>
        <v>2.3360106887938197</v>
      </c>
      <c r="M93" s="1239">
        <f>M27/ECO!L$64*100</f>
        <v>2.4248369011466564</v>
      </c>
      <c r="N93" s="1239">
        <f>N27/ECO!M$64*100</f>
        <v>2.4248369011466564</v>
      </c>
      <c r="O93" s="1239">
        <f>O27/ECO!N$64*100</f>
        <v>2.4248369011466564</v>
      </c>
      <c r="P93" s="1239">
        <f>P27/ECO!O$64*100</f>
        <v>2.4248369011466564</v>
      </c>
      <c r="Q93" s="1239">
        <f>Q27/ECO!P$64*100</f>
        <v>2.4248369011466568</v>
      </c>
      <c r="R93" s="1240">
        <f>R27/ECO!Q$64*100</f>
        <v>2.4248369011466568</v>
      </c>
      <c r="S93" s="1241"/>
    </row>
    <row r="94" spans="1:24" s="63" customFormat="1">
      <c r="A94" s="1343"/>
      <c r="B94" s="1193" t="s">
        <v>776</v>
      </c>
      <c r="C94" s="1231">
        <f>C28/ECO!B$64*100</f>
        <v>5.4667997662067247</v>
      </c>
      <c r="D94" s="1232">
        <f>D28/ECO!C$64*100</f>
        <v>5.6604722534423377</v>
      </c>
      <c r="E94" s="1232">
        <f>E28/ECO!D$64*100</f>
        <v>6.104805644999507</v>
      </c>
      <c r="F94" s="1232">
        <f>F28/ECO!E$64*100</f>
        <v>6.1618625247300063</v>
      </c>
      <c r="G94" s="1232">
        <f>G28/ECO!F$64*100</f>
        <v>6.4233421712276195</v>
      </c>
      <c r="H94" s="1232">
        <f>H28/ECO!G$64*100</f>
        <v>7.5568344793427711</v>
      </c>
      <c r="I94" s="1232">
        <f>I28/ECO!H$64*100</f>
        <v>7.8307992412022669</v>
      </c>
      <c r="J94" s="1232">
        <f>J28/ECO!I$64*100</f>
        <v>8.0129278731853919</v>
      </c>
      <c r="K94" s="1232">
        <f>K28/ECO!J$64*100</f>
        <v>8.2378502945008893</v>
      </c>
      <c r="L94" s="1232">
        <f>L28/ECO!K$64*100</f>
        <v>8.4700710615836439</v>
      </c>
      <c r="M94" s="1232">
        <f>M28/ECO!L$64*100</f>
        <v>8.7064164118548302</v>
      </c>
      <c r="N94" s="1232">
        <f>N28/ECO!M$64*100</f>
        <v>8.7378850622706885</v>
      </c>
      <c r="O94" s="1232">
        <f>O28/ECO!N$64*100</f>
        <v>8.7695110559386276</v>
      </c>
      <c r="P94" s="1232">
        <f>P28/ECO!O$64*100</f>
        <v>8.8966475504837454</v>
      </c>
      <c r="Q94" s="1232">
        <f>Q28/ECO!P$64*100</f>
        <v>9.0263267749197649</v>
      </c>
      <c r="R94" s="1233">
        <f>R28/ECO!Q$64*100</f>
        <v>9.158599583844504</v>
      </c>
      <c r="S94" s="1034"/>
    </row>
    <row r="95" spans="1:24">
      <c r="A95" s="1342"/>
      <c r="B95" s="1185" t="s">
        <v>323</v>
      </c>
      <c r="C95" s="1238">
        <f>C29/ECO!B$64*100</f>
        <v>3.7444682822546782</v>
      </c>
      <c r="D95" s="1239">
        <f>D29/ECO!C$64*100</f>
        <v>3.9622689925225676</v>
      </c>
      <c r="E95" s="1239">
        <f>E29/ECO!D$64*100</f>
        <v>4.1845726286338092</v>
      </c>
      <c r="F95" s="1239">
        <f>F29/ECO!E$64*100</f>
        <v>4.0755186062578872</v>
      </c>
      <c r="G95" s="1239">
        <f>G29/ECO!F$64*100</f>
        <v>4.6973297579759636</v>
      </c>
      <c r="H95" s="1239">
        <f>H29/ECO!G$64*100</f>
        <v>4.9793507707810791</v>
      </c>
      <c r="I95" s="1239">
        <f>I29/ECO!H$64*100</f>
        <v>5.3191436611600666</v>
      </c>
      <c r="J95" s="1239">
        <f>J29/ECO!I$64*100</f>
        <v>5.526388848943613</v>
      </c>
      <c r="K95" s="1239">
        <f>K29/ECO!J$64*100</f>
        <v>5.7761766605015286</v>
      </c>
      <c r="L95" s="1239">
        <f>L29/ECO!K$64*100</f>
        <v>6.0330141639242747</v>
      </c>
      <c r="M95" s="1239">
        <f>M29/ECO!L$64*100</f>
        <v>6.2937300831720568</v>
      </c>
      <c r="N95" s="1239">
        <f>N29/ECO!M$64*100</f>
        <v>6.3251987335879152</v>
      </c>
      <c r="O95" s="1239">
        <f>O29/ECO!N$64*100</f>
        <v>6.3568247272558525</v>
      </c>
      <c r="P95" s="1239">
        <f>P29/ECO!O$64*100</f>
        <v>6.4839612218009712</v>
      </c>
      <c r="Q95" s="1239">
        <f>Q29/ECO!P$64*100</f>
        <v>6.6136404462369907</v>
      </c>
      <c r="R95" s="1240">
        <f>R29/ECO!Q$64*100</f>
        <v>6.7459132551617298</v>
      </c>
      <c r="S95" s="1241"/>
    </row>
    <row r="96" spans="1:24">
      <c r="A96" s="1342"/>
      <c r="B96" s="1185" t="s">
        <v>864</v>
      </c>
      <c r="C96" s="1238">
        <f>C30/ECO!B$64*100</f>
        <v>1.7223314839520467</v>
      </c>
      <c r="D96" s="1239">
        <f>D30/ECO!C$64*100</f>
        <v>1.6982032609197701</v>
      </c>
      <c r="E96" s="1239">
        <f>E30/ECO!D$64*100</f>
        <v>1.9202330163656973</v>
      </c>
      <c r="F96" s="1239">
        <f>F30/ECO!E$64*100</f>
        <v>2.08634391847212</v>
      </c>
      <c r="G96" s="1239">
        <f>G30/ECO!F$64*100</f>
        <v>1.7260124132516559</v>
      </c>
      <c r="H96" s="1239">
        <f>H30/ECO!G$64*100</f>
        <v>2.577483708561692</v>
      </c>
      <c r="I96" s="1239">
        <f>I30/ECO!H$64*100</f>
        <v>2.5116555800422016</v>
      </c>
      <c r="J96" s="1239">
        <f>J30/ECO!I$64*100</f>
        <v>2.4865390242417797</v>
      </c>
      <c r="K96" s="1239">
        <f>K30/ECO!J$64*100</f>
        <v>2.4616736339993626</v>
      </c>
      <c r="L96" s="1239">
        <f>L30/ECO!K$64*100</f>
        <v>2.4370568976593687</v>
      </c>
      <c r="M96" s="1239">
        <f>M30/ECO!L$64*100</f>
        <v>2.4126863286827742</v>
      </c>
      <c r="N96" s="1239">
        <f>N30/ECO!M$64*100</f>
        <v>2.4126863286827742</v>
      </c>
      <c r="O96" s="1239">
        <f>O30/ECO!N$64*100</f>
        <v>2.4126863286827742</v>
      </c>
      <c r="P96" s="1239">
        <f>P30/ECO!O$64*100</f>
        <v>2.4126863286827742</v>
      </c>
      <c r="Q96" s="1239">
        <f>Q30/ECO!P$64*100</f>
        <v>2.4126863286827747</v>
      </c>
      <c r="R96" s="1240">
        <f>R30/ECO!Q$64*100</f>
        <v>2.4126863286827742</v>
      </c>
      <c r="S96" s="1241"/>
    </row>
    <row r="97" spans="1:19">
      <c r="A97" s="1342"/>
      <c r="B97" s="1183" t="s">
        <v>865</v>
      </c>
      <c r="C97" s="1238">
        <f>C31/ECO!B$64*100</f>
        <v>2.8193138861426199</v>
      </c>
      <c r="D97" s="1239">
        <f>D31/ECO!C$64*100</f>
        <v>2.6974180536096437</v>
      </c>
      <c r="E97" s="1239">
        <f>E31/ECO!D$64*100</f>
        <v>3.3495222030759262</v>
      </c>
      <c r="F97" s="1239">
        <f>F31/ECO!E$64*100</f>
        <v>4.072219027391891</v>
      </c>
      <c r="G97" s="1239">
        <f>G31/ECO!F$64*100</f>
        <v>4.6454722022396435</v>
      </c>
      <c r="H97" s="1239">
        <f>H31/ECO!G$64*100</f>
        <v>3.928935606621494</v>
      </c>
      <c r="I97" s="1239">
        <f>I31/ECO!H$64*100</f>
        <v>3.6319774012228607</v>
      </c>
      <c r="J97" s="1239">
        <f>J31/ECO!I$64*100</f>
        <v>3.6063722843217079</v>
      </c>
      <c r="K97" s="1239">
        <f>K31/ECO!J$64*100</f>
        <v>3.5170162889584633</v>
      </c>
      <c r="L97" s="1239">
        <f>L31/ECO!K$64*100</f>
        <v>3.4349943853848064</v>
      </c>
      <c r="M97" s="1239">
        <f>M31/ECO!L$64*100</f>
        <v>3.3680618100388604</v>
      </c>
      <c r="N97" s="1239">
        <f>N31/ECO!M$64*100</f>
        <v>3.3716992993793946</v>
      </c>
      <c r="O97" s="1239">
        <f>O31/ECO!N$64*100</f>
        <v>3.3127214829174654</v>
      </c>
      <c r="P97" s="1239">
        <f>P31/ECO!O$64*100</f>
        <v>3.2545368752072652</v>
      </c>
      <c r="Q97" s="1239">
        <f>Q31/ECO!P$64*100</f>
        <v>3.1969131733611476</v>
      </c>
      <c r="R97" s="1240">
        <f>R31/ECO!Q$64*100</f>
        <v>3.1398262759427835</v>
      </c>
      <c r="S97" s="1241"/>
    </row>
    <row r="98" spans="1:19">
      <c r="A98" s="1342"/>
      <c r="B98" s="1183" t="s">
        <v>50</v>
      </c>
      <c r="C98" s="1238">
        <f>C32/ECO!B$64*100</f>
        <v>0.61414808830004497</v>
      </c>
      <c r="D98" s="1239">
        <f>D32/ECO!C$64*100</f>
        <v>0.62744735775174099</v>
      </c>
      <c r="E98" s="1239">
        <f>E32/ECO!D$64*100</f>
        <v>0.84558626375440726</v>
      </c>
      <c r="F98" s="1239">
        <f>F32/ECO!E$64*100</f>
        <v>0.95869600643215935</v>
      </c>
      <c r="G98" s="1239">
        <f>G32/ECO!F$64*100</f>
        <v>0.94754608237271232</v>
      </c>
      <c r="H98" s="1239">
        <f>H32/ECO!G$64*100</f>
        <v>0.93810470632021137</v>
      </c>
      <c r="I98" s="1239">
        <f>I32/ECO!H$64*100</f>
        <v>1.0021213471058283</v>
      </c>
      <c r="J98" s="1239">
        <f>J32/ECO!I$64*100</f>
        <v>1.0344615235859627</v>
      </c>
      <c r="K98" s="1239">
        <f>K32/ECO!J$64*100</f>
        <v>1.0687338799768917</v>
      </c>
      <c r="L98" s="1239">
        <f>L32/ECO!K$64*100</f>
        <v>1.1034950666698753</v>
      </c>
      <c r="M98" s="1239">
        <f>M32/ECO!L$64*100</f>
        <v>1.1382499672881639</v>
      </c>
      <c r="N98" s="1239">
        <f>N32/ECO!M$64*100</f>
        <v>1.1382499672881636</v>
      </c>
      <c r="O98" s="1239">
        <f>O32/ECO!N$64*100</f>
        <v>1.1382499672881634</v>
      </c>
      <c r="P98" s="1239">
        <f>P32/ECO!O$64*100</f>
        <v>1.1382499672881634</v>
      </c>
      <c r="Q98" s="1239">
        <f>Q32/ECO!P$64*100</f>
        <v>1.1382499672881634</v>
      </c>
      <c r="R98" s="1240">
        <f>R32/ECO!Q$64*100</f>
        <v>1.1382499672881636</v>
      </c>
      <c r="S98" s="1241"/>
    </row>
    <row r="99" spans="1:19">
      <c r="A99" s="1342"/>
      <c r="B99" s="1183"/>
      <c r="C99" s="1238"/>
      <c r="D99" s="1238"/>
      <c r="E99" s="1238"/>
      <c r="F99" s="1238"/>
      <c r="G99" s="1238"/>
      <c r="H99" s="1238"/>
      <c r="I99" s="1238"/>
      <c r="J99" s="1238"/>
      <c r="K99" s="1238"/>
      <c r="L99" s="1238"/>
      <c r="M99" s="1239"/>
      <c r="N99" s="1239"/>
      <c r="O99" s="1239"/>
      <c r="P99" s="1239"/>
      <c r="Q99" s="1239"/>
      <c r="R99" s="1240"/>
      <c r="S99" s="1241"/>
    </row>
    <row r="100" spans="1:19">
      <c r="A100" s="1342"/>
      <c r="B100" s="1183" t="s">
        <v>866</v>
      </c>
      <c r="C100" s="1238">
        <f>C33/ECO!B$64*100</f>
        <v>1.8420867863854082</v>
      </c>
      <c r="D100" s="1239">
        <f>D33/ECO!C$64*100</f>
        <v>1.7868854982987175</v>
      </c>
      <c r="E100" s="1239">
        <f>E33/ECO!D$64*100</f>
        <v>2.7248912646861378</v>
      </c>
      <c r="F100" s="1239">
        <f>F33/ECO!E$64*100</f>
        <v>2.2144214491481025</v>
      </c>
      <c r="G100" s="1239">
        <f>G33/ECO!F$64*100</f>
        <v>2.269853454165458</v>
      </c>
      <c r="H100" s="1239">
        <f>H33/ECO!G$64*100</f>
        <v>2.4363301637030683</v>
      </c>
      <c r="I100" s="1239">
        <f>I33/ECO!H$64*100</f>
        <v>2.0820690476837282</v>
      </c>
      <c r="J100" s="1239">
        <f>J33/ECO!I$64*100</f>
        <v>2.0670760839097935</v>
      </c>
      <c r="K100" s="1239">
        <f>K33/ECO!J$64*100</f>
        <v>2.0111062911572439</v>
      </c>
      <c r="L100" s="1239">
        <f>L33/ECO!K$64*100</f>
        <v>1.9558100627253712</v>
      </c>
      <c r="M100" s="1239">
        <f>M33/ECO!L$64*100</f>
        <v>1.9006400134518229</v>
      </c>
      <c r="N100" s="1239">
        <f>N33/ECO!M$64*100</f>
        <v>1.9006400134518233</v>
      </c>
      <c r="O100" s="1239">
        <f>O33/ECO!N$64*100</f>
        <v>1.9006400134518229</v>
      </c>
      <c r="P100" s="1239">
        <f>P33/ECO!O$64*100</f>
        <v>1.9006400134518229</v>
      </c>
      <c r="Q100" s="1239">
        <f>Q33/ECO!P$64*100</f>
        <v>1.9006400134518233</v>
      </c>
      <c r="R100" s="1240">
        <f>R33/ECO!Q$64*100</f>
        <v>1.9006400134518233</v>
      </c>
      <c r="S100" s="1241"/>
    </row>
    <row r="101" spans="1:19">
      <c r="A101" s="1342"/>
      <c r="B101" s="1183" t="s">
        <v>867</v>
      </c>
      <c r="C101" s="1238">
        <f>C34/ECO!B$64*100</f>
        <v>2.0633659870010823</v>
      </c>
      <c r="D101" s="1239">
        <f>D34/ECO!C$64*100</f>
        <v>1.8306107681175039</v>
      </c>
      <c r="E101" s="1239">
        <f>E34/ECO!D$64*100</f>
        <v>1.9357700989177502</v>
      </c>
      <c r="F101" s="1239">
        <f>F34/ECO!E$64*100</f>
        <v>1.6990137626107884</v>
      </c>
      <c r="G101" s="1239">
        <f>G34/ECO!F$64*100</f>
        <v>1.6970686612127794</v>
      </c>
      <c r="H101" s="1239">
        <f>H34/ECO!G$64*100</f>
        <v>1.8266035607541939</v>
      </c>
      <c r="I101" s="1239">
        <f>I34/ECO!H$64*100</f>
        <v>1.9512517191300416</v>
      </c>
      <c r="J101" s="1239">
        <f>J34/ECO!I$64*100</f>
        <v>1.8682618536629618</v>
      </c>
      <c r="K101" s="1239">
        <f>K34/ECO!J$64*100</f>
        <v>1.7691317288558046</v>
      </c>
      <c r="L101" s="1239">
        <f>L34/ECO!K$64*100</f>
        <v>1.676329585211215</v>
      </c>
      <c r="M101" s="1239">
        <f>M34/ECO!L$64*100</f>
        <v>1.5901189194670751</v>
      </c>
      <c r="N101" s="1239">
        <f>N34/ECO!M$64*100</f>
        <v>1.5901189194670751</v>
      </c>
      <c r="O101" s="1239">
        <f>O34/ECO!N$64*100</f>
        <v>1.5901189194670751</v>
      </c>
      <c r="P101" s="1239">
        <f>P34/ECO!O$64*100</f>
        <v>1.5901189194670751</v>
      </c>
      <c r="Q101" s="1239">
        <f>Q34/ECO!P$64*100</f>
        <v>1.5901189194670755</v>
      </c>
      <c r="R101" s="1240">
        <f>R34/ECO!Q$64*100</f>
        <v>1.5901189194670755</v>
      </c>
      <c r="S101" s="1241"/>
    </row>
    <row r="102" spans="1:19" s="1237" customFormat="1" ht="6" customHeight="1">
      <c r="A102" s="1343"/>
      <c r="B102" s="1235"/>
      <c r="C102" s="1247"/>
      <c r="D102" s="1248"/>
      <c r="E102" s="1248"/>
      <c r="F102" s="1248"/>
      <c r="G102" s="1248"/>
      <c r="H102" s="1248"/>
      <c r="I102" s="1248"/>
      <c r="J102" s="1248"/>
      <c r="K102" s="1248"/>
      <c r="L102" s="1248"/>
      <c r="M102" s="1248"/>
      <c r="N102" s="1248"/>
      <c r="O102" s="1248"/>
      <c r="P102" s="1248"/>
      <c r="Q102" s="1248"/>
      <c r="R102" s="1249"/>
      <c r="S102" s="1236"/>
    </row>
    <row r="103" spans="1:19" s="60" customFormat="1">
      <c r="A103" s="1343"/>
      <c r="B103" s="256" t="s">
        <v>34</v>
      </c>
      <c r="C103" s="1242">
        <f>C36/ECO!B$64*100</f>
        <v>0.45149536409950913</v>
      </c>
      <c r="D103" s="1243">
        <f>D36/ECO!C$64*100</f>
        <v>0.81055975530271529</v>
      </c>
      <c r="E103" s="1243">
        <f>E36/ECO!D$64*100</f>
        <v>0.52565526338177637</v>
      </c>
      <c r="F103" s="1243">
        <f>F36/ECO!E$64*100</f>
        <v>0.63298043551747496</v>
      </c>
      <c r="G103" s="1243">
        <f>G36/ECO!F$64*100</f>
        <v>0.39315263186140287</v>
      </c>
      <c r="H103" s="1243">
        <f>H36/ECO!G$64*100</f>
        <v>0.27764966629539017</v>
      </c>
      <c r="I103" s="1243">
        <f>I36/ECO!H$64*100</f>
        <v>0.20766183811281783</v>
      </c>
      <c r="J103" s="1243">
        <f>J36/ECO!I$64*100</f>
        <v>0.20350860135056148</v>
      </c>
      <c r="K103" s="1243">
        <f>K36/ECO!J$64*100</f>
        <v>0.19536825729653903</v>
      </c>
      <c r="L103" s="1243">
        <f>L36/ECO!K$64*100</f>
        <v>0.18364616185874663</v>
      </c>
      <c r="M103" s="1243">
        <f>M36/ECO!L$64*100</f>
        <v>0.16895446891004692</v>
      </c>
      <c r="N103" s="1243">
        <f>N36/ECO!M$64*100</f>
        <v>0.15205902201904223</v>
      </c>
      <c r="O103" s="1243">
        <f>O36/ECO!N$64*100</f>
        <v>0.13685311981713799</v>
      </c>
      <c r="P103" s="1243">
        <f>P36/ECO!O$64*100</f>
        <v>0.12316780783542419</v>
      </c>
      <c r="Q103" s="1243">
        <f>Q36/ECO!P$64*100</f>
        <v>0.1108510270518818</v>
      </c>
      <c r="R103" s="1244">
        <f>R36/ECO!Q$64*100</f>
        <v>9.9765924346693624E-2</v>
      </c>
      <c r="S103" s="1010"/>
    </row>
    <row r="104" spans="1:19" s="60" customFormat="1">
      <c r="A104" s="1343"/>
      <c r="B104" s="95" t="s">
        <v>63</v>
      </c>
      <c r="C104" s="1245">
        <f>C37/ECO!B$64*100</f>
        <v>27.202804216129017</v>
      </c>
      <c r="D104" s="1245">
        <f>D37/ECO!C$64*100</f>
        <v>28.685419264779089</v>
      </c>
      <c r="E104" s="1245">
        <f>E37/ECO!D$64*100</f>
        <v>28.670647506433188</v>
      </c>
      <c r="F104" s="1245">
        <f>F37/ECO!E$64*100</f>
        <v>28.991514021863413</v>
      </c>
      <c r="G104" s="1245">
        <f>G37/ECO!F$64*100</f>
        <v>26.672933792976195</v>
      </c>
      <c r="H104" s="1245">
        <f>H37/ECO!G$64*100</f>
        <v>28.168148345810973</v>
      </c>
      <c r="I104" s="1245">
        <f>I37/ECO!H$64*100</f>
        <v>27.785370193542818</v>
      </c>
      <c r="J104" s="1245">
        <f>J37/ECO!I$64*100</f>
        <v>28.097375064699349</v>
      </c>
      <c r="K104" s="1245">
        <f>K37/ECO!J$64*100</f>
        <v>28.127721801650978</v>
      </c>
      <c r="L104" s="1245">
        <f>L37/ECO!K$64*100</f>
        <v>28.251706955473736</v>
      </c>
      <c r="M104" s="1245">
        <f>M37/ECO!L$64*100</f>
        <v>28.464789194191749</v>
      </c>
      <c r="N104" s="1245">
        <f>N37/ECO!M$64*100</f>
        <v>28.414913649480795</v>
      </c>
      <c r="O104" s="1245">
        <f>O37/ECO!N$64*100</f>
        <v>28.246161487448994</v>
      </c>
      <c r="P104" s="1245">
        <f>P37/ECO!O$64*100</f>
        <v>28.132346678303101</v>
      </c>
      <c r="Q104" s="1245">
        <f>Q37/ECO!P$64*100</f>
        <v>27.997962335889039</v>
      </c>
      <c r="R104" s="1245">
        <f>R37/ECO!Q$64*100</f>
        <v>27.857958701276576</v>
      </c>
      <c r="S104" s="1010"/>
    </row>
    <row r="105" spans="1:19" s="60" customFormat="1">
      <c r="A105" s="1343"/>
      <c r="B105" s="95" t="s">
        <v>579</v>
      </c>
      <c r="C105" s="1246">
        <f>C86+C103</f>
        <v>27.20280421612901</v>
      </c>
      <c r="D105" s="1246">
        <f t="shared" ref="D105:R105" si="23">D86+D103</f>
        <v>28.685419264779085</v>
      </c>
      <c r="E105" s="1246">
        <f t="shared" si="23"/>
        <v>28.670647506433184</v>
      </c>
      <c r="F105" s="1246">
        <f t="shared" si="23"/>
        <v>28.991514021863416</v>
      </c>
      <c r="G105" s="1246">
        <f t="shared" si="23"/>
        <v>26.672933792976192</v>
      </c>
      <c r="H105" s="1246">
        <f t="shared" si="23"/>
        <v>28.168148345810973</v>
      </c>
      <c r="I105" s="1246">
        <f t="shared" si="23"/>
        <v>27.785370193542814</v>
      </c>
      <c r="J105" s="1246">
        <f t="shared" si="23"/>
        <v>28.097375064699342</v>
      </c>
      <c r="K105" s="1246">
        <f t="shared" si="23"/>
        <v>28.127721801650978</v>
      </c>
      <c r="L105" s="1246">
        <f t="shared" si="23"/>
        <v>28.251706955473736</v>
      </c>
      <c r="M105" s="1246">
        <f t="shared" si="23"/>
        <v>28.464789194191759</v>
      </c>
      <c r="N105" s="1246">
        <f t="shared" si="23"/>
        <v>28.414913649480791</v>
      </c>
      <c r="O105" s="1246">
        <f t="shared" si="23"/>
        <v>28.246161487449005</v>
      </c>
      <c r="P105" s="1246">
        <f t="shared" si="23"/>
        <v>28.132346678303104</v>
      </c>
      <c r="Q105" s="1246">
        <f t="shared" si="23"/>
        <v>27.997962335889035</v>
      </c>
      <c r="R105" s="1246">
        <f t="shared" si="23"/>
        <v>27.85795870127658</v>
      </c>
      <c r="S105" s="1010"/>
    </row>
    <row r="106" spans="1:19" s="60" customFormat="1">
      <c r="A106" s="1343"/>
      <c r="B106" s="307" t="s">
        <v>208</v>
      </c>
      <c r="C106" s="1341">
        <f>'IMF Data'!C94</f>
        <v>27.202804216129017</v>
      </c>
      <c r="D106" s="1341">
        <f>'IMF Data'!D94</f>
        <v>28.685419264779085</v>
      </c>
      <c r="E106" s="1341">
        <f>'IMF Data'!E94</f>
        <v>28.670647506433184</v>
      </c>
      <c r="F106" s="1341">
        <f>'IMF Data'!F94</f>
        <v>28.991514021863413</v>
      </c>
      <c r="G106" s="1341">
        <f>'IMF Data'!G94</f>
        <v>26.672933792976195</v>
      </c>
      <c r="H106" s="1341">
        <f>'IMF Data'!H94</f>
        <v>28.168148345810973</v>
      </c>
      <c r="I106" s="1341">
        <f>'IMF Data'!I94</f>
        <v>27.785370193542821</v>
      </c>
      <c r="J106" s="1341">
        <f>'IMF Data'!J94</f>
        <v>28.097375064699346</v>
      </c>
      <c r="K106" s="1341">
        <f>'IMF Data'!K94</f>
        <v>28.127721801650981</v>
      </c>
      <c r="L106" s="1341">
        <f>'IMF Data'!L94</f>
        <v>28.25170695547374</v>
      </c>
      <c r="M106" s="1341">
        <f>'IMF Data'!M94</f>
        <v>28.464789194191745</v>
      </c>
      <c r="N106" s="1341">
        <f>'IMF Data'!N94</f>
        <v>28.414913649480791</v>
      </c>
      <c r="O106" s="1341">
        <f>'IMF Data'!O94</f>
        <v>28.246161487448997</v>
      </c>
      <c r="P106" s="1341">
        <f>'IMF Data'!P94</f>
        <v>28.132346678303101</v>
      </c>
      <c r="Q106" s="1341">
        <f>'IMF Data'!Q94</f>
        <v>27.997962335889035</v>
      </c>
      <c r="R106" s="1341">
        <f>'IMF Data'!R94</f>
        <v>27.857958701276576</v>
      </c>
      <c r="S106" s="1010"/>
    </row>
    <row r="107" spans="1:19" s="60" customFormat="1">
      <c r="B107" s="299"/>
      <c r="C107" s="1025"/>
      <c r="D107" s="1025"/>
      <c r="E107" s="1025"/>
      <c r="F107" s="1025"/>
      <c r="G107" s="1025"/>
      <c r="H107" s="1025"/>
      <c r="I107" s="1025"/>
      <c r="J107" s="1025"/>
      <c r="K107" s="1025"/>
      <c r="L107" s="1025"/>
      <c r="M107" s="1025"/>
      <c r="N107" s="1025"/>
      <c r="O107" s="1025"/>
      <c r="P107" s="1025"/>
      <c r="Q107" s="1025"/>
      <c r="R107" s="1025"/>
      <c r="S107" s="1010"/>
    </row>
    <row r="108" spans="1:19" s="60" customFormat="1">
      <c r="B108" s="644"/>
      <c r="C108" s="1517" t="s">
        <v>730</v>
      </c>
      <c r="D108" s="1518"/>
      <c r="E108" s="1518"/>
      <c r="F108" s="1518"/>
      <c r="G108" s="1518"/>
      <c r="H108" s="1518"/>
      <c r="I108" s="1517" t="s">
        <v>734</v>
      </c>
      <c r="J108" s="1518"/>
      <c r="K108" s="1518"/>
      <c r="L108" s="1518"/>
      <c r="M108" s="1518"/>
      <c r="N108" s="1518"/>
      <c r="O108" s="1518"/>
      <c r="P108" s="1518"/>
      <c r="Q108" s="1518"/>
      <c r="R108" s="1519"/>
      <c r="S108" s="1010"/>
    </row>
    <row r="109" spans="1:19" s="60" customFormat="1">
      <c r="B109" s="1018" t="s">
        <v>764</v>
      </c>
      <c r="C109" s="646">
        <v>2005</v>
      </c>
      <c r="D109" s="647">
        <v>2006</v>
      </c>
      <c r="E109" s="647">
        <v>2007</v>
      </c>
      <c r="F109" s="647">
        <v>2008</v>
      </c>
      <c r="G109" s="647">
        <v>2009</v>
      </c>
      <c r="H109" s="647">
        <v>2010</v>
      </c>
      <c r="I109" s="646">
        <v>2011</v>
      </c>
      <c r="J109" s="647">
        <v>2012</v>
      </c>
      <c r="K109" s="647">
        <v>2013</v>
      </c>
      <c r="L109" s="647">
        <v>2014</v>
      </c>
      <c r="M109" s="647">
        <v>2015</v>
      </c>
      <c r="N109" s="647">
        <v>2016</v>
      </c>
      <c r="O109" s="647">
        <v>2017</v>
      </c>
      <c r="P109" s="647">
        <v>2018</v>
      </c>
      <c r="Q109" s="647">
        <v>2019</v>
      </c>
      <c r="R109" s="648">
        <v>2020</v>
      </c>
      <c r="S109" s="1010"/>
    </row>
    <row r="110" spans="1:19" s="60" customFormat="1">
      <c r="B110" s="1019"/>
      <c r="C110" s="97"/>
      <c r="D110" s="97"/>
      <c r="E110" s="97"/>
      <c r="F110" s="97"/>
      <c r="G110" s="97"/>
      <c r="H110" s="97"/>
      <c r="I110" s="97"/>
      <c r="J110" s="97"/>
      <c r="K110" s="97"/>
      <c r="L110" s="97"/>
      <c r="M110" s="97"/>
      <c r="N110" s="233"/>
      <c r="O110" s="233"/>
      <c r="P110" s="233"/>
      <c r="Q110" s="233"/>
      <c r="R110" s="233"/>
      <c r="S110" s="1010"/>
    </row>
    <row r="111" spans="1:19" s="60" customFormat="1">
      <c r="B111" s="1019"/>
      <c r="C111" s="97"/>
      <c r="D111" s="97"/>
      <c r="E111" s="97"/>
      <c r="F111" s="97"/>
      <c r="G111" s="97"/>
      <c r="H111" s="97"/>
      <c r="I111" s="97"/>
      <c r="J111" s="97"/>
      <c r="K111" s="97"/>
      <c r="L111" s="97"/>
      <c r="M111" s="97"/>
      <c r="N111" s="97"/>
      <c r="O111" s="97"/>
      <c r="P111" s="97"/>
      <c r="Q111" s="97"/>
      <c r="R111" s="97"/>
      <c r="S111" s="1010"/>
    </row>
    <row r="112" spans="1:19" s="60" customFormat="1">
      <c r="A112" s="1343"/>
      <c r="B112" s="256" t="s">
        <v>209</v>
      </c>
      <c r="C112" s="1035">
        <f>C47/ECO!B$64*100</f>
        <v>17.861175669297367</v>
      </c>
      <c r="D112" s="1035">
        <f>D47/ECO!C$64*100</f>
        <v>18.482548382626902</v>
      </c>
      <c r="E112" s="1035">
        <f>E47/ECO!D$64*100</f>
        <v>20.268913627443048</v>
      </c>
      <c r="F112" s="1035">
        <f>F47/ECO!E$64*100</f>
        <v>19.687711694919592</v>
      </c>
      <c r="G112" s="1035">
        <f>G47/ECO!F$64*100</f>
        <v>20.92880500292754</v>
      </c>
      <c r="H112" s="1035">
        <f>H47/ECO!G$64*100</f>
        <v>21.053921786391889</v>
      </c>
      <c r="I112" s="1035">
        <f>I47/ECO!H$64*100</f>
        <v>21.825906688765446</v>
      </c>
      <c r="J112" s="1035">
        <f>J47/ECO!I$64*100</f>
        <v>22.031818943053931</v>
      </c>
      <c r="K112" s="1035">
        <f>K47/ECO!J$64*100</f>
        <v>21.923530444151481</v>
      </c>
      <c r="L112" s="1035">
        <f>L47/ECO!K$64*100</f>
        <v>21.885442752461437</v>
      </c>
      <c r="M112" s="1035">
        <f>M47/ECO!L$64*100</f>
        <v>21.804386208205674</v>
      </c>
      <c r="N112" s="1035">
        <f>N47/ECO!M$64*100</f>
        <v>21.752215026703986</v>
      </c>
      <c r="O112" s="1035">
        <f>O47/ECO!N$64*100</f>
        <v>21.770093080287868</v>
      </c>
      <c r="P112" s="1035">
        <f>P47/ECO!O$64*100</f>
        <v>21.807154653610858</v>
      </c>
      <c r="Q112" s="1035">
        <f>Q47/ECO!P$64*100</f>
        <v>21.847819169699811</v>
      </c>
      <c r="R112" s="1035">
        <f>R47/ECO!Q$64*100</f>
        <v>21.87514334390201</v>
      </c>
      <c r="S112" s="1010"/>
    </row>
    <row r="113" spans="1:19" s="60" customFormat="1">
      <c r="A113" s="1343"/>
      <c r="B113" s="257" t="s">
        <v>1000</v>
      </c>
      <c r="C113" s="1036">
        <f>C48/ECO!B$64*100</f>
        <v>2.2355514715943232</v>
      </c>
      <c r="D113" s="1036">
        <f>D48/ECO!C$64*100</f>
        <v>1.9004069734620457</v>
      </c>
      <c r="E113" s="1036">
        <f>E48/ECO!D$64*100</f>
        <v>2.8041067784292992</v>
      </c>
      <c r="F113" s="1036">
        <f>F48/ECO!E$64*100</f>
        <v>2.5605405383565945</v>
      </c>
      <c r="G113" s="1036">
        <f>G48/ECO!F$64*100</f>
        <v>2.5472691350151613</v>
      </c>
      <c r="H113" s="1036">
        <f>H48/ECO!G$64*100</f>
        <v>2.5843683184026229</v>
      </c>
      <c r="I113" s="1036">
        <f>I48/ECO!H$64*100</f>
        <v>2.6586100211106043</v>
      </c>
      <c r="J113" s="1036">
        <f>J48/ECO!I$64*100</f>
        <v>2.6586100211106052</v>
      </c>
      <c r="K113" s="1036">
        <f>K48/ECO!J$64*100</f>
        <v>2.6586100211106052</v>
      </c>
      <c r="L113" s="1036">
        <f>L48/ECO!K$64*100</f>
        <v>2.6586100211106038</v>
      </c>
      <c r="M113" s="1036">
        <f>M48/ECO!L$64*100</f>
        <v>2.6586100211106043</v>
      </c>
      <c r="N113" s="1036">
        <f>N48/ECO!M$64*100</f>
        <v>2.6586100211106038</v>
      </c>
      <c r="O113" s="1036">
        <f>O48/ECO!N$64*100</f>
        <v>2.6586100211106038</v>
      </c>
      <c r="P113" s="1036">
        <f>P48/ECO!O$64*100</f>
        <v>2.6586100211106038</v>
      </c>
      <c r="Q113" s="1036">
        <f>Q48/ECO!P$64*100</f>
        <v>2.6586100211106038</v>
      </c>
      <c r="R113" s="1036">
        <f>R48/ECO!Q$64*100</f>
        <v>2.6586100211106038</v>
      </c>
      <c r="S113" s="1010"/>
    </row>
    <row r="114" spans="1:19" s="60" customFormat="1">
      <c r="A114" s="1343"/>
      <c r="B114" s="257" t="s">
        <v>1001</v>
      </c>
      <c r="C114" s="1036">
        <f>C49/ECO!B$64*100</f>
        <v>1.406201317428954</v>
      </c>
      <c r="D114" s="1036">
        <f>D49/ECO!C$64*100</f>
        <v>1.4587406917009231</v>
      </c>
      <c r="E114" s="1036">
        <f>E49/ECO!D$64*100</f>
        <v>1.3933536721976028</v>
      </c>
      <c r="F114" s="1036">
        <f>F49/ECO!E$64*100</f>
        <v>1.4271015287150901</v>
      </c>
      <c r="G114" s="1036">
        <f>G49/ECO!F$64*100</f>
        <v>1.5325388009181511</v>
      </c>
      <c r="H114" s="1036">
        <f>H49/ECO!G$64*100</f>
        <v>1.5548591506770799</v>
      </c>
      <c r="I114" s="1036">
        <f>I49/ECO!H$64*100</f>
        <v>1.5995259228222753</v>
      </c>
      <c r="J114" s="1036">
        <f>J49/ECO!I$64*100</f>
        <v>1.5995259228222758</v>
      </c>
      <c r="K114" s="1036">
        <f>K49/ECO!J$64*100</f>
        <v>1.5995259228222762</v>
      </c>
      <c r="L114" s="1036">
        <f>L49/ECO!K$64*100</f>
        <v>1.5995259228222753</v>
      </c>
      <c r="M114" s="1036">
        <f>M49/ECO!L$64*100</f>
        <v>1.5995259228222758</v>
      </c>
      <c r="N114" s="1036">
        <f>N49/ECO!M$64*100</f>
        <v>1.5995259228222753</v>
      </c>
      <c r="O114" s="1036">
        <f>O49/ECO!N$64*100</f>
        <v>1.5995259228222753</v>
      </c>
      <c r="P114" s="1036">
        <f>P49/ECO!O$64*100</f>
        <v>1.5995259228222753</v>
      </c>
      <c r="Q114" s="1036">
        <f>Q49/ECO!P$64*100</f>
        <v>1.5995259228222751</v>
      </c>
      <c r="R114" s="1036">
        <f>R49/ECO!Q$64*100</f>
        <v>1.5995259228222751</v>
      </c>
      <c r="S114" s="1010"/>
    </row>
    <row r="115" spans="1:19" s="60" customFormat="1">
      <c r="A115" s="1343"/>
      <c r="B115" s="717" t="s">
        <v>1002</v>
      </c>
      <c r="C115" s="1035">
        <f>C50/ECO!B$64*100</f>
        <v>7.3253305642695494</v>
      </c>
      <c r="D115" s="1035">
        <f>D50/ECO!C$64*100</f>
        <v>8.0121938076396049</v>
      </c>
      <c r="E115" s="1035">
        <f>E50/ECO!D$64*100</f>
        <v>8.046460075125772</v>
      </c>
      <c r="F115" s="1035">
        <f>F50/ECO!E$64*100</f>
        <v>7.6779180061385635</v>
      </c>
      <c r="G115" s="1035">
        <f>G50/ECO!F$64*100</f>
        <v>8.3617659543881828</v>
      </c>
      <c r="H115" s="1035">
        <f>H50/ECO!G$64*100</f>
        <v>8.4835491944552093</v>
      </c>
      <c r="I115" s="1035">
        <f>I50/ECO!H$64*100</f>
        <v>8.727257930829353</v>
      </c>
      <c r="J115" s="1035">
        <f>J50/ECO!I$64*100</f>
        <v>8.727257930829353</v>
      </c>
      <c r="K115" s="1035">
        <f>K50/ECO!J$64*100</f>
        <v>8.7272579308293565</v>
      </c>
      <c r="L115" s="1035">
        <f>L50/ECO!K$64*100</f>
        <v>8.7272579308293547</v>
      </c>
      <c r="M115" s="1035">
        <f>M50/ECO!L$64*100</f>
        <v>8.727257930829353</v>
      </c>
      <c r="N115" s="1035">
        <f>N50/ECO!M$64*100</f>
        <v>8.7272579308293512</v>
      </c>
      <c r="O115" s="1035">
        <f>O50/ECO!N$64*100</f>
        <v>8.727257930829353</v>
      </c>
      <c r="P115" s="1035">
        <f>P50/ECO!O$64*100</f>
        <v>8.7272579308293512</v>
      </c>
      <c r="Q115" s="1035">
        <f>Q50/ECO!P$64*100</f>
        <v>8.7272579308293512</v>
      </c>
      <c r="R115" s="1035">
        <f>R50/ECO!Q$64*100</f>
        <v>8.7272579308293512</v>
      </c>
      <c r="S115" s="1010"/>
    </row>
    <row r="116" spans="1:19" s="60" customFormat="1">
      <c r="A116" s="1343"/>
      <c r="B116" s="942" t="s">
        <v>52</v>
      </c>
      <c r="C116" s="1036">
        <f>C51/ECO!B$64*100</f>
        <v>2.6252030526461563</v>
      </c>
      <c r="D116" s="1036">
        <f>D51/ECO!C$64*100</f>
        <v>3.0922798211985443</v>
      </c>
      <c r="E116" s="1036">
        <f>E51/ECO!D$64*100</f>
        <v>3.0812908667538363</v>
      </c>
      <c r="F116" s="1036">
        <f>F51/ECO!E$64*100</f>
        <v>2.9234268752718786</v>
      </c>
      <c r="G116" s="1036">
        <f>G51/ECO!F$64*100</f>
        <v>3.152937479439851</v>
      </c>
      <c r="H116" s="1036">
        <f>H51/ECO!G$64*100</f>
        <v>3.198857796280751</v>
      </c>
      <c r="I116" s="1036">
        <f>I51/ECO!H$64*100</f>
        <v>3.2907520699512216</v>
      </c>
      <c r="J116" s="1036">
        <f>J51/ECO!I$64*100</f>
        <v>3.290752069951222</v>
      </c>
      <c r="K116" s="1036">
        <f>K51/ECO!J$64*100</f>
        <v>3.290752069951222</v>
      </c>
      <c r="L116" s="1036">
        <f>L51/ECO!K$64*100</f>
        <v>3.2907520699512207</v>
      </c>
      <c r="M116" s="1036">
        <f>M51/ECO!L$64*100</f>
        <v>3.2907520699512207</v>
      </c>
      <c r="N116" s="1036">
        <f>N51/ECO!M$64*100</f>
        <v>3.2907520699512207</v>
      </c>
      <c r="O116" s="1036">
        <f>O51/ECO!N$64*100</f>
        <v>3.2907520699512207</v>
      </c>
      <c r="P116" s="1036">
        <f>P51/ECO!O$64*100</f>
        <v>3.2907520699512207</v>
      </c>
      <c r="Q116" s="1036">
        <f>Q51/ECO!P$64*100</f>
        <v>3.2907520699512207</v>
      </c>
      <c r="R116" s="1036">
        <f>R51/ECO!Q$64*100</f>
        <v>3.2907520699512207</v>
      </c>
      <c r="S116" s="1010"/>
    </row>
    <row r="117" spans="1:19" s="60" customFormat="1">
      <c r="A117" s="1343"/>
      <c r="B117" s="942" t="s">
        <v>1003</v>
      </c>
      <c r="C117" s="1036">
        <f>C52/ECO!B$64*100</f>
        <v>0.78406954230001857</v>
      </c>
      <c r="D117" s="1036">
        <f>D52/ECO!C$64*100</f>
        <v>0.73953185221679929</v>
      </c>
      <c r="E117" s="1036">
        <f>E52/ECO!D$64*100</f>
        <v>0.76555787293478827</v>
      </c>
      <c r="F117" s="1036">
        <f>F52/ECO!E$64*100</f>
        <v>0.68321484029364898</v>
      </c>
      <c r="G117" s="1036">
        <f>G52/ECO!F$64*100</f>
        <v>0.80173059661445534</v>
      </c>
      <c r="H117" s="1036">
        <f>H52/ECO!G$64*100</f>
        <v>0.81340723887509425</v>
      </c>
      <c r="I117" s="1036">
        <f>I52/ECO!H$64*100</f>
        <v>0.83677416300083574</v>
      </c>
      <c r="J117" s="1036">
        <f>J52/ECO!I$64*100</f>
        <v>0.83677416300083596</v>
      </c>
      <c r="K117" s="1036">
        <f>K52/ECO!J$64*100</f>
        <v>0.83677416300083607</v>
      </c>
      <c r="L117" s="1036">
        <f>L52/ECO!K$64*100</f>
        <v>0.83677416300083574</v>
      </c>
      <c r="M117" s="1036">
        <f>M52/ECO!L$64*100</f>
        <v>0.83677416300083596</v>
      </c>
      <c r="N117" s="1036">
        <f>N52/ECO!M$64*100</f>
        <v>0.83677416300083574</v>
      </c>
      <c r="O117" s="1036">
        <f>O52/ECO!N$64*100</f>
        <v>0.83677416300083574</v>
      </c>
      <c r="P117" s="1036">
        <f>P52/ECO!O$64*100</f>
        <v>0.83677416300083574</v>
      </c>
      <c r="Q117" s="1036">
        <f>Q52/ECO!P$64*100</f>
        <v>0.83677416300083562</v>
      </c>
      <c r="R117" s="1036">
        <f>R52/ECO!Q$64*100</f>
        <v>0.83677416300083562</v>
      </c>
      <c r="S117" s="1010"/>
    </row>
    <row r="118" spans="1:19" s="60" customFormat="1">
      <c r="A118" s="1343"/>
      <c r="B118" s="942" t="s">
        <v>53</v>
      </c>
      <c r="C118" s="1035">
        <f>C53/ECO!B$64*100</f>
        <v>0.90656551334628277</v>
      </c>
      <c r="D118" s="1035">
        <f>D53/ECO!C$64*100</f>
        <v>1.1832509635468789</v>
      </c>
      <c r="E118" s="1035">
        <f>E53/ECO!D$64*100</f>
        <v>1.1093669297717861</v>
      </c>
      <c r="F118" s="1035">
        <f>F53/ECO!E$64*100</f>
        <v>0.9685947430301447</v>
      </c>
      <c r="G118" s="1035">
        <f>G53/ECO!F$64*100</f>
        <v>1.1214016803677638</v>
      </c>
      <c r="H118" s="1035">
        <f>H53/ECO!G$64*100</f>
        <v>1.1377341071298552</v>
      </c>
      <c r="I118" s="1035">
        <f>I53/ECO!H$64*100</f>
        <v>1.1704180387276832</v>
      </c>
      <c r="J118" s="1035">
        <f>J53/ECO!I$64*100</f>
        <v>1.1704180387276835</v>
      </c>
      <c r="K118" s="1035">
        <f>K53/ECO!J$64*100</f>
        <v>1.1704180387276835</v>
      </c>
      <c r="L118" s="1035">
        <f>L53/ECO!K$64*100</f>
        <v>1.170418038727683</v>
      </c>
      <c r="M118" s="1035">
        <f>M53/ECO!L$64*100</f>
        <v>1.1704180387276832</v>
      </c>
      <c r="N118" s="1035">
        <f>N53/ECO!M$64*100</f>
        <v>1.170418038727683</v>
      </c>
      <c r="O118" s="1035">
        <f>O53/ECO!N$64*100</f>
        <v>1.1704180387276828</v>
      </c>
      <c r="P118" s="1035">
        <f>P53/ECO!O$64*100</f>
        <v>1.1704180387276828</v>
      </c>
      <c r="Q118" s="1035">
        <f>Q53/ECO!P$64*100</f>
        <v>1.170418038727683</v>
      </c>
      <c r="R118" s="1035">
        <f>R53/ECO!Q$64*100</f>
        <v>1.1704180387276828</v>
      </c>
      <c r="S118" s="1010"/>
    </row>
    <row r="119" spans="1:19" s="60" customFormat="1">
      <c r="A119" s="1343"/>
      <c r="B119" s="942" t="s">
        <v>1004</v>
      </c>
      <c r="C119" s="1036">
        <f>C54/ECO!B$64*100</f>
        <v>0.30790816068438415</v>
      </c>
      <c r="D119" s="1036">
        <f>D54/ECO!C$64*100</f>
        <v>0.26070935525755307</v>
      </c>
      <c r="E119" s="1036">
        <f>E54/ECO!D$64*100</f>
        <v>0.25640120756271773</v>
      </c>
      <c r="F119" s="1036">
        <f>F54/ECO!E$64*100</f>
        <v>0.21487665635492154</v>
      </c>
      <c r="G119" s="1036">
        <f>G54/ECO!F$64*100</f>
        <v>0.28137788516947171</v>
      </c>
      <c r="H119" s="1036">
        <f>H54/ECO!G$64*100</f>
        <v>0.28547595616620458</v>
      </c>
      <c r="I119" s="1036">
        <f>I54/ECO!H$64*100</f>
        <v>0.29367688515803952</v>
      </c>
      <c r="J119" s="1036">
        <f>J54/ECO!I$64*100</f>
        <v>0.29367688515803964</v>
      </c>
      <c r="K119" s="1036">
        <f>K54/ECO!J$64*100</f>
        <v>0.29367688515803969</v>
      </c>
      <c r="L119" s="1036">
        <f>L54/ECO!K$64*100</f>
        <v>0.29367688515803958</v>
      </c>
      <c r="M119" s="1036">
        <f>M54/ECO!L$64*100</f>
        <v>0.29367688515803964</v>
      </c>
      <c r="N119" s="1036">
        <f>N54/ECO!M$64*100</f>
        <v>0.29367688515803958</v>
      </c>
      <c r="O119" s="1036">
        <f>O54/ECO!N$64*100</f>
        <v>0.29367688515803952</v>
      </c>
      <c r="P119" s="1036">
        <f>P54/ECO!O$64*100</f>
        <v>0.29367688515803952</v>
      </c>
      <c r="Q119" s="1036">
        <f>Q54/ECO!P$64*100</f>
        <v>0.29367688515803947</v>
      </c>
      <c r="R119" s="1036">
        <f>R54/ECO!Q$64*100</f>
        <v>0.29367688515803952</v>
      </c>
      <c r="S119" s="1010"/>
    </row>
    <row r="120" spans="1:19" s="60" customFormat="1">
      <c r="A120" s="1343"/>
      <c r="B120" s="942" t="s">
        <v>1005</v>
      </c>
      <c r="C120" s="1036">
        <f>C55/ECO!B$64*100</f>
        <v>0.25011580080360774</v>
      </c>
      <c r="D120" s="1036">
        <f>D55/ECO!C$64*100</f>
        <v>0.19235013061128131</v>
      </c>
      <c r="E120" s="1036">
        <f>E55/ECO!D$64*100</f>
        <v>0.19555564904851641</v>
      </c>
      <c r="F120" s="1036">
        <f>F55/ECO!E$64*100</f>
        <v>0.17925467227101261</v>
      </c>
      <c r="G120" s="1036">
        <f>G55/ECO!F$64*100</f>
        <v>0.22120888891306364</v>
      </c>
      <c r="H120" s="1036">
        <f>H55/ECO!G$64*100</f>
        <v>0.22443064079782221</v>
      </c>
      <c r="I120" s="1036">
        <f>I55/ECO!H$64*100</f>
        <v>0.2308779079284502</v>
      </c>
      <c r="J120" s="1036">
        <f>J55/ECO!I$64*100</f>
        <v>0.23087790792845025</v>
      </c>
      <c r="K120" s="1036">
        <f>K55/ECO!J$64*100</f>
        <v>0.23087790792845025</v>
      </c>
      <c r="L120" s="1036">
        <f>L55/ECO!K$64*100</f>
        <v>0.23087790792845017</v>
      </c>
      <c r="M120" s="1036">
        <f>M55/ECO!L$64*100</f>
        <v>0.2308779079284502</v>
      </c>
      <c r="N120" s="1036">
        <f>N55/ECO!M$64*100</f>
        <v>0.23087790792845017</v>
      </c>
      <c r="O120" s="1036">
        <f>O55/ECO!N$64*100</f>
        <v>0.23087790792845017</v>
      </c>
      <c r="P120" s="1036">
        <f>P55/ECO!O$64*100</f>
        <v>0.23087790792845017</v>
      </c>
      <c r="Q120" s="1036">
        <f>Q55/ECO!P$64*100</f>
        <v>0.23087790792845012</v>
      </c>
      <c r="R120" s="1036">
        <f>R55/ECO!Q$64*100</f>
        <v>0.23087790792845017</v>
      </c>
      <c r="S120" s="1010"/>
    </row>
    <row r="121" spans="1:19" s="60" customFormat="1">
      <c r="A121" s="1343"/>
      <c r="B121" s="942" t="s">
        <v>1006</v>
      </c>
      <c r="C121" s="1036">
        <f>C56/ECO!B$64*100</f>
        <v>0.17444951518650867</v>
      </c>
      <c r="D121" s="1036">
        <f>D56/ECO!C$64*100</f>
        <v>0.12152751048226096</v>
      </c>
      <c r="E121" s="1036">
        <f>E56/ECO!D$64*100</f>
        <v>0.11716201811902532</v>
      </c>
      <c r="F121" s="1036">
        <f>F56/ECO!E$64*100</f>
        <v>9.2455546592073737E-2</v>
      </c>
      <c r="G121" s="1036">
        <f>G56/ECO!F$64*100</f>
        <v>0.13736383687805587</v>
      </c>
      <c r="H121" s="1036">
        <f>H56/ECO!G$64*100</f>
        <v>0.13936444455044228</v>
      </c>
      <c r="I121" s="1036">
        <f>I56/ECO!H$64*100</f>
        <v>0.14336799682536414</v>
      </c>
      <c r="J121" s="1036">
        <f>J56/ECO!I$64*100</f>
        <v>0.14336799682536416</v>
      </c>
      <c r="K121" s="1036">
        <f>K56/ECO!J$64*100</f>
        <v>0.14336799682536416</v>
      </c>
      <c r="L121" s="1036">
        <f>L56/ECO!K$64*100</f>
        <v>0.14336799682536414</v>
      </c>
      <c r="M121" s="1036">
        <f>M56/ECO!L$64*100</f>
        <v>0.14336799682536416</v>
      </c>
      <c r="N121" s="1036">
        <f>N56/ECO!M$64*100</f>
        <v>0.14336799682536414</v>
      </c>
      <c r="O121" s="1036">
        <f>O56/ECO!N$64*100</f>
        <v>0.14336799682536411</v>
      </c>
      <c r="P121" s="1036">
        <f>P56/ECO!O$64*100</f>
        <v>0.14336799682536414</v>
      </c>
      <c r="Q121" s="1036">
        <f>Q56/ECO!P$64*100</f>
        <v>0.14336799682536411</v>
      </c>
      <c r="R121" s="1036">
        <f>R56/ECO!Q$64*100</f>
        <v>0.14336799682536411</v>
      </c>
      <c r="S121" s="1010"/>
    </row>
    <row r="122" spans="1:19" s="60" customFormat="1">
      <c r="A122" s="1343"/>
      <c r="B122" s="942" t="s">
        <v>1007</v>
      </c>
      <c r="C122" s="1036">
        <f>C57/ECO!B$64*100</f>
        <v>0.10474120481485048</v>
      </c>
      <c r="D122" s="1036">
        <f>D57/ECO!C$64*100</f>
        <v>9.8125253396149914E-2</v>
      </c>
      <c r="E122" s="1036">
        <f>E57/ECO!D$64*100</f>
        <v>9.1631190290103401E-2</v>
      </c>
      <c r="F122" s="1036">
        <f>F57/ECO!E$64*100</f>
        <v>7.535160716426112E-2</v>
      </c>
      <c r="G122" s="1036">
        <f>G57/ECO!F$64*100</f>
        <v>0.10003399717877041</v>
      </c>
      <c r="H122" s="1036">
        <f>H57/ECO!G$64*100</f>
        <v>0.10149092199103371</v>
      </c>
      <c r="I122" s="1036">
        <f>I57/ECO!H$64*100</f>
        <v>0.10440647346423644</v>
      </c>
      <c r="J122" s="1036">
        <f>J57/ECO!I$64*100</f>
        <v>0.10440647346423647</v>
      </c>
      <c r="K122" s="1036">
        <f>K57/ECO!J$64*100</f>
        <v>0.10440647346423647</v>
      </c>
      <c r="L122" s="1036">
        <f>L57/ECO!K$64*100</f>
        <v>0.10440647346423644</v>
      </c>
      <c r="M122" s="1036">
        <f>M57/ECO!L$64*100</f>
        <v>0.10440647346423647</v>
      </c>
      <c r="N122" s="1036">
        <f>N57/ECO!M$64*100</f>
        <v>0.10440647346423644</v>
      </c>
      <c r="O122" s="1036">
        <f>O57/ECO!N$64*100</f>
        <v>0.10440647346423643</v>
      </c>
      <c r="P122" s="1036">
        <f>P57/ECO!O$64*100</f>
        <v>0.10440647346423644</v>
      </c>
      <c r="Q122" s="1036">
        <f>Q57/ECO!P$64*100</f>
        <v>0.10440647346423643</v>
      </c>
      <c r="R122" s="1036">
        <f>R57/ECO!Q$64*100</f>
        <v>0.10440647346423643</v>
      </c>
      <c r="S122" s="1010"/>
    </row>
    <row r="123" spans="1:19" s="60" customFormat="1">
      <c r="A123" s="1343"/>
      <c r="B123" s="942" t="s">
        <v>1008</v>
      </c>
      <c r="C123" s="1036">
        <f>C58/ECO!B$64*100</f>
        <v>5.7554040870958799E-2</v>
      </c>
      <c r="D123" s="1036">
        <f>D58/ECO!C$64*100</f>
        <v>5.0191682961001363E-2</v>
      </c>
      <c r="E123" s="1036">
        <f>E58/ECO!D$64*100</f>
        <v>4.8788362768967267E-2</v>
      </c>
      <c r="F123" s="1036">
        <f>F58/ECO!E$64*100</f>
        <v>3.9998976457168101E-2</v>
      </c>
      <c r="G123" s="1036">
        <f>G58/ECO!F$64*100</f>
        <v>5.3173389524696579E-2</v>
      </c>
      <c r="H123" s="1036">
        <f>H58/ECO!G$64*100</f>
        <v>5.3947822544824983E-2</v>
      </c>
      <c r="I123" s="1036">
        <f>I58/ECO!H$64*100</f>
        <v>5.5497593208161153E-2</v>
      </c>
      <c r="J123" s="1036">
        <f>J58/ECO!I$64*100</f>
        <v>5.5497593208161174E-2</v>
      </c>
      <c r="K123" s="1036">
        <f>K58/ECO!J$64*100</f>
        <v>5.5497593208161174E-2</v>
      </c>
      <c r="L123" s="1036">
        <f>L58/ECO!K$64*100</f>
        <v>5.5497593208161167E-2</v>
      </c>
      <c r="M123" s="1036">
        <f>M58/ECO!L$64*100</f>
        <v>5.5497593208161167E-2</v>
      </c>
      <c r="N123" s="1036">
        <f>N58/ECO!M$64*100</f>
        <v>5.5497593208161153E-2</v>
      </c>
      <c r="O123" s="1036">
        <f>O58/ECO!N$64*100</f>
        <v>5.5497593208161153E-2</v>
      </c>
      <c r="P123" s="1036">
        <f>P58/ECO!O$64*100</f>
        <v>5.5497593208161153E-2</v>
      </c>
      <c r="Q123" s="1036">
        <f>Q58/ECO!P$64*100</f>
        <v>5.5497593208161153E-2</v>
      </c>
      <c r="R123" s="1036">
        <f>R58/ECO!Q$64*100</f>
        <v>5.5497593208161153E-2</v>
      </c>
      <c r="S123" s="1010"/>
    </row>
    <row r="124" spans="1:19" s="60" customFormat="1">
      <c r="A124" s="1343"/>
      <c r="B124" s="942" t="s">
        <v>54</v>
      </c>
      <c r="C124" s="1036">
        <f>C59/ECO!B$64*100</f>
        <v>2.1147237336167826</v>
      </c>
      <c r="D124" s="1036">
        <f>D59/ECO!C$64*100</f>
        <v>2.2742272379691357</v>
      </c>
      <c r="E124" s="1036">
        <f>E59/ECO!D$64*100</f>
        <v>2.3807059778760307</v>
      </c>
      <c r="F124" s="1036">
        <f>F59/ECO!E$64*100</f>
        <v>2.500744088703454</v>
      </c>
      <c r="G124" s="1036">
        <f>G59/ECO!F$64*100</f>
        <v>2.4925382003020524</v>
      </c>
      <c r="H124" s="1036">
        <f>H59/ECO!G$64*100</f>
        <v>2.5288402661191807</v>
      </c>
      <c r="I124" s="1036">
        <f>I59/ECO!H$64*100</f>
        <v>2.6014868025653621</v>
      </c>
      <c r="J124" s="1036">
        <f>J59/ECO!I$64*100</f>
        <v>2.6014868025653621</v>
      </c>
      <c r="K124" s="1036">
        <f>K59/ECO!J$64*100</f>
        <v>2.601486802565363</v>
      </c>
      <c r="L124" s="1036">
        <f>L59/ECO!K$64*100</f>
        <v>2.6014868025653617</v>
      </c>
      <c r="M124" s="1036">
        <f>M59/ECO!L$64*100</f>
        <v>2.6014868025653621</v>
      </c>
      <c r="N124" s="1036">
        <f>N59/ECO!M$64*100</f>
        <v>2.6014868025653617</v>
      </c>
      <c r="O124" s="1036">
        <f>O59/ECO!N$64*100</f>
        <v>2.6014868025653612</v>
      </c>
      <c r="P124" s="1036">
        <f>P59/ECO!O$64*100</f>
        <v>2.6014868025653612</v>
      </c>
      <c r="Q124" s="1036">
        <f>Q59/ECO!P$64*100</f>
        <v>2.6014868025653612</v>
      </c>
      <c r="R124" s="1036">
        <f>R59/ECO!Q$64*100</f>
        <v>2.6014868025653612</v>
      </c>
      <c r="S124" s="1010"/>
    </row>
    <row r="125" spans="1:19" s="60" customFormat="1">
      <c r="A125" s="1343"/>
      <c r="B125" s="257" t="s">
        <v>1009</v>
      </c>
      <c r="C125" s="1036">
        <f>C60/ECO!B$64*100</f>
        <v>1.9396784209057292</v>
      </c>
      <c r="D125" s="1036">
        <f>D60/ECO!C$64*100</f>
        <v>2.1120537020215235</v>
      </c>
      <c r="E125" s="1036">
        <f>E60/ECO!D$64*100</f>
        <v>2.2889110230635863</v>
      </c>
      <c r="F125" s="1036">
        <f>F60/ECO!E$64*100</f>
        <v>2.1822337206185969</v>
      </c>
      <c r="G125" s="1036">
        <f>G60/ECO!F$64*100</f>
        <v>2.2909052878116296</v>
      </c>
      <c r="H125" s="1036">
        <f>H60/ECO!G$64*100</f>
        <v>2.3242707120722761</v>
      </c>
      <c r="I125" s="1036">
        <f>I60/ECO!H$64*100</f>
        <v>2.3910405350846529</v>
      </c>
      <c r="J125" s="1036">
        <f>J60/ECO!I$64*100</f>
        <v>2.3910405350846533</v>
      </c>
      <c r="K125" s="1036">
        <f>K60/ECO!J$64*100</f>
        <v>2.3910405350846533</v>
      </c>
      <c r="L125" s="1036">
        <f>L60/ECO!K$64*100</f>
        <v>2.3910405350846524</v>
      </c>
      <c r="M125" s="1036">
        <f>M60/ECO!L$64*100</f>
        <v>2.3910405350846529</v>
      </c>
      <c r="N125" s="1036">
        <f>N60/ECO!M$64*100</f>
        <v>2.3910405350846524</v>
      </c>
      <c r="O125" s="1036">
        <f>O60/ECO!N$64*100</f>
        <v>2.3910405350846524</v>
      </c>
      <c r="P125" s="1036">
        <f>P60/ECO!O$64*100</f>
        <v>2.3910405350846524</v>
      </c>
      <c r="Q125" s="1036">
        <f>Q60/ECO!P$64*100</f>
        <v>2.391040535084652</v>
      </c>
      <c r="R125" s="1036">
        <f>R60/ECO!Q$64*100</f>
        <v>2.391040535084652</v>
      </c>
      <c r="S125" s="1010"/>
    </row>
    <row r="126" spans="1:19" s="60" customFormat="1">
      <c r="A126" s="1343"/>
      <c r="B126" s="257" t="s">
        <v>1010</v>
      </c>
      <c r="C126" s="1036">
        <f>C61/ECO!B$64*100</f>
        <v>0.86581296266746732</v>
      </c>
      <c r="D126" s="1036">
        <f>D61/ECO!C$64*100</f>
        <v>1.0247725208233898</v>
      </c>
      <c r="E126" s="1036">
        <f>E61/ECO!D$64*100</f>
        <v>1.0581699193700052</v>
      </c>
      <c r="F126" s="1036">
        <f>F61/ECO!E$64*100</f>
        <v>1.1120927545288404</v>
      </c>
      <c r="G126" s="1036">
        <f>G61/ECO!F$64*100</f>
        <v>1.0907111764164055</v>
      </c>
      <c r="H126" s="1036">
        <f>H61/ECO!G$64*100</f>
        <v>1.1065966175739164</v>
      </c>
      <c r="I126" s="1036">
        <f>I61/ECO!H$64*100</f>
        <v>1.1383860558341561</v>
      </c>
      <c r="J126" s="1036">
        <f>J61/ECO!I$64*100</f>
        <v>1.1383860558341565</v>
      </c>
      <c r="K126" s="1036">
        <f>K61/ECO!J$64*100</f>
        <v>1.1383860558341565</v>
      </c>
      <c r="L126" s="1036">
        <f>L61/ECO!K$64*100</f>
        <v>1.1383860558341561</v>
      </c>
      <c r="M126" s="1036">
        <f>M61/ECO!L$64*100</f>
        <v>1.1383860558341563</v>
      </c>
      <c r="N126" s="1036">
        <f>N61/ECO!M$64*100</f>
        <v>1.1383860558341561</v>
      </c>
      <c r="O126" s="1036">
        <f>O61/ECO!N$64*100</f>
        <v>1.1383860558341561</v>
      </c>
      <c r="P126" s="1036">
        <f>P61/ECO!O$64*100</f>
        <v>1.1383860558341559</v>
      </c>
      <c r="Q126" s="1036">
        <f>Q61/ECO!P$64*100</f>
        <v>1.1383860558341559</v>
      </c>
      <c r="R126" s="1036">
        <f>R61/ECO!Q$64*100</f>
        <v>1.1383860558341559</v>
      </c>
      <c r="S126" s="1010"/>
    </row>
    <row r="127" spans="1:19" s="60" customFormat="1">
      <c r="A127" s="1343"/>
      <c r="B127" s="257" t="s">
        <v>1011</v>
      </c>
      <c r="C127" s="1036">
        <f>C62/ECO!B$64*100</f>
        <v>1.5470478522311764</v>
      </c>
      <c r="D127" s="1036">
        <f>D62/ECO!C$64*100</f>
        <v>1.700974580837862</v>
      </c>
      <c r="E127" s="1036">
        <f>E62/ECO!D$64*100</f>
        <v>1.894352451169256</v>
      </c>
      <c r="F127" s="1036">
        <f>F62/ECO!E$64*100</f>
        <v>1.5414420371734596</v>
      </c>
      <c r="G127" s="1036">
        <f>G62/ECO!F$64*100</f>
        <v>1.7969456786066305</v>
      </c>
      <c r="H127" s="1036">
        <f>H62/ECO!G$64*100</f>
        <v>1.8231169285745055</v>
      </c>
      <c r="I127" s="1036">
        <f>I62/ECO!H$64*100</f>
        <v>1.8754899994132532</v>
      </c>
      <c r="J127" s="1036">
        <f>J62/ECO!I$64*100</f>
        <v>1.8754899994132535</v>
      </c>
      <c r="K127" s="1036">
        <f>K62/ECO!J$64*100</f>
        <v>1.8754899994132539</v>
      </c>
      <c r="L127" s="1036">
        <f>L62/ECO!K$64*100</f>
        <v>1.8754899994132532</v>
      </c>
      <c r="M127" s="1036">
        <f>M62/ECO!L$64*100</f>
        <v>1.8754899994132532</v>
      </c>
      <c r="N127" s="1036">
        <f>N62/ECO!M$64*100</f>
        <v>1.8754899994132532</v>
      </c>
      <c r="O127" s="1036">
        <f>O62/ECO!N$64*100</f>
        <v>1.8754899994132528</v>
      </c>
      <c r="P127" s="1036">
        <f>P62/ECO!O$64*100</f>
        <v>1.8754899994132528</v>
      </c>
      <c r="Q127" s="1036">
        <f>Q62/ECO!P$64*100</f>
        <v>1.8754899994132528</v>
      </c>
      <c r="R127" s="1036">
        <f>R62/ECO!Q$64*100</f>
        <v>1.8754899994132528</v>
      </c>
      <c r="S127" s="1010"/>
    </row>
    <row r="128" spans="1:19" s="60" customFormat="1">
      <c r="A128" s="1343"/>
      <c r="B128" s="717" t="s">
        <v>55</v>
      </c>
      <c r="C128" s="1036">
        <f>C63/ECO!B$64*100</f>
        <v>1.7525979981988862</v>
      </c>
      <c r="D128" s="1036">
        <f>D63/ECO!C$64*100</f>
        <v>1.4559693717828308</v>
      </c>
      <c r="E128" s="1036">
        <f>E63/ECO!D$64*100</f>
        <v>1.6934283335293152</v>
      </c>
      <c r="F128" s="1036">
        <f>F63/ECO!E$64*100</f>
        <v>2.0600819642325652</v>
      </c>
      <c r="G128" s="1036">
        <f>G63/ECO!F$64*100</f>
        <v>1.8730847563064152</v>
      </c>
      <c r="H128" s="1036">
        <f>H63/ECO!G$64*100</f>
        <v>1.9003649183902924</v>
      </c>
      <c r="I128" s="1036">
        <f>I63/ECO!H$64*100</f>
        <v>1.9549571087925539</v>
      </c>
      <c r="J128" s="1036">
        <f>J63/ECO!I$64*100</f>
        <v>1.9549571087925544</v>
      </c>
      <c r="K128" s="1036">
        <f>K63/ECO!J$64*100</f>
        <v>1.9549571087925548</v>
      </c>
      <c r="L128" s="1036">
        <f>L63/ECO!K$64*100</f>
        <v>1.9549571087925539</v>
      </c>
      <c r="M128" s="1036">
        <f>M63/ECO!L$64*100</f>
        <v>1.9549571087925539</v>
      </c>
      <c r="N128" s="1036">
        <f>N63/ECO!M$64*100</f>
        <v>1.9549571087925539</v>
      </c>
      <c r="O128" s="1036">
        <f>O63/ECO!N$64*100</f>
        <v>1.9549571087925537</v>
      </c>
      <c r="P128" s="1036">
        <f>P63/ECO!O$64*100</f>
        <v>1.9549571087925539</v>
      </c>
      <c r="Q128" s="1036">
        <f>Q63/ECO!P$64*100</f>
        <v>1.9549571087925532</v>
      </c>
      <c r="R128" s="1036">
        <f>R63/ECO!Q$64*100</f>
        <v>1.9549571087925532</v>
      </c>
      <c r="S128" s="1010"/>
    </row>
    <row r="129" spans="1:19" s="60" customFormat="1">
      <c r="A129" s="1343"/>
      <c r="B129" s="942" t="s">
        <v>1012</v>
      </c>
      <c r="C129" s="1036">
        <f>C64/ECO!B$64*100</f>
        <v>1.2750067025243461</v>
      </c>
      <c r="D129" s="1036">
        <f>D64/ECO!C$64*100</f>
        <v>0.97909706291409404</v>
      </c>
      <c r="E129" s="1036">
        <f>E64/ECO!D$64*100</f>
        <v>0.90774333739680679</v>
      </c>
      <c r="F129" s="1036">
        <f>F64/ECO!E$64*100</f>
        <v>1.5070321432852225</v>
      </c>
      <c r="G129" s="1036">
        <f>G64/ECO!F$64*100</f>
        <v>1.2603141240967144</v>
      </c>
      <c r="H129" s="1036">
        <f>H64/ECO!G$64*100</f>
        <v>1.278669712900798</v>
      </c>
      <c r="I129" s="1036">
        <f>I64/ECO!H$64*100</f>
        <v>1.3154023318587478</v>
      </c>
      <c r="J129" s="1036">
        <f>J64/ECO!I$64*100</f>
        <v>1.3154023318587478</v>
      </c>
      <c r="K129" s="1036">
        <f>K64/ECO!J$64*100</f>
        <v>1.3154023318587482</v>
      </c>
      <c r="L129" s="1036">
        <f>L64/ECO!K$64*100</f>
        <v>1.3154023318587478</v>
      </c>
      <c r="M129" s="1036">
        <f>M64/ECO!L$64*100</f>
        <v>1.3154023318587478</v>
      </c>
      <c r="N129" s="1036">
        <f>N64/ECO!M$64*100</f>
        <v>1.3154023318587478</v>
      </c>
      <c r="O129" s="1036">
        <f>O64/ECO!N$64*100</f>
        <v>1.3154023318587478</v>
      </c>
      <c r="P129" s="1036">
        <f>P64/ECO!O$64*100</f>
        <v>1.3154023318587478</v>
      </c>
      <c r="Q129" s="1036">
        <f>Q64/ECO!P$64*100</f>
        <v>1.3154023318587473</v>
      </c>
      <c r="R129" s="1036">
        <f>R64/ECO!Q$64*100</f>
        <v>1.3154023318587476</v>
      </c>
      <c r="S129" s="1010"/>
    </row>
    <row r="130" spans="1:19" s="60" customFormat="1">
      <c r="A130" s="1343"/>
      <c r="B130" s="942" t="s">
        <v>899</v>
      </c>
      <c r="C130" s="1036">
        <f>C65/ECO!B$64*100</f>
        <v>0.47759129567454012</v>
      </c>
      <c r="D130" s="1036">
        <f>D65/ECO!C$64*100</f>
        <v>0.47687230886873688</v>
      </c>
      <c r="E130" s="1036">
        <f>E65/ECO!D$64*100</f>
        <v>0.78568499613250864</v>
      </c>
      <c r="F130" s="1036">
        <f>F65/ECO!E$64*100</f>
        <v>0.55304982094734279</v>
      </c>
      <c r="G130" s="1036">
        <f>G65/ECO!F$64*100</f>
        <v>0.61277063220970085</v>
      </c>
      <c r="H130" s="1036">
        <f>H65/ECO!G$64*100</f>
        <v>0.6216952054894942</v>
      </c>
      <c r="I130" s="1036">
        <f>I65/ECO!H$64*100</f>
        <v>0.63955477693380625</v>
      </c>
      <c r="J130" s="1036">
        <f>J65/ECO!I$64*100</f>
        <v>0.63955477693380636</v>
      </c>
      <c r="K130" s="1036">
        <f>K65/ECO!J$64*100</f>
        <v>0.63955477693380647</v>
      </c>
      <c r="L130" s="1036">
        <f>L65/ECO!K$64*100</f>
        <v>0.63955477693380625</v>
      </c>
      <c r="M130" s="1036">
        <f>M65/ECO!L$64*100</f>
        <v>0.63955477693380636</v>
      </c>
      <c r="N130" s="1036">
        <f>N65/ECO!M$64*100</f>
        <v>0.63955477693380625</v>
      </c>
      <c r="O130" s="1036">
        <f>O65/ECO!N$64*100</f>
        <v>0.63955477693380614</v>
      </c>
      <c r="P130" s="1036">
        <f>P65/ECO!O$64*100</f>
        <v>0.63955477693380614</v>
      </c>
      <c r="Q130" s="1036">
        <f>Q65/ECO!P$64*100</f>
        <v>0.63955477693380614</v>
      </c>
      <c r="R130" s="1036">
        <f>R65/ECO!Q$64*100</f>
        <v>0.63955477693380614</v>
      </c>
      <c r="S130" s="1010"/>
    </row>
    <row r="131" spans="1:19" s="60" customFormat="1">
      <c r="A131" s="1343"/>
      <c r="B131" s="1041" t="s">
        <v>210</v>
      </c>
      <c r="C131" s="1036">
        <f>C66/ECO!B$64*100</f>
        <v>0.78895508200127995</v>
      </c>
      <c r="D131" s="1036">
        <f>D66/ECO!C$64*100</f>
        <v>0.81753937583716951</v>
      </c>
      <c r="E131" s="1036">
        <f>E66/ECO!D$64*100</f>
        <v>1.1069187681991497</v>
      </c>
      <c r="F131" s="1036">
        <f>F66/ECO!E$64*100</f>
        <v>1.1265704985326974</v>
      </c>
      <c r="G131" s="1036">
        <f>G66/ECO!F$64*100</f>
        <v>1.439951663934095</v>
      </c>
      <c r="H131" s="1036">
        <f>H66/ECO!G$64*100</f>
        <v>1.281227005559455</v>
      </c>
      <c r="I131" s="1036">
        <f>I66/ECO!H$64*100</f>
        <v>1.4851974661828728</v>
      </c>
      <c r="J131" s="1036">
        <f>J66/ECO!I$64*100</f>
        <v>1.6911097204713499</v>
      </c>
      <c r="K131" s="1036">
        <f>K66/ECO!J$64*100</f>
        <v>1.5828212215688988</v>
      </c>
      <c r="L131" s="1036">
        <f>L66/ECO!K$64*100</f>
        <v>1.5447335298788598</v>
      </c>
      <c r="M131" s="1036">
        <f>M66/ECO!L$64*100</f>
        <v>1.4636769856230982</v>
      </c>
      <c r="N131" s="1036">
        <f>N66/ECO!M$64*100</f>
        <v>1.4115058041214095</v>
      </c>
      <c r="O131" s="1036">
        <f>O66/ECO!N$64*100</f>
        <v>1.4293838577052949</v>
      </c>
      <c r="P131" s="1036">
        <f>P66/ECO!O$64*100</f>
        <v>1.4664454310282813</v>
      </c>
      <c r="Q131" s="1036">
        <f>Q66/ECO!P$64*100</f>
        <v>1.5071099471172389</v>
      </c>
      <c r="R131" s="1036">
        <f>R66/ECO!Q$64*100</f>
        <v>1.5344341213194355</v>
      </c>
      <c r="S131" s="1010"/>
    </row>
    <row r="132" spans="1:19" s="60" customFormat="1" ht="8.25" customHeight="1">
      <c r="A132" s="1343"/>
      <c r="B132" s="1016"/>
      <c r="C132" s="1036"/>
      <c r="D132" s="1036"/>
      <c r="E132" s="1036"/>
      <c r="F132" s="1036"/>
      <c r="G132" s="1036"/>
      <c r="H132" s="1036"/>
      <c r="I132" s="1036"/>
      <c r="J132" s="1036"/>
      <c r="K132" s="1036"/>
      <c r="L132" s="1036"/>
      <c r="M132" s="1036"/>
      <c r="N132" s="1036"/>
      <c r="O132" s="1036"/>
      <c r="P132" s="1036"/>
      <c r="Q132" s="1036"/>
      <c r="R132" s="1036"/>
      <c r="S132" s="1010"/>
    </row>
    <row r="133" spans="1:19" s="63" customFormat="1">
      <c r="A133" s="1344"/>
      <c r="B133" s="256" t="s">
        <v>56</v>
      </c>
      <c r="C133" s="1035">
        <f>C70/ECO!B$64*100</f>
        <v>9.4373136292734294</v>
      </c>
      <c r="D133" s="1035">
        <f>D70/ECO!C$64*100</f>
        <v>9.0674508475620073</v>
      </c>
      <c r="E133" s="1035">
        <f>E70/ECO!D$64*100</f>
        <v>9.1195330095832237</v>
      </c>
      <c r="F133" s="1035">
        <f>F70/ECO!E$64*100</f>
        <v>8.0443732752966604</v>
      </c>
      <c r="G133" s="1035">
        <f>G70/ECO!F$64*100</f>
        <v>10.869645179749746</v>
      </c>
      <c r="H133" s="1035">
        <f>H70/ECO!G$64*100</f>
        <v>8.9933251000952286</v>
      </c>
      <c r="I133" s="1035">
        <f>I70/ECO!H$64*100</f>
        <v>7.1289061378824128</v>
      </c>
      <c r="J133" s="1035">
        <f>J70/ECO!I$64*100</f>
        <v>7.1289061378824128</v>
      </c>
      <c r="K133" s="1035">
        <f>K70/ECO!J$64*100</f>
        <v>7.1289061378824128</v>
      </c>
      <c r="L133" s="1035">
        <f>L70/ECO!K$64*100</f>
        <v>7.128906137882411</v>
      </c>
      <c r="M133" s="1035">
        <f>M70/ECO!L$64*100</f>
        <v>7.128906137882411</v>
      </c>
      <c r="N133" s="1035">
        <f>N70/ECO!M$64*100</f>
        <v>7.0576170765035862</v>
      </c>
      <c r="O133" s="1035">
        <f>O70/ECO!N$64*100</f>
        <v>6.9870409057385512</v>
      </c>
      <c r="P133" s="1035">
        <f>P70/ECO!O$64*100</f>
        <v>6.84730008762378</v>
      </c>
      <c r="Q133" s="1035">
        <f>Q70/ECO!P$64*100</f>
        <v>6.7103540858713044</v>
      </c>
      <c r="R133" s="1035">
        <f>R70/ECO!Q$64*100</f>
        <v>6.5761470041538788</v>
      </c>
      <c r="S133" s="1034"/>
    </row>
    <row r="134" spans="1:19" s="60" customFormat="1" ht="8.25" customHeight="1">
      <c r="A134" s="1343"/>
      <c r="B134" s="256"/>
      <c r="C134" s="1036"/>
      <c r="D134" s="1036"/>
      <c r="E134" s="1036"/>
      <c r="F134" s="1036"/>
      <c r="G134" s="1036"/>
      <c r="H134" s="1036"/>
      <c r="I134" s="1036"/>
      <c r="J134" s="1036"/>
      <c r="K134" s="1036"/>
      <c r="L134" s="1036"/>
      <c r="M134" s="1036"/>
      <c r="N134" s="1036"/>
      <c r="O134" s="1036"/>
      <c r="P134" s="1036"/>
      <c r="Q134" s="1036"/>
      <c r="R134" s="1036"/>
      <c r="S134" s="1010"/>
    </row>
    <row r="135" spans="1:19" s="63" customFormat="1">
      <c r="A135" s="1344"/>
      <c r="B135" s="256" t="s">
        <v>57</v>
      </c>
      <c r="C135" s="1035">
        <f>C72/ECO!B$64*100</f>
        <v>3.1953193206922927</v>
      </c>
      <c r="D135" s="1035">
        <f>D72/ECO!C$64*100</f>
        <v>1.3400871426152019</v>
      </c>
      <c r="E135" s="1035">
        <f>E72/ECO!D$64*100</f>
        <v>1.8195960888619671</v>
      </c>
      <c r="F135" s="1035">
        <f>F72/ECO!E$64*100</f>
        <v>2.4548045558430158</v>
      </c>
      <c r="G135" s="1035">
        <f>G72/ECO!F$64*100</f>
        <v>3.867114353146337</v>
      </c>
      <c r="H135" s="1035">
        <f>H72/ECO!G$64*100</f>
        <v>4.5348772404813618</v>
      </c>
      <c r="I135" s="1035">
        <f>I72/ECO!H$64*100</f>
        <v>2.7677169783676359</v>
      </c>
      <c r="J135" s="1035">
        <f>J72/ECO!I$64*100</f>
        <v>2.6936730733701295</v>
      </c>
      <c r="K135" s="1035">
        <f>K72/ECO!J$64*100</f>
        <v>2.6397996119027267</v>
      </c>
      <c r="L135" s="1035">
        <f>L72/ECO!K$64*100</f>
        <v>2.5870036196646722</v>
      </c>
      <c r="M135" s="1035">
        <f>M72/ECO!L$64*100</f>
        <v>2.5695926447847262</v>
      </c>
      <c r="N135" s="1035">
        <f>N72/ECO!M$64*100</f>
        <v>2.543896718336879</v>
      </c>
      <c r="O135" s="1035">
        <f>O72/ECO!N$64*100</f>
        <v>2.5184577511535102</v>
      </c>
      <c r="P135" s="1035">
        <f>P72/ECO!O$64*100</f>
        <v>2.46808859613044</v>
      </c>
      <c r="Q135" s="1035">
        <f>Q72/ECO!P$64*100</f>
        <v>2.4187268242078312</v>
      </c>
      <c r="R135" s="1035">
        <f>R72/ECO!Q$64*100</f>
        <v>2.382445921844714</v>
      </c>
      <c r="S135" s="1034"/>
    </row>
    <row r="136" spans="1:19" s="60" customFormat="1">
      <c r="A136" s="1343"/>
      <c r="B136" s="981" t="s">
        <v>315</v>
      </c>
      <c r="C136" s="1036">
        <f>C73/ECO!B$64*100</f>
        <v>1.2240064344233723</v>
      </c>
      <c r="D136" s="1036">
        <f>D73/ECO!C$64*100</f>
        <v>0.86146992861285165</v>
      </c>
      <c r="E136" s="1036">
        <f>E73/ECO!D$64*100</f>
        <v>1.4562189640092289</v>
      </c>
      <c r="F136" s="1036">
        <f>F73/ECO!E$64*100</f>
        <v>1.8181352935076409</v>
      </c>
      <c r="G136" s="1036">
        <f>G73/ECO!F$64*100</f>
        <v>2.7737762370589771</v>
      </c>
      <c r="H136" s="1036">
        <f>H73/ECO!G$64*100</f>
        <v>2.8269784204621544</v>
      </c>
      <c r="I136" s="1036">
        <f>I73/ECO!H$64*100</f>
        <v>1.8689565430153603</v>
      </c>
      <c r="J136" s="1036">
        <f>J73/ECO!I$64*100</f>
        <v>1.8128878467248994</v>
      </c>
      <c r="K136" s="1036">
        <f>K73/ECO!J$64*100</f>
        <v>1.7766300897904013</v>
      </c>
      <c r="L136" s="1036">
        <f>L73/ECO!K$64*100</f>
        <v>1.7410974879945935</v>
      </c>
      <c r="M136" s="1036">
        <f>M73/ECO!L$64*100</f>
        <v>1.7236865131146473</v>
      </c>
      <c r="N136" s="1036">
        <f>N73/ECO!M$64*100</f>
        <v>1.706449647983501</v>
      </c>
      <c r="O136" s="1036">
        <f>O73/ECO!N$64*100</f>
        <v>1.689385151503666</v>
      </c>
      <c r="P136" s="1036">
        <f>P73/ECO!O$64*100</f>
        <v>1.6555974484735927</v>
      </c>
      <c r="Q136" s="1036">
        <f>Q73/ECO!P$64*100</f>
        <v>1.6224854995041214</v>
      </c>
      <c r="R136" s="1036">
        <f>R73/ECO!Q$64*100</f>
        <v>1.5981482170115593</v>
      </c>
      <c r="S136" s="1010"/>
    </row>
    <row r="137" spans="1:19" s="60" customFormat="1">
      <c r="A137" s="1343"/>
      <c r="B137" s="954" t="s">
        <v>58</v>
      </c>
      <c r="C137" s="1036">
        <f>C74/ECO!B$64*100</f>
        <v>0.2027939654665942</v>
      </c>
      <c r="D137" s="1036">
        <f>D74/ECO!C$64*100</f>
        <v>0</v>
      </c>
      <c r="E137" s="1036">
        <f>E74/ECO!D$64*100</f>
        <v>0</v>
      </c>
      <c r="F137" s="1036">
        <f>F74/ECO!E$64*100</f>
        <v>0</v>
      </c>
      <c r="G137" s="1036">
        <f>G74/ECO!F$64*100</f>
        <v>0</v>
      </c>
      <c r="H137" s="1036">
        <f>H74/ECO!G$64*100</f>
        <v>0</v>
      </c>
      <c r="I137" s="1036">
        <f>I74/ECO!H$64*100</f>
        <v>0</v>
      </c>
      <c r="J137" s="1036">
        <f>J74/ECO!I$64*100</f>
        <v>0</v>
      </c>
      <c r="K137" s="1036">
        <f>K74/ECO!J$64*100</f>
        <v>0</v>
      </c>
      <c r="L137" s="1036">
        <f>L74/ECO!K$64*100</f>
        <v>0</v>
      </c>
      <c r="M137" s="1036">
        <f>M74/ECO!L$64*100</f>
        <v>0</v>
      </c>
      <c r="N137" s="1036">
        <f>N74/ECO!M$64*100</f>
        <v>0</v>
      </c>
      <c r="O137" s="1036">
        <f>O74/ECO!N$64*100</f>
        <v>0</v>
      </c>
      <c r="P137" s="1036">
        <f>P74/ECO!O$64*100</f>
        <v>0</v>
      </c>
      <c r="Q137" s="1036">
        <f>Q74/ECO!P$64*100</f>
        <v>0</v>
      </c>
      <c r="R137" s="1036">
        <f>R74/ECO!Q$64*100</f>
        <v>0</v>
      </c>
      <c r="S137" s="1010"/>
    </row>
    <row r="138" spans="1:19" s="60" customFormat="1">
      <c r="A138" s="1343"/>
      <c r="B138" s="954" t="s">
        <v>59</v>
      </c>
      <c r="C138" s="1036">
        <f>C75/ECO!B$64*100</f>
        <v>0.76772001212353524</v>
      </c>
      <c r="D138" s="1036">
        <f>D75/ECO!C$64*100</f>
        <v>0.69321408318065403</v>
      </c>
      <c r="E138" s="1036">
        <f>E75/ECO!D$64*100</f>
        <v>1.1743701322655071</v>
      </c>
      <c r="F138" s="1036">
        <f>F75/ECO!E$64*100</f>
        <v>1.4646344419599733</v>
      </c>
      <c r="G138" s="1036">
        <f>G75/ECO!F$64*100</f>
        <v>2.2344696929836241</v>
      </c>
      <c r="H138" s="1036">
        <f>H75/ECO!G$64*100</f>
        <v>2.2773277522699789</v>
      </c>
      <c r="I138" s="1036">
        <f>I75/ECO!H$64*100</f>
        <v>1.5055744933842234</v>
      </c>
      <c r="J138" s="1036">
        <f>J75/ECO!I$64*100</f>
        <v>1.4604072585826968</v>
      </c>
      <c r="K138" s="1036">
        <f>K75/ECO!J$64*100</f>
        <v>1.4311991134110429</v>
      </c>
      <c r="L138" s="1036">
        <f>L75/ECO!K$64*100</f>
        <v>1.4025751311428221</v>
      </c>
      <c r="M138" s="1036">
        <f>M75/ECO!L$64*100</f>
        <v>1.3885493798313937</v>
      </c>
      <c r="N138" s="1036">
        <f>N75/ECO!M$64*100</f>
        <v>1.37466388603308</v>
      </c>
      <c r="O138" s="1036">
        <f>O75/ECO!N$64*100</f>
        <v>1.3609172471727489</v>
      </c>
      <c r="P138" s="1036">
        <f>P75/ECO!O$64*100</f>
        <v>1.333698902229294</v>
      </c>
      <c r="Q138" s="1036">
        <f>Q75/ECO!P$64*100</f>
        <v>1.3070249241847085</v>
      </c>
      <c r="R138" s="1036">
        <f>R75/ECO!Q$64*100</f>
        <v>1.2874195503219379</v>
      </c>
      <c r="S138" s="1010"/>
    </row>
    <row r="139" spans="1:19" s="60" customFormat="1">
      <c r="A139" s="1343"/>
      <c r="B139" s="954" t="s">
        <v>60</v>
      </c>
      <c r="C139" s="1036">
        <f>C76/ECO!B$64*100</f>
        <v>0</v>
      </c>
      <c r="D139" s="1036">
        <f>D76/ECO!C$64*100</f>
        <v>0</v>
      </c>
      <c r="E139" s="1036">
        <f>E76/ECO!D$64*100</f>
        <v>0</v>
      </c>
      <c r="F139" s="1036">
        <f>F76/ECO!E$64*100</f>
        <v>0</v>
      </c>
      <c r="G139" s="1036">
        <f>G76/ECO!F$64*100</f>
        <v>0</v>
      </c>
      <c r="H139" s="1036">
        <f>H76/ECO!G$64*100</f>
        <v>0</v>
      </c>
      <c r="I139" s="1036">
        <f>I76/ECO!H$64*100</f>
        <v>0</v>
      </c>
      <c r="J139" s="1036">
        <f>J76/ECO!I$64*100</f>
        <v>0</v>
      </c>
      <c r="K139" s="1036">
        <f>K76/ECO!J$64*100</f>
        <v>0</v>
      </c>
      <c r="L139" s="1036">
        <f>L76/ECO!K$64*100</f>
        <v>0</v>
      </c>
      <c r="M139" s="1036">
        <f>M76/ECO!L$64*100</f>
        <v>0</v>
      </c>
      <c r="N139" s="1036">
        <f>N76/ECO!M$64*100</f>
        <v>0</v>
      </c>
      <c r="O139" s="1036">
        <f>O76/ECO!N$64*100</f>
        <v>0</v>
      </c>
      <c r="P139" s="1036">
        <f>P76/ECO!O$64*100</f>
        <v>0</v>
      </c>
      <c r="Q139" s="1036">
        <f>Q76/ECO!P$64*100</f>
        <v>0</v>
      </c>
      <c r="R139" s="1036">
        <f>R76/ECO!Q$64*100</f>
        <v>0</v>
      </c>
      <c r="S139" s="1010"/>
    </row>
    <row r="140" spans="1:19" s="60" customFormat="1">
      <c r="A140" s="1343"/>
      <c r="B140" s="954" t="s">
        <v>61</v>
      </c>
      <c r="C140" s="1036">
        <f>C77/ECO!B$64*100</f>
        <v>0.25349245683324279</v>
      </c>
      <c r="D140" s="1036">
        <f>D77/ECO!C$64*100</f>
        <v>0.1682558454321976</v>
      </c>
      <c r="E140" s="1036">
        <f>E77/ECO!D$64*100</f>
        <v>0.28184883174372177</v>
      </c>
      <c r="F140" s="1036">
        <f>F77/ECO!E$64*100</f>
        <v>0.35350085154766764</v>
      </c>
      <c r="G140" s="1036">
        <f>G77/ECO!F$64*100</f>
        <v>0.53930654407535306</v>
      </c>
      <c r="H140" s="1036">
        <f>H77/ECO!G$64*100</f>
        <v>0.54965066819217556</v>
      </c>
      <c r="I140" s="1036">
        <f>I77/ECO!H$64*100</f>
        <v>0.36338204963113679</v>
      </c>
      <c r="J140" s="1036">
        <f>J77/ECO!I$64*100</f>
        <v>0.35248058814220268</v>
      </c>
      <c r="K140" s="1036">
        <f>K77/ECO!J$64*100</f>
        <v>0.34543097637935855</v>
      </c>
      <c r="L140" s="1036">
        <f>L77/ECO!K$64*100</f>
        <v>0.3385223568517714</v>
      </c>
      <c r="M140" s="1036">
        <f>M77/ECO!L$64*100</f>
        <v>0.33513713328325373</v>
      </c>
      <c r="N140" s="1036">
        <f>N77/ECO!M$64*100</f>
        <v>0.3317857619504212</v>
      </c>
      <c r="O140" s="1036">
        <f>O77/ECO!N$64*100</f>
        <v>0.32846790433091694</v>
      </c>
      <c r="P140" s="1036">
        <f>P77/ECO!O$64*100</f>
        <v>0.32189854624429859</v>
      </c>
      <c r="Q140" s="1036">
        <f>Q77/ECO!P$64*100</f>
        <v>0.31546057531941268</v>
      </c>
      <c r="R140" s="1036">
        <f>R77/ECO!Q$64*100</f>
        <v>0.31072866668962157</v>
      </c>
      <c r="S140" s="1010"/>
    </row>
    <row r="141" spans="1:19" s="60" customFormat="1">
      <c r="A141" s="1343"/>
      <c r="B141" s="1016" t="s">
        <v>211</v>
      </c>
      <c r="C141" s="1036">
        <f>C78/ECO!B$64*100</f>
        <v>1.9713128862689202</v>
      </c>
      <c r="D141" s="1036">
        <f>D78/ECO!C$64*100</f>
        <v>0.47861721400235041</v>
      </c>
      <c r="E141" s="1036">
        <f>E78/ECO!D$64*100</f>
        <v>0.36337712485273838</v>
      </c>
      <c r="F141" s="1036">
        <f>F78/ECO!E$64*100</f>
        <v>0.63666926233537446</v>
      </c>
      <c r="G141" s="1036">
        <f>G78/ECO!F$64*100</f>
        <v>0.49034328194410359</v>
      </c>
      <c r="H141" s="1036">
        <f>H78/ECO!G$64*100</f>
        <v>1.6069353050027018</v>
      </c>
      <c r="I141" s="1036">
        <f>I78/ECO!H$64*100</f>
        <v>0.89876043535227557</v>
      </c>
      <c r="J141" s="1036">
        <f>J78/ECO!I$64*100</f>
        <v>0.88078522664523007</v>
      </c>
      <c r="K141" s="1036">
        <f>K78/ECO!J$64*100</f>
        <v>0.86316952211232556</v>
      </c>
      <c r="L141" s="1036">
        <f>L78/ECO!K$64*100</f>
        <v>0.84590613167007878</v>
      </c>
      <c r="M141" s="1036">
        <f>M78/ECO!L$64*100</f>
        <v>0.84590613167007878</v>
      </c>
      <c r="N141" s="1036">
        <f>N78/ECO!M$64*100</f>
        <v>0.83744707035337795</v>
      </c>
      <c r="O141" s="1036">
        <f>O78/ECO!N$64*100</f>
        <v>0.82907259964984437</v>
      </c>
      <c r="P141" s="1036">
        <f>P78/ECO!O$64*100</f>
        <v>0.81249114765684727</v>
      </c>
      <c r="Q141" s="1036">
        <f>Q78/ECO!P$64*100</f>
        <v>0.79624132470371056</v>
      </c>
      <c r="R141" s="1036">
        <f>R78/ECO!Q$64*100</f>
        <v>0.78429770483315475</v>
      </c>
      <c r="S141" s="1010"/>
    </row>
    <row r="142" spans="1:19" s="60" customFormat="1">
      <c r="A142" s="1343"/>
      <c r="B142" s="981" t="s">
        <v>316</v>
      </c>
      <c r="C142" s="1036">
        <f>C79/ECO!B$64*100</f>
        <v>0</v>
      </c>
      <c r="D142" s="1036">
        <f>D79/ECO!C$64*100</f>
        <v>0</v>
      </c>
      <c r="E142" s="1036">
        <f>E79/ECO!D$64*100</f>
        <v>0</v>
      </c>
      <c r="F142" s="1036">
        <f>F79/ECO!E$64*100</f>
        <v>0</v>
      </c>
      <c r="G142" s="1036">
        <f>G79/ECO!F$64*100</f>
        <v>0.60299483414325583</v>
      </c>
      <c r="H142" s="1036">
        <f>H79/ECO!G$64*100</f>
        <v>0.10096351501650551</v>
      </c>
      <c r="I142" s="1036">
        <f>I79/ECO!H$64*100</f>
        <v>0</v>
      </c>
      <c r="J142" s="1036">
        <f>J79/ECO!I$64*100</f>
        <v>0</v>
      </c>
      <c r="K142" s="1036">
        <f>K79/ECO!J$64*100</f>
        <v>0</v>
      </c>
      <c r="L142" s="1036">
        <f>L79/ECO!K$64*100</f>
        <v>0</v>
      </c>
      <c r="M142" s="1036">
        <f>M79/ECO!L$64*100</f>
        <v>0</v>
      </c>
      <c r="N142" s="1036">
        <f>N79/ECO!M$64*100</f>
        <v>0</v>
      </c>
      <c r="O142" s="1036">
        <f>O79/ECO!N$64*100</f>
        <v>0</v>
      </c>
      <c r="P142" s="1036">
        <f>P79/ECO!O$64*100</f>
        <v>0</v>
      </c>
      <c r="Q142" s="1036">
        <f>Q79/ECO!P$64*100</f>
        <v>0</v>
      </c>
      <c r="R142" s="1036">
        <f>R79/ECO!Q$64*100</f>
        <v>0</v>
      </c>
      <c r="S142" s="1010"/>
    </row>
    <row r="143" spans="1:19" s="60" customFormat="1">
      <c r="A143" s="1343"/>
      <c r="B143" s="1037" t="s">
        <v>62</v>
      </c>
      <c r="C143" s="1038">
        <f>C112+C133+C135</f>
        <v>30.493808619263088</v>
      </c>
      <c r="D143" s="1038">
        <f t="shared" ref="D143:R143" si="24">D112+D133+D135</f>
        <v>28.890086372804113</v>
      </c>
      <c r="E143" s="1038">
        <f t="shared" si="24"/>
        <v>31.208042725888237</v>
      </c>
      <c r="F143" s="1038">
        <f t="shared" si="24"/>
        <v>30.186889526059268</v>
      </c>
      <c r="G143" s="1038">
        <f t="shared" si="24"/>
        <v>35.66556453582362</v>
      </c>
      <c r="H143" s="1038">
        <f t="shared" si="24"/>
        <v>34.58212412696848</v>
      </c>
      <c r="I143" s="1038">
        <f t="shared" si="24"/>
        <v>31.722529805015498</v>
      </c>
      <c r="J143" s="1038">
        <f t="shared" si="24"/>
        <v>31.854398154306473</v>
      </c>
      <c r="K143" s="1038">
        <f t="shared" si="24"/>
        <v>31.692236193936623</v>
      </c>
      <c r="L143" s="1038">
        <f t="shared" si="24"/>
        <v>31.601352510008518</v>
      </c>
      <c r="M143" s="1038">
        <f t="shared" si="24"/>
        <v>31.502884990872811</v>
      </c>
      <c r="N143" s="1038">
        <f t="shared" si="24"/>
        <v>31.353728821544451</v>
      </c>
      <c r="O143" s="1038">
        <f t="shared" si="24"/>
        <v>31.275591737179926</v>
      </c>
      <c r="P143" s="1038">
        <f t="shared" si="24"/>
        <v>31.122543337365077</v>
      </c>
      <c r="Q143" s="1038">
        <f t="shared" si="24"/>
        <v>30.976900079778947</v>
      </c>
      <c r="R143" s="1038">
        <f t="shared" si="24"/>
        <v>30.833736269900601</v>
      </c>
      <c r="S143" s="1010"/>
    </row>
    <row r="144" spans="1:19" s="60" customFormat="1">
      <c r="A144" s="1343"/>
      <c r="B144" s="1040" t="s">
        <v>212</v>
      </c>
      <c r="C144" s="1038">
        <f>C81/ECO!B$64*100</f>
        <v>30.493808619263085</v>
      </c>
      <c r="D144" s="1038">
        <f>D81/ECO!C$64*100</f>
        <v>28.89008637280411</v>
      </c>
      <c r="E144" s="1038">
        <f>E81/ECO!D$64*100</f>
        <v>31.208042725888248</v>
      </c>
      <c r="F144" s="1038">
        <f>F81/ECO!E$64*100</f>
        <v>30.186889526059268</v>
      </c>
      <c r="G144" s="1038">
        <f>G81/ECO!F$64*100</f>
        <v>35.665564535823627</v>
      </c>
      <c r="H144" s="1038">
        <f>H81/ECO!G$64*100</f>
        <v>34.58212412696848</v>
      </c>
      <c r="I144" s="1038">
        <f>I81/ECO!H$64*100</f>
        <v>31.722529805015498</v>
      </c>
      <c r="J144" s="1038">
        <f>J81/ECO!I$64*100</f>
        <v>31.854398154306473</v>
      </c>
      <c r="K144" s="1038">
        <f>K81/ECO!J$64*100</f>
        <v>31.692236193936619</v>
      </c>
      <c r="L144" s="1038">
        <f>L81/ECO!K$64*100</f>
        <v>31.601352510008518</v>
      </c>
      <c r="M144" s="1038">
        <f>M81/ECO!L$64*100</f>
        <v>31.502884990872815</v>
      </c>
      <c r="N144" s="1038">
        <f>N81/ECO!M$64*100</f>
        <v>31.353728821544458</v>
      </c>
      <c r="O144" s="1038">
        <f>O81/ECO!N$64*100</f>
        <v>31.275591737179926</v>
      </c>
      <c r="P144" s="1038">
        <f>P81/ECO!O$64*100</f>
        <v>31.122543337365073</v>
      </c>
      <c r="Q144" s="1038">
        <f>Q81/ECO!P$64*100</f>
        <v>30.97690007977895</v>
      </c>
      <c r="R144" s="1039">
        <f>R81/ECO!Q$64*100</f>
        <v>30.833736269900609</v>
      </c>
      <c r="S144" s="1010"/>
    </row>
    <row r="145" spans="2:24" s="60" customFormat="1">
      <c r="B145" s="709"/>
      <c r="C145" s="1007"/>
      <c r="D145" s="1008"/>
      <c r="E145" s="1008"/>
      <c r="F145" s="1008"/>
      <c r="G145" s="1008"/>
      <c r="H145" s="1008"/>
      <c r="I145" s="1007"/>
      <c r="J145" s="1008"/>
      <c r="K145" s="1008"/>
      <c r="L145" s="1008"/>
      <c r="M145" s="1008"/>
      <c r="N145" s="1008"/>
      <c r="O145" s="1008"/>
      <c r="P145" s="1008"/>
      <c r="Q145" s="1008"/>
      <c r="R145" s="1009"/>
      <c r="S145" s="1010"/>
    </row>
    <row r="146" spans="2:24" s="60" customFormat="1">
      <c r="B146" s="709"/>
      <c r="C146" s="1007"/>
      <c r="D146" s="1008"/>
      <c r="E146" s="1008"/>
      <c r="F146" s="1008"/>
      <c r="G146" s="1008"/>
      <c r="H146" s="1008"/>
      <c r="I146" s="1007"/>
      <c r="J146" s="1008"/>
      <c r="K146" s="1008"/>
      <c r="L146" s="1008"/>
      <c r="M146" s="1008"/>
      <c r="N146" s="1008"/>
      <c r="O146" s="1008"/>
      <c r="P146" s="1008"/>
      <c r="Q146" s="1008"/>
      <c r="R146" s="1009"/>
      <c r="S146" s="1010"/>
    </row>
    <row r="147" spans="2:24" s="60" customFormat="1" ht="18.75">
      <c r="B147" s="1033" t="s">
        <v>673</v>
      </c>
      <c r="C147" s="1007"/>
      <c r="D147" s="1008"/>
      <c r="E147" s="1008"/>
      <c r="F147" s="1008"/>
      <c r="G147" s="1008"/>
      <c r="H147" s="1008"/>
      <c r="I147" s="1007"/>
      <c r="J147" s="1008"/>
      <c r="K147" s="1008"/>
      <c r="L147" s="1008"/>
      <c r="M147" s="1008"/>
      <c r="N147" s="1008"/>
      <c r="O147" s="1008"/>
      <c r="P147" s="1008"/>
      <c r="Q147" s="1008"/>
      <c r="R147" s="1009"/>
      <c r="S147" s="1010"/>
    </row>
    <row r="148" spans="2:24" s="60" customFormat="1">
      <c r="B148" s="709"/>
      <c r="C148" s="1007"/>
      <c r="D148" s="1008"/>
      <c r="E148" s="1008"/>
      <c r="F148" s="1008"/>
      <c r="G148" s="1008"/>
      <c r="H148" s="1008"/>
      <c r="I148" s="1007"/>
      <c r="J148" s="1008"/>
      <c r="K148" s="1008"/>
      <c r="L148" s="1008"/>
      <c r="M148" s="1008"/>
      <c r="N148" s="1008"/>
      <c r="O148" s="1008"/>
      <c r="P148" s="1008"/>
      <c r="Q148" s="1008"/>
      <c r="R148" s="1009"/>
      <c r="S148" s="1010"/>
    </row>
    <row r="149" spans="2:24" ht="21" customHeight="1">
      <c r="B149" s="298" t="s">
        <v>763</v>
      </c>
      <c r="C149" s="666"/>
      <c r="D149" s="667"/>
      <c r="E149" s="667"/>
      <c r="F149" s="667"/>
      <c r="G149" s="667"/>
      <c r="H149" s="668"/>
      <c r="I149" s="666"/>
      <c r="J149" s="667"/>
      <c r="K149" s="667"/>
      <c r="L149" s="667"/>
      <c r="M149" s="667"/>
      <c r="N149" s="667"/>
      <c r="O149" s="667"/>
      <c r="P149" s="667"/>
      <c r="Q149" s="667"/>
      <c r="R149" s="668"/>
      <c r="S149" s="70"/>
    </row>
    <row r="150" spans="2:24" s="248" customFormat="1">
      <c r="B150" s="662"/>
      <c r="C150" s="663">
        <v>2005</v>
      </c>
      <c r="D150" s="664">
        <v>2006</v>
      </c>
      <c r="E150" s="664">
        <v>2007</v>
      </c>
      <c r="F150" s="664">
        <v>2008</v>
      </c>
      <c r="G150" s="664">
        <v>2009</v>
      </c>
      <c r="H150" s="664">
        <v>2010</v>
      </c>
      <c r="I150" s="665">
        <v>2011</v>
      </c>
      <c r="J150" s="665">
        <v>2012</v>
      </c>
      <c r="K150" s="665">
        <v>2013</v>
      </c>
      <c r="L150" s="665">
        <v>2014</v>
      </c>
      <c r="M150" s="665">
        <v>2015</v>
      </c>
      <c r="N150" s="665">
        <v>2016</v>
      </c>
      <c r="O150" s="665">
        <v>2017</v>
      </c>
      <c r="P150" s="665">
        <v>2018</v>
      </c>
      <c r="Q150" s="665">
        <v>2019</v>
      </c>
      <c r="R150" s="665">
        <v>2020</v>
      </c>
      <c r="S150" s="662" t="s">
        <v>744</v>
      </c>
      <c r="T150" s="247"/>
      <c r="U150" s="247"/>
    </row>
    <row r="151" spans="2:24" s="239" customFormat="1" ht="12.75">
      <c r="B151" s="256" t="s">
        <v>763</v>
      </c>
      <c r="C151" s="956"/>
      <c r="D151" s="957"/>
      <c r="E151" s="957"/>
      <c r="F151" s="957"/>
      <c r="G151" s="957"/>
      <c r="H151" s="957"/>
      <c r="I151" s="957"/>
      <c r="J151" s="957"/>
      <c r="K151" s="957"/>
      <c r="L151" s="957"/>
      <c r="M151" s="957"/>
      <c r="N151" s="957"/>
      <c r="O151" s="957"/>
      <c r="P151" s="957"/>
      <c r="Q151" s="957"/>
      <c r="R151" s="957"/>
      <c r="S151" s="99" t="s">
        <v>328</v>
      </c>
      <c r="U151" s="952"/>
    </row>
    <row r="152" spans="2:24" s="961" customFormat="1" ht="15">
      <c r="B152" s="962" t="s">
        <v>320</v>
      </c>
      <c r="C152" s="1299">
        <f>C207*ECO!B$64/100</f>
        <v>228289000</v>
      </c>
      <c r="D152" s="1297">
        <f>D207*ECO!C$64/100</f>
        <v>279472000</v>
      </c>
      <c r="E152" s="1297">
        <f>E207*ECO!D$64/100</f>
        <v>327910600</v>
      </c>
      <c r="F152" s="1297">
        <f>F207*ECO!E$64/100</f>
        <v>430535000</v>
      </c>
      <c r="G152" s="1297">
        <f>G207*ECO!F$64/100</f>
        <v>442341000</v>
      </c>
      <c r="H152" s="1297">
        <f>H207*ECO!G$64/100</f>
        <v>557986681.45034456</v>
      </c>
      <c r="I152" s="1297">
        <f>I207*ECO!H$64/100</f>
        <v>669005206.87984276</v>
      </c>
      <c r="J152" s="1297">
        <f>J207*ECO!I$64/100</f>
        <v>773892538.6329248</v>
      </c>
      <c r="K152" s="1297">
        <f>K207*ECO!J$64/100</f>
        <v>889647518.68079519</v>
      </c>
      <c r="L152" s="1297">
        <f>L207*ECO!K$64/100</f>
        <v>1023344157.7558947</v>
      </c>
      <c r="M152" s="1297">
        <f>M207*ECO!L$64/100</f>
        <v>1175398833.2093287</v>
      </c>
      <c r="N152" s="1297">
        <f>N207*ECO!M$64/100</f>
        <v>1332120728.0891364</v>
      </c>
      <c r="O152" s="1297">
        <f>O207*ECO!N$64/100</f>
        <v>1500755611.4114082</v>
      </c>
      <c r="P152" s="1297">
        <f>P207*ECO!O$64/100</f>
        <v>1693975948.0717642</v>
      </c>
      <c r="Q152" s="1297">
        <f>Q207*ECO!P$64/100</f>
        <v>1911250153.1182034</v>
      </c>
      <c r="R152" s="1297">
        <f>R207*ECO!Q$64/100</f>
        <v>2156631720.0761662</v>
      </c>
      <c r="S152" s="963"/>
      <c r="U152" s="964"/>
    </row>
    <row r="153" spans="2:24" s="231" customFormat="1" ht="12.75">
      <c r="B153" s="954" t="s">
        <v>321</v>
      </c>
      <c r="C153" s="1300">
        <f>C208*ECO!B$64/100</f>
        <v>66558000</v>
      </c>
      <c r="D153" s="1298">
        <f>D208*ECO!C$64/100</f>
        <v>83346000</v>
      </c>
      <c r="E153" s="1298">
        <f>E208*ECO!D$64/100</f>
        <v>78634000</v>
      </c>
      <c r="F153" s="1298">
        <f>F208*ECO!E$64/100</f>
        <v>89603000</v>
      </c>
      <c r="G153" s="1298">
        <f>G208*ECO!F$64/100</f>
        <v>60500000</v>
      </c>
      <c r="H153" s="1298">
        <f>H208*ECO!G$64/100</f>
        <v>69119590.232974514</v>
      </c>
      <c r="I153" s="1298">
        <f>I208*ECO!H$64/100</f>
        <v>82815676.567301124</v>
      </c>
      <c r="J153" s="1298">
        <f>J208*ECO!I$64/100</f>
        <v>93309404.982358754</v>
      </c>
      <c r="K153" s="1298">
        <f>K208*ECO!J$64/100</f>
        <v>98578146.453966826</v>
      </c>
      <c r="L153" s="1298">
        <f>L208*ECO!K$64/100</f>
        <v>105601722.59006023</v>
      </c>
      <c r="M153" s="1298">
        <f>M208*ECO!L$64/100</f>
        <v>114754714.00019889</v>
      </c>
      <c r="N153" s="1298">
        <f>N208*ECO!M$64/100</f>
        <v>127091870.24950279</v>
      </c>
      <c r="O153" s="1298">
        <f>O208*ECO!N$64/100</f>
        <v>137331127.7607224</v>
      </c>
      <c r="P153" s="1298">
        <f>P208*ECO!O$64/100</f>
        <v>145458308.76349372</v>
      </c>
      <c r="Q153" s="1298">
        <f>Q208*ECO!P$64/100</f>
        <v>151651327.28108981</v>
      </c>
      <c r="R153" s="1298">
        <f>R208*ECO!Q$64/100</f>
        <v>156180726.05774868</v>
      </c>
      <c r="S153" s="232"/>
      <c r="U153" s="953"/>
    </row>
    <row r="154" spans="2:24" s="231" customFormat="1" ht="12.75">
      <c r="B154" s="942" t="s">
        <v>322</v>
      </c>
      <c r="C154" s="1300">
        <f>C209*ECO!B$64/100</f>
        <v>157942000.00000003</v>
      </c>
      <c r="D154" s="1298">
        <f>D209*ECO!C$64/100</f>
        <v>188229000</v>
      </c>
      <c r="E154" s="1298">
        <f>E209*ECO!D$64/100</f>
        <v>243264600</v>
      </c>
      <c r="F154" s="1298">
        <f>F209*ECO!E$64/100</f>
        <v>331531999.99999994</v>
      </c>
      <c r="G154" s="1298">
        <f>G209*ECO!F$64/100</f>
        <v>375321000</v>
      </c>
      <c r="H154" s="1298">
        <f>H209*ECO!G$64/100</f>
        <v>483367091.21737009</v>
      </c>
      <c r="I154" s="1298">
        <f>I209*ECO!H$64/100</f>
        <v>581189530.3125416</v>
      </c>
      <c r="J154" s="1298">
        <f>J209*ECO!I$64/100</f>
        <v>674977848.8945998</v>
      </c>
      <c r="K154" s="1298">
        <f>K209*ECO!J$64/100</f>
        <v>784890098.74856675</v>
      </c>
      <c r="L154" s="1298">
        <f>L209*ECO!K$64/100</f>
        <v>911090333.50243282</v>
      </c>
      <c r="M154" s="1298">
        <f>M209*ECO!L$64/100</f>
        <v>1053667468.7141075</v>
      </c>
      <c r="N154" s="1298">
        <f>N209*ECO!M$64/100</f>
        <v>1197900172.6138654</v>
      </c>
      <c r="O154" s="1298">
        <f>O209*ECO!N$64/100</f>
        <v>1356153297.8792675</v>
      </c>
      <c r="P154" s="1298">
        <f>P209*ECO!O$64/100</f>
        <v>1541101148.0202951</v>
      </c>
      <c r="Q154" s="1298">
        <f>Q209*ECO!P$64/100</f>
        <v>1752031702.2055969</v>
      </c>
      <c r="R154" s="1298">
        <f>R209*ECO!Q$64/100</f>
        <v>1992727586.8823824</v>
      </c>
      <c r="S154" s="232"/>
      <c r="U154" s="953"/>
    </row>
    <row r="155" spans="2:24" s="231" customFormat="1" ht="12.75">
      <c r="B155" s="959" t="s">
        <v>323</v>
      </c>
      <c r="C155" s="1300">
        <f>C210*ECO!B$64/100</f>
        <v>134282000.00000003</v>
      </c>
      <c r="D155" s="1298">
        <f>D210*ECO!C$64/100</f>
        <v>161948999.99999997</v>
      </c>
      <c r="E155" s="1298">
        <f>E210*ECO!D$64/100</f>
        <v>204955600.00000003</v>
      </c>
      <c r="F155" s="1298">
        <f>F210*ECO!E$64/100</f>
        <v>271057999.99999994</v>
      </c>
      <c r="G155" s="1298">
        <f>G210*ECO!F$64/100</f>
        <v>298281000</v>
      </c>
      <c r="H155" s="1298">
        <f>H210*ECO!G$64/100</f>
        <v>405538271.45056236</v>
      </c>
      <c r="I155" s="1298">
        <f>I210*ECO!H$64/100</f>
        <v>493740208.03384507</v>
      </c>
      <c r="J155" s="1298">
        <f>J210*ECO!I$64/100</f>
        <v>575646697.99731898</v>
      </c>
      <c r="K155" s="1298">
        <f>K210*ECO!J$64/100</f>
        <v>673650914.97477889</v>
      </c>
      <c r="L155" s="1298">
        <f>L210*ECO!K$64/100</f>
        <v>786666650.29815912</v>
      </c>
      <c r="M155" s="1298">
        <f>M210*ECO!L$64/100</f>
        <v>914589821.07411122</v>
      </c>
      <c r="N155" s="1298">
        <f>N210*ECO!M$64/100</f>
        <v>1039831399.961833</v>
      </c>
      <c r="O155" s="1298">
        <f>O210*ECO!N$64/100</f>
        <v>1180144060.0668802</v>
      </c>
      <c r="P155" s="1298">
        <f>P210*ECO!O$64/100</f>
        <v>1345130749.5406797</v>
      </c>
      <c r="Q155" s="1298">
        <f>Q210*ECO!P$64/100</f>
        <v>1533797935.0910561</v>
      </c>
      <c r="R155" s="1298">
        <f>R210*ECO!Q$64/100</f>
        <v>1749657051.2829263</v>
      </c>
      <c r="S155" s="232"/>
      <c r="U155" s="953"/>
    </row>
    <row r="156" spans="2:24" s="231" customFormat="1" ht="12.75">
      <c r="B156" s="959" t="s">
        <v>324</v>
      </c>
      <c r="C156" s="1300">
        <f>C211*ECO!B$64/100</f>
        <v>23660000</v>
      </c>
      <c r="D156" s="1298">
        <f>D211*ECO!C$64/100</f>
        <v>26280000</v>
      </c>
      <c r="E156" s="1298">
        <f>E211*ECO!D$64/100</f>
        <v>38309000</v>
      </c>
      <c r="F156" s="1298">
        <f>F211*ECO!E$64/100</f>
        <v>60474000</v>
      </c>
      <c r="G156" s="1298">
        <f>G211*ECO!F$64/100</f>
        <v>77040000</v>
      </c>
      <c r="H156" s="1298">
        <f>H211*ECO!G$64/100</f>
        <v>77828819.766807675</v>
      </c>
      <c r="I156" s="1298">
        <f>I211*ECO!H$64/100</f>
        <v>87449322.278696477</v>
      </c>
      <c r="J156" s="1298">
        <f>J211*ECO!I$64/100</f>
        <v>99331150.897280812</v>
      </c>
      <c r="K156" s="1298">
        <f>K211*ECO!J$64/100</f>
        <v>111239183.77378792</v>
      </c>
      <c r="L156" s="1298">
        <f>L211*ECO!K$64/100</f>
        <v>124423683.20427375</v>
      </c>
      <c r="M156" s="1298">
        <f>M211*ECO!L$64/100</f>
        <v>139077647.63999638</v>
      </c>
      <c r="N156" s="1298">
        <f>N211*ECO!M$64/100</f>
        <v>158068772.65203235</v>
      </c>
      <c r="O156" s="1298">
        <f>O211*ECO!N$64/100</f>
        <v>176009237.81238735</v>
      </c>
      <c r="P156" s="1298">
        <f>P211*ECO!O$64/100</f>
        <v>195970398.47961539</v>
      </c>
      <c r="Q156" s="1298">
        <f>Q211*ECO!P$64/100</f>
        <v>218233767.1145409</v>
      </c>
      <c r="R156" s="1298">
        <f>R211*ECO!Q$64/100</f>
        <v>243070535.59945622</v>
      </c>
      <c r="S156" s="232"/>
      <c r="U156" s="953"/>
    </row>
    <row r="157" spans="2:24" s="231" customFormat="1" ht="12.75">
      <c r="B157" s="942" t="s">
        <v>34</v>
      </c>
      <c r="C157" s="1300">
        <f>C212*ECO!B$64/100</f>
        <v>3789000</v>
      </c>
      <c r="D157" s="1298">
        <f>D212*ECO!C$64/100</f>
        <v>7897000</v>
      </c>
      <c r="E157" s="1298">
        <f>E212*ECO!D$64/100</f>
        <v>6011999.9999999991</v>
      </c>
      <c r="F157" s="1298">
        <f>F212*ECO!E$64/100</f>
        <v>9400000</v>
      </c>
      <c r="G157" s="1298">
        <f>G212*ECO!F$64/100</f>
        <v>6520000</v>
      </c>
      <c r="H157" s="1298">
        <f>H212*ECO!G$64/100</f>
        <v>5500000</v>
      </c>
      <c r="I157" s="1298">
        <f>I212*ECO!H$64/100</f>
        <v>5000000</v>
      </c>
      <c r="J157" s="1298">
        <f>J212*ECO!I$64/100</f>
        <v>5605284.7559661232</v>
      </c>
      <c r="K157" s="1298">
        <f>K212*ECO!J$64/100</f>
        <v>6179273.4782614065</v>
      </c>
      <c r="L157" s="1298">
        <f>L212*ECO!K$64/100</f>
        <v>6652101.6634016149</v>
      </c>
      <c r="M157" s="1298">
        <f>M212*ECO!L$64/100</f>
        <v>6976650.4950225698</v>
      </c>
      <c r="N157" s="1298">
        <f>N212*ECO!M$64/100</f>
        <v>7128685.2257680474</v>
      </c>
      <c r="O157" s="1298">
        <f>O212*ECO!N$64/100</f>
        <v>7271185.7714184737</v>
      </c>
      <c r="P157" s="1298">
        <f>P212*ECO!O$64/100</f>
        <v>7416491.2879752191</v>
      </c>
      <c r="Q157" s="1298">
        <f>Q212*ECO!P$64/100</f>
        <v>7567123.6315166559</v>
      </c>
      <c r="R157" s="1298">
        <f>R212*ECO!Q$64/100</f>
        <v>7723407.1360346666</v>
      </c>
      <c r="S157" s="232"/>
      <c r="U157" s="953"/>
    </row>
    <row r="158" spans="2:24" s="61" customFormat="1" ht="15" customHeight="1">
      <c r="B158" s="95" t="s">
        <v>327</v>
      </c>
      <c r="C158" s="955">
        <f>C157+C154+C153</f>
        <v>228289000.00000003</v>
      </c>
      <c r="D158" s="955">
        <f t="shared" ref="D158:R158" si="25">D157+D154+D153</f>
        <v>279472000</v>
      </c>
      <c r="E158" s="955">
        <f t="shared" si="25"/>
        <v>327910600</v>
      </c>
      <c r="F158" s="955">
        <f t="shared" si="25"/>
        <v>430534999.99999994</v>
      </c>
      <c r="G158" s="955">
        <f t="shared" si="25"/>
        <v>442341000</v>
      </c>
      <c r="H158" s="955">
        <f t="shared" si="25"/>
        <v>557986681.45034456</v>
      </c>
      <c r="I158" s="955">
        <f t="shared" si="25"/>
        <v>669005206.87984276</v>
      </c>
      <c r="J158" s="955">
        <f t="shared" si="25"/>
        <v>773892538.63292456</v>
      </c>
      <c r="K158" s="955">
        <f t="shared" si="25"/>
        <v>889647518.68079495</v>
      </c>
      <c r="L158" s="955">
        <f t="shared" si="25"/>
        <v>1023344157.7558947</v>
      </c>
      <c r="M158" s="955">
        <f t="shared" si="25"/>
        <v>1175398833.2093289</v>
      </c>
      <c r="N158" s="955">
        <f t="shared" si="25"/>
        <v>1332120728.0891364</v>
      </c>
      <c r="O158" s="955">
        <f t="shared" si="25"/>
        <v>1500755611.4114084</v>
      </c>
      <c r="P158" s="955">
        <f t="shared" si="25"/>
        <v>1693975948.0717642</v>
      </c>
      <c r="Q158" s="955">
        <f t="shared" si="25"/>
        <v>1911250153.1182034</v>
      </c>
      <c r="R158" s="955">
        <f t="shared" si="25"/>
        <v>2156631720.0761657</v>
      </c>
      <c r="S158" s="308">
        <f>R158/ECO!Q64</f>
        <v>0.27857958701276569</v>
      </c>
      <c r="T158" s="396"/>
      <c r="U158" s="96"/>
      <c r="V158" s="231"/>
      <c r="W158" s="231"/>
      <c r="X158" s="231"/>
    </row>
    <row r="159" spans="2:24" s="61" customFormat="1" ht="15" customHeight="1">
      <c r="B159" s="395" t="s">
        <v>647</v>
      </c>
      <c r="C159" s="1301">
        <f>C277</f>
        <v>262697000</v>
      </c>
      <c r="D159" s="1301">
        <f t="shared" ref="D159:R159" si="26">D277</f>
        <v>308058000</v>
      </c>
      <c r="E159" s="1301">
        <f t="shared" si="26"/>
        <v>368000000</v>
      </c>
      <c r="F159" s="1301">
        <f t="shared" si="26"/>
        <v>474300000</v>
      </c>
      <c r="G159" s="1301">
        <f t="shared" si="26"/>
        <v>0</v>
      </c>
      <c r="H159" s="1301">
        <f t="shared" si="26"/>
        <v>615876414.00400448</v>
      </c>
      <c r="I159" s="1301">
        <f t="shared" si="26"/>
        <v>685165401.60587716</v>
      </c>
      <c r="J159" s="1301">
        <f t="shared" si="26"/>
        <v>762249725.56700397</v>
      </c>
      <c r="K159" s="1301">
        <f t="shared" si="26"/>
        <v>848006397.82040751</v>
      </c>
      <c r="L159" s="1301">
        <f t="shared" si="26"/>
        <v>943411098.25841594</v>
      </c>
      <c r="M159" s="1301">
        <f t="shared" si="26"/>
        <v>1049549275.3412479</v>
      </c>
      <c r="N159" s="1301">
        <f t="shared" si="26"/>
        <v>1178012845.3441195</v>
      </c>
      <c r="O159" s="1301">
        <f t="shared" si="26"/>
        <v>1322200201.9338734</v>
      </c>
      <c r="P159" s="1301">
        <f t="shared" si="26"/>
        <v>1484035917.6926374</v>
      </c>
      <c r="Q159" s="1301">
        <f t="shared" si="26"/>
        <v>1665680130.5737317</v>
      </c>
      <c r="R159" s="1301">
        <f t="shared" si="26"/>
        <v>1869557376.8200104</v>
      </c>
      <c r="S159" s="308" t="s">
        <v>658</v>
      </c>
      <c r="T159" s="396"/>
      <c r="U159" s="96"/>
      <c r="V159" s="231"/>
      <c r="W159" s="231"/>
      <c r="X159" s="231"/>
    </row>
    <row r="160" spans="2:24" s="61" customFormat="1" ht="15" customHeight="1">
      <c r="B160" s="960" t="s">
        <v>579</v>
      </c>
      <c r="C160" s="1302">
        <f t="shared" ref="C160:H160" si="27">C158</f>
        <v>228289000.00000003</v>
      </c>
      <c r="D160" s="1302">
        <f t="shared" si="27"/>
        <v>279472000</v>
      </c>
      <c r="E160" s="1302">
        <f t="shared" si="27"/>
        <v>327910600</v>
      </c>
      <c r="F160" s="1302">
        <f t="shared" si="27"/>
        <v>430534999.99999994</v>
      </c>
      <c r="G160" s="1302">
        <f t="shared" si="27"/>
        <v>442341000</v>
      </c>
      <c r="H160" s="1302">
        <f t="shared" si="27"/>
        <v>557986681.45034456</v>
      </c>
      <c r="I160" s="1302">
        <f t="shared" ref="I160:R160" si="28">I158</f>
        <v>669005206.87984276</v>
      </c>
      <c r="J160" s="1302">
        <f t="shared" si="28"/>
        <v>773892538.63292456</v>
      </c>
      <c r="K160" s="1302">
        <f t="shared" si="28"/>
        <v>889647518.68079495</v>
      </c>
      <c r="L160" s="1302">
        <f t="shared" si="28"/>
        <v>1023344157.7558947</v>
      </c>
      <c r="M160" s="1302">
        <f t="shared" si="28"/>
        <v>1175398833.2093289</v>
      </c>
      <c r="N160" s="1302">
        <f t="shared" si="28"/>
        <v>1332120728.0891364</v>
      </c>
      <c r="O160" s="1302">
        <f t="shared" si="28"/>
        <v>1500755611.4114084</v>
      </c>
      <c r="P160" s="1302">
        <f t="shared" si="28"/>
        <v>1693975948.0717642</v>
      </c>
      <c r="Q160" s="1302">
        <f t="shared" si="28"/>
        <v>1911250153.1182034</v>
      </c>
      <c r="R160" s="1302">
        <f t="shared" si="28"/>
        <v>2156631720.0761657</v>
      </c>
      <c r="S160" s="308"/>
      <c r="T160" s="270"/>
      <c r="U160" s="96"/>
      <c r="V160" s="61">
        <f>POWER(M160/H160,1/5)</f>
        <v>1.1606794211600566</v>
      </c>
      <c r="W160" s="61">
        <f>POWER(M160/D160,1/9)</f>
        <v>1.1730494711158084</v>
      </c>
      <c r="X160" s="231"/>
    </row>
    <row r="161" spans="2:23" s="61" customFormat="1" ht="15" customHeight="1" thickBot="1">
      <c r="B161" s="307" t="s">
        <v>208</v>
      </c>
      <c r="C161" s="1303">
        <f>C160/ECO!B$64*100</f>
        <v>27.202804216129017</v>
      </c>
      <c r="D161" s="1303">
        <f>D160/ECO!C$64*100</f>
        <v>28.685419264779089</v>
      </c>
      <c r="E161" s="1303">
        <f>E160/ECO!D$64*100</f>
        <v>28.670647506433184</v>
      </c>
      <c r="F161" s="1303">
        <f>F160/ECO!E$64*100</f>
        <v>28.991514021863406</v>
      </c>
      <c r="G161" s="1303">
        <f>G160/ECO!F$64*100</f>
        <v>26.672933792976195</v>
      </c>
      <c r="H161" s="1303">
        <f>H160/ECO!G$64*100</f>
        <v>28.168148345810973</v>
      </c>
      <c r="I161" s="1303">
        <f>I160/ECO!H$64*100</f>
        <v>27.785370193542818</v>
      </c>
      <c r="J161" s="1303">
        <f>J160/ECO!I$64*100</f>
        <v>28.097375064699335</v>
      </c>
      <c r="K161" s="1303">
        <f>K160/ECO!J$64*100</f>
        <v>28.127721801650978</v>
      </c>
      <c r="L161" s="1303">
        <f>L160/ECO!K$64*100</f>
        <v>28.251706955473736</v>
      </c>
      <c r="M161" s="1303">
        <f>M160/ECO!L$64*100</f>
        <v>28.464789194191749</v>
      </c>
      <c r="N161" s="1303">
        <f>N160/ECO!M$64*100</f>
        <v>28.414913649480795</v>
      </c>
      <c r="O161" s="1303">
        <f>O160/ECO!N$64*100</f>
        <v>28.246161487449001</v>
      </c>
      <c r="P161" s="1303">
        <f>P160/ECO!O$64*100</f>
        <v>28.132346678303104</v>
      </c>
      <c r="Q161" s="1303">
        <f>Q160/ECO!P$64*100</f>
        <v>27.997962335889031</v>
      </c>
      <c r="R161" s="1303">
        <f>R160/ECO!Q$64*100</f>
        <v>27.857958701276569</v>
      </c>
      <c r="S161" s="715"/>
      <c r="T161" s="271"/>
      <c r="U161" s="231"/>
      <c r="V161" s="61">
        <f>POWER(M162/H162,1/5)</f>
        <v>0.9814301162481508</v>
      </c>
      <c r="W161" s="61">
        <f>POWER(M162/D162,1/9)</f>
        <v>0.99294080439375598</v>
      </c>
    </row>
    <row r="162" spans="2:23" s="336" customFormat="1" ht="15" customHeight="1">
      <c r="B162" s="364" t="s">
        <v>595</v>
      </c>
      <c r="C162" s="966"/>
      <c r="D162" s="967">
        <f>D160/C160</f>
        <v>1.2242026554060861</v>
      </c>
      <c r="E162" s="967">
        <f t="shared" ref="E162:R162" si="29">E160/D160</f>
        <v>1.1733218354611554</v>
      </c>
      <c r="F162" s="967">
        <f t="shared" si="29"/>
        <v>1.3129645702212736</v>
      </c>
      <c r="G162" s="967">
        <f t="shared" si="29"/>
        <v>1.027421696261628</v>
      </c>
      <c r="H162" s="967">
        <f t="shared" si="29"/>
        <v>1.2614401139626319</v>
      </c>
      <c r="I162" s="967">
        <f t="shared" si="29"/>
        <v>1.1989626797918076</v>
      </c>
      <c r="J162" s="967">
        <f t="shared" si="29"/>
        <v>1.1567810394813864</v>
      </c>
      <c r="K162" s="967">
        <f t="shared" si="29"/>
        <v>1.1495750046283566</v>
      </c>
      <c r="L162" s="967">
        <f t="shared" si="29"/>
        <v>1.1502804608204276</v>
      </c>
      <c r="M162" s="967">
        <f t="shared" si="29"/>
        <v>1.1485860590506296</v>
      </c>
      <c r="N162" s="967">
        <f t="shared" si="29"/>
        <v>1.1333350778066467</v>
      </c>
      <c r="O162" s="967">
        <f t="shared" si="29"/>
        <v>1.1265912914396061</v>
      </c>
      <c r="P162" s="967">
        <f t="shared" si="29"/>
        <v>1.1287487017813904</v>
      </c>
      <c r="Q162" s="967">
        <f t="shared" si="29"/>
        <v>1.1282628630552638</v>
      </c>
      <c r="R162" s="967">
        <f t="shared" si="29"/>
        <v>1.1283879907387437</v>
      </c>
      <c r="S162" s="399"/>
    </row>
    <row r="163" spans="2:23" s="336" customFormat="1" ht="15" customHeight="1">
      <c r="B163" s="364" t="s">
        <v>598</v>
      </c>
      <c r="C163" s="966"/>
      <c r="D163" s="967">
        <f>D190/C190</f>
        <v>1.0998740638608924</v>
      </c>
      <c r="E163" s="967">
        <f t="shared" ref="E163:R163" si="30">E190/D190</f>
        <v>1.268114724076798</v>
      </c>
      <c r="F163" s="967">
        <f t="shared" si="30"/>
        <v>1.2559473841081397</v>
      </c>
      <c r="G163" s="967">
        <f t="shared" si="30"/>
        <v>1.3194094155903584</v>
      </c>
      <c r="H163" s="967">
        <f t="shared" si="30"/>
        <v>1.1581950055949819</v>
      </c>
      <c r="I163" s="967">
        <f t="shared" si="30"/>
        <v>1.1149719087205126</v>
      </c>
      <c r="J163" s="967">
        <f t="shared" si="30"/>
        <v>1.1486909254503279</v>
      </c>
      <c r="K163" s="967">
        <f t="shared" si="30"/>
        <v>1.1424888832496225</v>
      </c>
      <c r="L163" s="967">
        <f t="shared" si="30"/>
        <v>1.1419481739978568</v>
      </c>
      <c r="M163" s="967">
        <f t="shared" si="30"/>
        <v>1.1364358328965811</v>
      </c>
      <c r="N163" s="967">
        <f t="shared" si="30"/>
        <v>1.1299489740241557</v>
      </c>
      <c r="O163" s="967">
        <f t="shared" si="30"/>
        <v>1.1304975623479889</v>
      </c>
      <c r="P163" s="967">
        <f t="shared" si="30"/>
        <v>1.1277693462589882</v>
      </c>
      <c r="Q163" s="967">
        <f t="shared" si="30"/>
        <v>1.1283730467824435</v>
      </c>
      <c r="R163" s="967">
        <f t="shared" si="30"/>
        <v>1.1288176430487202</v>
      </c>
      <c r="S163" s="399"/>
    </row>
    <row r="164" spans="2:23" s="336" customFormat="1" ht="15" customHeight="1">
      <c r="B164" s="364" t="s">
        <v>596</v>
      </c>
      <c r="C164" s="966"/>
      <c r="D164" s="967">
        <f>ECO!C64/ECO!B64</f>
        <v>1.1609293504998899</v>
      </c>
      <c r="E164" s="967">
        <f>ECO!D64/ECO!C64</f>
        <v>1.173926357092957</v>
      </c>
      <c r="F164" s="967">
        <f>ECO!E64/ECO!D64</f>
        <v>1.2984332019659786</v>
      </c>
      <c r="G164" s="967">
        <f>ECO!F64/ECO!E64</f>
        <v>1.1167316930610529</v>
      </c>
      <c r="H164" s="967">
        <f>ECO!G64/ECO!F64</f>
        <v>1.19448066768412</v>
      </c>
      <c r="I164" s="967">
        <f>ECO!H64/ECO!G64</f>
        <v>1.2154798870851562</v>
      </c>
      <c r="J164" s="967">
        <f>ECO!I64/ECO!H64</f>
        <v>1.143935664482882</v>
      </c>
      <c r="K164" s="967">
        <f>ECO!J64/ECO!I64</f>
        <v>1.1483347388678502</v>
      </c>
      <c r="L164" s="967">
        <f>ECO!K64/ECO!J64</f>
        <v>1.1452323516885117</v>
      </c>
      <c r="M164" s="967">
        <f>ECO!L64/ECO!K64</f>
        <v>1.1399879525565635</v>
      </c>
      <c r="N164" s="967">
        <f>ECO!M64/ECO!L64</f>
        <v>1.135324374872368</v>
      </c>
      <c r="O164" s="967">
        <f>ECO!N64/ECO!M64</f>
        <v>1.1333219304413373</v>
      </c>
      <c r="P164" s="967">
        <f>ECO!O64/ECO!N64</f>
        <v>1.133315271344036</v>
      </c>
      <c r="Q164" s="967">
        <f>ECO!P64/ECO!O64</f>
        <v>1.1336782879745102</v>
      </c>
      <c r="R164" s="967">
        <f>ECO!Q64/ECO!P64</f>
        <v>1.1340588448616353</v>
      </c>
      <c r="S164" s="399"/>
    </row>
    <row r="165" spans="2:23" s="336" customFormat="1" ht="15" customHeight="1">
      <c r="B165" s="364" t="s">
        <v>638</v>
      </c>
      <c r="C165" s="966"/>
      <c r="D165" s="967">
        <f>D162/D164</f>
        <v>1.0545022872226901</v>
      </c>
      <c r="E165" s="967">
        <f t="shared" ref="E165:R165" si="31">E162/E164</f>
        <v>0.9994850429687101</v>
      </c>
      <c r="F165" s="967">
        <f t="shared" si="31"/>
        <v>1.0111914638606689</v>
      </c>
      <c r="G165" s="967">
        <f t="shared" si="31"/>
        <v>0.92002555550777032</v>
      </c>
      <c r="H165" s="967">
        <f t="shared" si="31"/>
        <v>1.0560573712828136</v>
      </c>
      <c r="I165" s="967">
        <f t="shared" si="31"/>
        <v>0.98641095795261691</v>
      </c>
      <c r="J165" s="967">
        <f t="shared" si="31"/>
        <v>1.0112291061441041</v>
      </c>
      <c r="K165" s="967">
        <f t="shared" si="31"/>
        <v>1.0010800559440789</v>
      </c>
      <c r="L165" s="967">
        <f t="shared" si="31"/>
        <v>1.0044079344462047</v>
      </c>
      <c r="M165" s="967">
        <f t="shared" si="31"/>
        <v>1.0075422783852968</v>
      </c>
      <c r="N165" s="967">
        <f t="shared" si="31"/>
        <v>0.99824781612220292</v>
      </c>
      <c r="O165" s="967">
        <f t="shared" si="31"/>
        <v>0.99406114112773747</v>
      </c>
      <c r="P165" s="967">
        <f t="shared" si="31"/>
        <v>0.99597060969872053</v>
      </c>
      <c r="Q165" s="967">
        <f t="shared" si="31"/>
        <v>0.99522313783664151</v>
      </c>
      <c r="R165" s="967">
        <f t="shared" si="31"/>
        <v>0.99499950628789158</v>
      </c>
      <c r="S165" s="399"/>
    </row>
    <row r="166" spans="2:23" s="336" customFormat="1" ht="15" customHeight="1">
      <c r="B166" s="364" t="s">
        <v>639</v>
      </c>
      <c r="C166" s="966"/>
      <c r="D166" s="967">
        <f>D163/D164</f>
        <v>0.94740826682286272</v>
      </c>
      <c r="E166" s="967">
        <f t="shared" ref="E166:M166" si="32">E163/E164</f>
        <v>1.0802336248903071</v>
      </c>
      <c r="F166" s="967">
        <f t="shared" si="32"/>
        <v>0.9672791655408145</v>
      </c>
      <c r="G166" s="967">
        <f t="shared" si="32"/>
        <v>1.1814918693439687</v>
      </c>
      <c r="H166" s="967">
        <f t="shared" si="32"/>
        <v>0.96962222740742265</v>
      </c>
      <c r="I166" s="967">
        <f t="shared" si="32"/>
        <v>0.91731004401424365</v>
      </c>
      <c r="J166" s="967">
        <f t="shared" si="32"/>
        <v>1.0041569304245757</v>
      </c>
      <c r="K166" s="967">
        <f t="shared" si="32"/>
        <v>0.99490927564902276</v>
      </c>
      <c r="L166" s="967">
        <f t="shared" si="32"/>
        <v>0.99713230447444767</v>
      </c>
      <c r="M166" s="967">
        <f t="shared" si="32"/>
        <v>0.99688407263250778</v>
      </c>
      <c r="N166" s="967">
        <f>M166</f>
        <v>0.99688407263250778</v>
      </c>
      <c r="O166" s="967">
        <f>N166</f>
        <v>0.99688407263250778</v>
      </c>
      <c r="P166" s="967">
        <f>O166</f>
        <v>0.99688407263250778</v>
      </c>
      <c r="Q166" s="967">
        <f>P166</f>
        <v>0.99688407263250778</v>
      </c>
      <c r="R166" s="967">
        <f>Q166</f>
        <v>0.99688407263250778</v>
      </c>
      <c r="S166" s="399"/>
    </row>
    <row r="167" spans="2:23" s="336" customFormat="1" ht="15" customHeight="1">
      <c r="B167" s="364" t="s">
        <v>597</v>
      </c>
      <c r="C167" s="966"/>
      <c r="D167" s="967">
        <f>ECO!C58/ECO!B58</f>
        <v>1.08228999839426</v>
      </c>
      <c r="E167" s="967">
        <f>ECO!D58/ECO!C58</f>
        <v>1.084560064300045</v>
      </c>
      <c r="F167" s="967">
        <f>ECO!E58/ECO!D58</f>
        <v>1.0631117163428285</v>
      </c>
      <c r="G167" s="967">
        <f>ECO!F58/ECO!E58</f>
        <v>1.0532292180710212</v>
      </c>
      <c r="H167" s="967">
        <f>ECO!G58/ECO!F58</f>
        <v>1.067838897560424</v>
      </c>
      <c r="I167" s="967">
        <f>ECO!H58/ECO!G58</f>
        <v>1.0625871301131673</v>
      </c>
      <c r="J167" s="967">
        <f>ECO!I58/ECO!H58</f>
        <v>1.0675153613174722</v>
      </c>
      <c r="K167" s="967">
        <f>ECO!J58/ECO!I58</f>
        <v>1.0722509306509207</v>
      </c>
      <c r="L167" s="967">
        <f>ECO!K58/ECO!J58</f>
        <v>1.0743451848840726</v>
      </c>
      <c r="M167" s="967">
        <f>ECO!L58/ECO!K58</f>
        <v>1.0749491838216165</v>
      </c>
      <c r="N167" s="967">
        <f>ECO!M58/ECO!L58</f>
        <v>1.0749491838216161</v>
      </c>
      <c r="O167" s="967">
        <f>ECO!N58/ECO!M58</f>
        <v>1.0749491838216159</v>
      </c>
      <c r="P167" s="967">
        <f>ECO!O58/ECO!N58</f>
        <v>1.0749491838216152</v>
      </c>
      <c r="Q167" s="967">
        <f>ECO!P58/ECO!O58</f>
        <v>1.0749491838216207</v>
      </c>
      <c r="R167" s="967">
        <f>ECO!Q58/ECO!P58</f>
        <v>1.074949183821607</v>
      </c>
      <c r="S167" s="399"/>
    </row>
    <row r="168" spans="2:23" s="231" customFormat="1" ht="15" customHeight="1">
      <c r="B168" s="364" t="s">
        <v>657</v>
      </c>
      <c r="C168" s="968">
        <f>C159/ECO!B$64*100</f>
        <v>31.302844461031604</v>
      </c>
      <c r="D168" s="968">
        <f>D159/ECO!C$64*100</f>
        <v>31.619528567689485</v>
      </c>
      <c r="E168" s="968">
        <f>E159/ECO!D$64*100</f>
        <v>32.175837811792029</v>
      </c>
      <c r="F168" s="968">
        <f>F159/ECO!E$64*100</f>
        <v>31.938576655950889</v>
      </c>
      <c r="G168" s="968">
        <f>G159/ECO!F$64*100</f>
        <v>0</v>
      </c>
      <c r="H168" s="968">
        <f>H159/ECO!G$64*100</f>
        <v>31.090523786802436</v>
      </c>
      <c r="I168" s="968">
        <f>I159/ECO!H$64*100</f>
        <v>28.45654134175669</v>
      </c>
      <c r="J168" s="968">
        <f>J159/ECO!I$64*100</f>
        <v>27.674664585930241</v>
      </c>
      <c r="K168" s="968">
        <f>K159/ECO!J$64*100</f>
        <v>26.811166830748896</v>
      </c>
      <c r="L168" s="968">
        <f>L159/ECO!K$64*100</f>
        <v>26.044975861284126</v>
      </c>
      <c r="M168" s="968">
        <f>M159/ECO!L$64*100</f>
        <v>25.417073785868567</v>
      </c>
      <c r="N168" s="968">
        <f>N159/ECO!M$64*100</f>
        <v>25.127702446645312</v>
      </c>
      <c r="O168" s="968">
        <f>O159/ECO!N$64*100</f>
        <v>24.885517760908613</v>
      </c>
      <c r="P168" s="968">
        <f>P159/ECO!O$64*100</f>
        <v>24.645812100877762</v>
      </c>
      <c r="Q168" s="968">
        <f>Q159/ECO!P$64*100</f>
        <v>24.40059951511634</v>
      </c>
      <c r="R168" s="968">
        <f>R159/ECO!Q$64*100</f>
        <v>24.149720004711529</v>
      </c>
      <c r="S168" s="232"/>
    </row>
    <row r="169" spans="2:23" s="231" customFormat="1" ht="15" customHeight="1">
      <c r="B169" s="364"/>
      <c r="C169" s="966"/>
      <c r="D169" s="967">
        <f t="shared" ref="D169:M169" si="33">D164*D168</f>
        <v>36.70803876320047</v>
      </c>
      <c r="E169" s="967">
        <f t="shared" si="33"/>
        <v>37.772064068810835</v>
      </c>
      <c r="F169" s="967">
        <f t="shared" si="33"/>
        <v>41.470108353622166</v>
      </c>
      <c r="G169" s="967">
        <f t="shared" si="33"/>
        <v>0</v>
      </c>
      <c r="H169" s="967">
        <f t="shared" si="33"/>
        <v>37.137029611508787</v>
      </c>
      <c r="I169" s="967">
        <f t="shared" si="33"/>
        <v>34.588353656912503</v>
      </c>
      <c r="J169" s="967">
        <f t="shared" si="33"/>
        <v>31.65803582244699</v>
      </c>
      <c r="K169" s="967">
        <f t="shared" si="33"/>
        <v>30.7881942613304</v>
      </c>
      <c r="L169" s="967">
        <f t="shared" si="33"/>
        <v>29.82754895528894</v>
      </c>
      <c r="M169" s="967">
        <f t="shared" si="33"/>
        <v>28.975157905131411</v>
      </c>
      <c r="N169" s="967">
        <f>N184/M198</f>
        <v>1.9854141653485164E-2</v>
      </c>
      <c r="O169" s="967"/>
      <c r="P169" s="967"/>
      <c r="Q169" s="967"/>
      <c r="R169" s="967"/>
      <c r="S169" s="232"/>
    </row>
    <row r="170" spans="2:23" ht="15" customHeight="1">
      <c r="B170" s="1000" t="s">
        <v>44</v>
      </c>
      <c r="C170" s="1004"/>
      <c r="D170" s="1004">
        <f t="shared" ref="D170:R170" si="34">((-D194-((D194)^2+4*C240*D240)^0.5)/(2*C240))^2-1</f>
        <v>0.19766962865321469</v>
      </c>
      <c r="E170" s="1004">
        <f t="shared" si="34"/>
        <v>0.20656072517660728</v>
      </c>
      <c r="F170" s="1004">
        <f t="shared" si="34"/>
        <v>0.24707518044444421</v>
      </c>
      <c r="G170" s="1004">
        <f t="shared" si="34"/>
        <v>0.12347701538480749</v>
      </c>
      <c r="H170" s="1004">
        <f t="shared" si="34"/>
        <v>0.10773036976982397</v>
      </c>
      <c r="I170" s="1004">
        <f t="shared" si="34"/>
        <v>0.12499220506497322</v>
      </c>
      <c r="J170" s="1004">
        <f t="shared" si="34"/>
        <v>8.5205438024781088E-2</v>
      </c>
      <c r="K170" s="1004">
        <f t="shared" si="34"/>
        <v>8.2188450645799715E-2</v>
      </c>
      <c r="L170" s="1004">
        <f t="shared" si="34"/>
        <v>7.8149380446612904E-2</v>
      </c>
      <c r="M170" s="1004">
        <f t="shared" si="34"/>
        <v>7.4378811015981094E-2</v>
      </c>
      <c r="N170" s="1004">
        <f t="shared" si="34"/>
        <v>6.9712393287663543E-2</v>
      </c>
      <c r="O170" s="1004">
        <f t="shared" si="34"/>
        <v>6.7480772449221238E-2</v>
      </c>
      <c r="P170" s="1004">
        <f t="shared" si="34"/>
        <v>6.7704468530887629E-2</v>
      </c>
      <c r="Q170" s="1004">
        <f t="shared" si="34"/>
        <v>6.8398275763616123E-2</v>
      </c>
      <c r="R170" s="1004">
        <f t="shared" si="34"/>
        <v>7.2685469118821899E-2</v>
      </c>
    </row>
    <row r="171" spans="2:23" ht="15" customHeight="1">
      <c r="B171" s="644"/>
      <c r="C171" s="1517" t="s">
        <v>730</v>
      </c>
      <c r="D171" s="1518"/>
      <c r="E171" s="1518"/>
      <c r="F171" s="1518"/>
      <c r="G171" s="1518"/>
      <c r="H171" s="1518"/>
      <c r="I171" s="1517" t="s">
        <v>734</v>
      </c>
      <c r="J171" s="1518"/>
      <c r="K171" s="1518"/>
      <c r="L171" s="1518"/>
      <c r="M171" s="1518"/>
      <c r="N171" s="1518"/>
      <c r="O171" s="1518"/>
      <c r="P171" s="1518"/>
      <c r="Q171" s="1518"/>
      <c r="R171" s="1519"/>
      <c r="S171" s="1520" t="s">
        <v>744</v>
      </c>
      <c r="T171" s="645"/>
    </row>
    <row r="172" spans="2:23" ht="15" customHeight="1">
      <c r="B172" s="973" t="s">
        <v>764</v>
      </c>
      <c r="C172" s="974">
        <v>2005</v>
      </c>
      <c r="D172" s="975">
        <v>2006</v>
      </c>
      <c r="E172" s="975">
        <v>2007</v>
      </c>
      <c r="F172" s="975">
        <v>2008</v>
      </c>
      <c r="G172" s="975">
        <v>2009</v>
      </c>
      <c r="H172" s="975">
        <v>2010</v>
      </c>
      <c r="I172" s="974">
        <v>2011</v>
      </c>
      <c r="J172" s="975">
        <v>2012</v>
      </c>
      <c r="K172" s="975">
        <v>2013</v>
      </c>
      <c r="L172" s="975">
        <v>2014</v>
      </c>
      <c r="M172" s="975">
        <v>2015</v>
      </c>
      <c r="N172" s="975">
        <v>2016</v>
      </c>
      <c r="O172" s="975">
        <v>2017</v>
      </c>
      <c r="P172" s="975">
        <v>2018</v>
      </c>
      <c r="Q172" s="975">
        <v>2019</v>
      </c>
      <c r="R172" s="976">
        <v>2020</v>
      </c>
      <c r="S172" s="1521"/>
      <c r="T172" s="649"/>
    </row>
    <row r="173" spans="2:23" s="61" customFormat="1" ht="15" customHeight="1">
      <c r="B173" s="977"/>
      <c r="C173" s="1005"/>
      <c r="D173" s="1005">
        <f t="shared" ref="D173:R173" si="35">((D240-0.5*D194)/(C240+0.5*D194))-1</f>
        <v>0.19774718665079627</v>
      </c>
      <c r="E173" s="1005">
        <f t="shared" si="35"/>
        <v>0.20637013965004591</v>
      </c>
      <c r="F173" s="1005">
        <f t="shared" si="35"/>
        <v>0.24706154294933547</v>
      </c>
      <c r="G173" s="1005">
        <f t="shared" si="35"/>
        <v>0.12315540055463092</v>
      </c>
      <c r="H173" s="1005">
        <f t="shared" si="35"/>
        <v>0.10757462859043021</v>
      </c>
      <c r="I173" s="1005">
        <f t="shared" si="35"/>
        <v>0.12489130637009471</v>
      </c>
      <c r="J173" s="1005">
        <f t="shared" si="35"/>
        <v>8.5166385664544819E-2</v>
      </c>
      <c r="K173" s="1005">
        <f t="shared" si="35"/>
        <v>8.2153052065433885E-2</v>
      </c>
      <c r="L173" s="1005">
        <f t="shared" si="35"/>
        <v>7.8119695272953482E-2</v>
      </c>
      <c r="M173" s="1005">
        <f t="shared" si="35"/>
        <v>7.4354859644916615E-2</v>
      </c>
      <c r="N173" s="1005">
        <f t="shared" si="35"/>
        <v>6.9691509870999369E-2</v>
      </c>
      <c r="O173" s="1005">
        <f t="shared" si="35"/>
        <v>6.7459793124598599E-2</v>
      </c>
      <c r="P173" s="1005">
        <f t="shared" si="35"/>
        <v>6.7683882109902838E-2</v>
      </c>
      <c r="Q173" s="1005">
        <f t="shared" si="35"/>
        <v>6.8377491157448622E-2</v>
      </c>
      <c r="R173" s="1005">
        <f t="shared" si="35"/>
        <v>7.2661972827730015E-2</v>
      </c>
      <c r="S173" s="74"/>
      <c r="U173" s="96"/>
    </row>
    <row r="174" spans="2:23" s="61" customFormat="1" ht="37.5" customHeight="1">
      <c r="B174" s="979"/>
      <c r="C174" s="978"/>
      <c r="D174" s="978"/>
      <c r="E174" s="978"/>
      <c r="F174" s="978"/>
      <c r="G174" s="978"/>
      <c r="H174" s="978"/>
      <c r="I174" s="978"/>
      <c r="J174" s="978"/>
      <c r="K174" s="978"/>
      <c r="L174" s="978"/>
      <c r="M174" s="978" t="s">
        <v>49</v>
      </c>
      <c r="N174" s="1005">
        <f>((-M194+(M194^2-4*(-M194-M200-M202)*M200)^0.5)/(2*M200))^2-1</f>
        <v>3.5772544267451023E-2</v>
      </c>
      <c r="O174" s="1005">
        <f>((-N194+(N194^2-4*(-N194-N200-N202)*N200)^0.5)/(2*N200))^2-1</f>
        <v>3.5764055706236197E-2</v>
      </c>
      <c r="P174" s="1005">
        <f>((-O194+(O194^2-4*(-O194-O200-O202)*O200)^0.5)/(2*O200))^2-1</f>
        <v>3.9482554626133703E-2</v>
      </c>
      <c r="Q174" s="1005">
        <f>((-P194+(P194^2-4*(-P194-P200-P202)*P200)^0.5)/(2*P200))^2-1</f>
        <v>3.6082950567854377E-2</v>
      </c>
      <c r="R174" s="1005">
        <f>((-Q194+(Q194^2-4*(-Q194-Q200-Q202)*Q200)^0.5)/(2*Q200))^2-1</f>
        <v>3.3566258486275702E-2</v>
      </c>
      <c r="S174" s="74"/>
      <c r="U174" s="96"/>
    </row>
    <row r="175" spans="2:23" s="94" customFormat="1" ht="15" customHeight="1">
      <c r="B175" s="950" t="s">
        <v>317</v>
      </c>
      <c r="C175" s="1283">
        <f t="shared" ref="C175:R175" si="36">C176+C180</f>
        <v>229092000</v>
      </c>
      <c r="D175" s="1283">
        <f t="shared" si="36"/>
        <v>268410000</v>
      </c>
      <c r="E175" s="1283">
        <f t="shared" si="36"/>
        <v>336120178.92699999</v>
      </c>
      <c r="F175" s="1283">
        <f t="shared" si="36"/>
        <v>411832000</v>
      </c>
      <c r="G175" s="1283">
        <f t="shared" si="36"/>
        <v>527342000</v>
      </c>
      <c r="H175" s="1283">
        <f t="shared" si="36"/>
        <v>595210000</v>
      </c>
      <c r="I175" s="1283">
        <f t="shared" si="36"/>
        <v>697162586.29371738</v>
      </c>
      <c r="J175" s="1283">
        <f t="shared" si="36"/>
        <v>803180635.53258502</v>
      </c>
      <c r="K175" s="1283">
        <f t="shared" si="36"/>
        <v>918895184.58336473</v>
      </c>
      <c r="L175" s="1283">
        <f t="shared" si="36"/>
        <v>1050968866.228873</v>
      </c>
      <c r="M175" s="1283">
        <f t="shared" si="36"/>
        <v>1194744771.6013904</v>
      </c>
      <c r="N175" s="1283">
        <f t="shared" si="36"/>
        <v>1350634916.2582059</v>
      </c>
      <c r="O175" s="1283">
        <f t="shared" si="36"/>
        <v>1527904250.5232294</v>
      </c>
      <c r="P175" s="1283">
        <f t="shared" si="36"/>
        <v>1725414438.1136374</v>
      </c>
      <c r="Q175" s="1283">
        <f t="shared" si="36"/>
        <v>1949492336.3591027</v>
      </c>
      <c r="R175" s="1283">
        <f t="shared" si="36"/>
        <v>2202564656.6452284</v>
      </c>
      <c r="S175" s="93"/>
      <c r="U175" s="121"/>
    </row>
    <row r="176" spans="2:23" s="61" customFormat="1" ht="15" customHeight="1">
      <c r="B176" s="980" t="s">
        <v>209</v>
      </c>
      <c r="C176" s="1284">
        <f>'IMF Data'!C39*1000</f>
        <v>149893000</v>
      </c>
      <c r="D176" s="1284">
        <f>'IMF Data'!D39*1000</f>
        <v>180069000</v>
      </c>
      <c r="E176" s="1284">
        <f>'IMF Data'!E39*1000</f>
        <v>231818678.92699999</v>
      </c>
      <c r="F176" s="1284">
        <f>'IMF Data'!F39*1000</f>
        <v>292370000</v>
      </c>
      <c r="G176" s="1284">
        <f>'IMF Data'!G39*1000</f>
        <v>347081000</v>
      </c>
      <c r="H176" s="1284">
        <f>'IMF Data'!H39*1000</f>
        <v>417059999.99999994</v>
      </c>
      <c r="I176" s="1284">
        <f>'IMF Data'!I39*1000</f>
        <v>525515590.32497692</v>
      </c>
      <c r="J176" s="1284">
        <f>'IMF Data'!J39*1000</f>
        <v>606827515.14259338</v>
      </c>
      <c r="K176" s="1284">
        <f>'IMF Data'!K39*1000</f>
        <v>693416075.35443616</v>
      </c>
      <c r="L176" s="1284">
        <f>'IMF Data'!L39*1000</f>
        <v>792742895.70999634</v>
      </c>
      <c r="M176" s="1284">
        <f>'IMF Data'!M39*1000</f>
        <v>900370276.17264462</v>
      </c>
      <c r="N176" s="1284">
        <f>'IMF Data'!N39*1000</f>
        <v>1019766481.6572067</v>
      </c>
      <c r="O176" s="1284">
        <f>'IMF Data'!O39*1000</f>
        <v>1156673602.0293624</v>
      </c>
      <c r="P176" s="1284">
        <f>'IMF Data'!P39*1000</f>
        <v>1313107502.2471693</v>
      </c>
      <c r="Q176" s="1284">
        <f>'IMF Data'!Q39*1000</f>
        <v>1491417383.6094513</v>
      </c>
      <c r="R176" s="1284">
        <f>'IMF Data'!R39*1000</f>
        <v>1693470383.9054167</v>
      </c>
      <c r="S176" s="74"/>
      <c r="U176" s="121"/>
    </row>
    <row r="177" spans="2:24" s="61" customFormat="1" ht="15" customHeight="1">
      <c r="B177" s="1001" t="s">
        <v>46</v>
      </c>
      <c r="C177" s="1284">
        <f>C176-C178</f>
        <v>143272000</v>
      </c>
      <c r="D177" s="1284">
        <f t="shared" ref="D177:R177" si="37">D176-D178</f>
        <v>172104000</v>
      </c>
      <c r="E177" s="1284">
        <f t="shared" si="37"/>
        <v>219158678.92699999</v>
      </c>
      <c r="F177" s="1284">
        <f t="shared" si="37"/>
        <v>275640000</v>
      </c>
      <c r="G177" s="1284">
        <f t="shared" si="37"/>
        <v>323201000</v>
      </c>
      <c r="H177" s="1284">
        <f t="shared" si="37"/>
        <v>391679999.99999994</v>
      </c>
      <c r="I177" s="1284">
        <f t="shared" si="37"/>
        <v>489755590.32497692</v>
      </c>
      <c r="J177" s="1284">
        <f t="shared" si="37"/>
        <v>560248886.65260875</v>
      </c>
      <c r="K177" s="1284">
        <f t="shared" si="37"/>
        <v>643353258.95522738</v>
      </c>
      <c r="L177" s="1284">
        <f t="shared" si="37"/>
        <v>736788965.7197628</v>
      </c>
      <c r="M177" s="1284">
        <f t="shared" si="37"/>
        <v>839930544.49714053</v>
      </c>
      <c r="N177" s="1284">
        <f t="shared" si="37"/>
        <v>953593620.36742365</v>
      </c>
      <c r="O177" s="1284">
        <f t="shared" si="37"/>
        <v>1080728562.6913521</v>
      </c>
      <c r="P177" s="1284">
        <f t="shared" si="37"/>
        <v>1224806184.2757998</v>
      </c>
      <c r="Q177" s="1284">
        <f t="shared" si="37"/>
        <v>1388536178.0903809</v>
      </c>
      <c r="R177" s="1284">
        <f t="shared" si="37"/>
        <v>1574681734.1737673</v>
      </c>
      <c r="S177" s="74"/>
      <c r="U177" s="121"/>
    </row>
    <row r="178" spans="2:24" s="61" customFormat="1" ht="15" customHeight="1">
      <c r="B178" s="1339" t="s">
        <v>1043</v>
      </c>
      <c r="C178" s="1340">
        <f>'IMF Data'!C40*1000</f>
        <v>6621000</v>
      </c>
      <c r="D178" s="1340">
        <f>'IMF Data'!D40*1000</f>
        <v>7965000</v>
      </c>
      <c r="E178" s="1340">
        <f>'IMF Data'!E40*1000</f>
        <v>12660000</v>
      </c>
      <c r="F178" s="1340">
        <f>'IMF Data'!F40*1000</f>
        <v>16730000</v>
      </c>
      <c r="G178" s="1340">
        <f>'IMF Data'!G40*1000</f>
        <v>23880000</v>
      </c>
      <c r="H178" s="1340">
        <f>'IMF Data'!H40*1000</f>
        <v>25380000</v>
      </c>
      <c r="I178" s="1340">
        <f>'IMF Data'!I40*1000</f>
        <v>35760000</v>
      </c>
      <c r="J178" s="1340">
        <f>'IMF Data'!J40*1000</f>
        <v>46578628.489984632</v>
      </c>
      <c r="K178" s="1340">
        <f>'IMF Data'!K40*1000</f>
        <v>50062816.399208806</v>
      </c>
      <c r="L178" s="1340">
        <f>'IMF Data'!L40*1000</f>
        <v>55953929.990233548</v>
      </c>
      <c r="M178" s="1340">
        <f>'IMF Data'!M40*1000</f>
        <v>60439731.675504081</v>
      </c>
      <c r="N178" s="1340">
        <f>'IMF Data'!N40*1000</f>
        <v>66172861.289782986</v>
      </c>
      <c r="O178" s="1340">
        <f>'IMF Data'!O40*1000</f>
        <v>75945039.338010356</v>
      </c>
      <c r="P178" s="1340">
        <f>'IMF Data'!P40*1000</f>
        <v>88301317.971369386</v>
      </c>
      <c r="Q178" s="1340">
        <f>'IMF Data'!Q40*1000</f>
        <v>102881205.51907033</v>
      </c>
      <c r="R178" s="1340">
        <f>'IMF Data'!R40*1000</f>
        <v>118788649.73164929</v>
      </c>
      <c r="S178" s="74"/>
      <c r="U178" s="121"/>
    </row>
    <row r="179" spans="2:24" s="61" customFormat="1" ht="17.25" customHeight="1">
      <c r="B179" s="981"/>
      <c r="C179" s="1285"/>
      <c r="D179" s="1285"/>
      <c r="E179" s="1285"/>
      <c r="F179" s="1285"/>
      <c r="G179" s="1285"/>
      <c r="H179" s="1285"/>
      <c r="I179" s="1285"/>
      <c r="J179" s="1285"/>
      <c r="K179" s="1285"/>
      <c r="L179" s="1285"/>
      <c r="M179" s="1285"/>
      <c r="N179" s="1285"/>
      <c r="O179" s="1285"/>
      <c r="P179" s="1285"/>
      <c r="Q179" s="1285"/>
      <c r="R179" s="1285"/>
      <c r="S179" s="74"/>
      <c r="U179" s="121"/>
    </row>
    <row r="180" spans="2:24" s="61" customFormat="1" ht="15" customHeight="1">
      <c r="B180" s="982" t="s">
        <v>318</v>
      </c>
      <c r="C180" s="1286">
        <f>'IMF Data'!C41*1000</f>
        <v>79199000</v>
      </c>
      <c r="D180" s="1286">
        <f>'IMF Data'!D41*1000</f>
        <v>88341000</v>
      </c>
      <c r="E180" s="1286">
        <f>'IMF Data'!E41*1000</f>
        <v>104301500</v>
      </c>
      <c r="F180" s="1286">
        <f>'IMF Data'!F41*1000</f>
        <v>119462000</v>
      </c>
      <c r="G180" s="1286">
        <f>'IMF Data'!G41*1000</f>
        <v>180261000</v>
      </c>
      <c r="H180" s="1286">
        <f>'IMF Data'!H41*1000</f>
        <v>178150000</v>
      </c>
      <c r="I180" s="1286">
        <f>'IMF Data'!I41*1000</f>
        <v>171646995.9687404</v>
      </c>
      <c r="J180" s="1286">
        <f>'IMF Data'!J41*1000</f>
        <v>196353120.38999164</v>
      </c>
      <c r="K180" s="1286">
        <f>'IMF Data'!K41*1000</f>
        <v>225479109.2289286</v>
      </c>
      <c r="L180" s="1286">
        <f>'IMF Data'!L41*1000</f>
        <v>258225970.51887664</v>
      </c>
      <c r="M180" s="1286">
        <f>'IMF Data'!M41*1000</f>
        <v>294374495.42874569</v>
      </c>
      <c r="N180" s="1286">
        <f>'IMF Data'!N41*1000</f>
        <v>330868434.60099936</v>
      </c>
      <c r="O180" s="1286">
        <f>'IMF Data'!O41*1000</f>
        <v>371230648.49386686</v>
      </c>
      <c r="P180" s="1286">
        <f>'IMF Data'!P41*1000</f>
        <v>412306935.86646819</v>
      </c>
      <c r="Q180" s="1286">
        <f>'IMF Data'!Q41*1000</f>
        <v>458074952.74965155</v>
      </c>
      <c r="R180" s="1286">
        <f>'IMF Data'!R41*1000</f>
        <v>509094272.73981166</v>
      </c>
      <c r="S180" s="74"/>
      <c r="U180" s="121"/>
    </row>
    <row r="181" spans="2:24" s="61" customFormat="1" ht="8.25" customHeight="1">
      <c r="B181" s="983"/>
      <c r="C181" s="1285"/>
      <c r="D181" s="1285"/>
      <c r="E181" s="1285"/>
      <c r="F181" s="1285"/>
      <c r="G181" s="1285"/>
      <c r="H181" s="1285"/>
      <c r="I181" s="1285"/>
      <c r="J181" s="1285"/>
      <c r="K181" s="1285"/>
      <c r="L181" s="1285"/>
      <c r="M181" s="1285"/>
      <c r="N181" s="1285"/>
      <c r="O181" s="1285"/>
      <c r="P181" s="1285"/>
      <c r="Q181" s="1285"/>
      <c r="R181" s="1285"/>
      <c r="S181" s="74"/>
      <c r="U181" s="121"/>
    </row>
    <row r="182" spans="2:24" s="61" customFormat="1" ht="15" customHeight="1">
      <c r="B182" s="983" t="s">
        <v>314</v>
      </c>
      <c r="C182" s="1284">
        <f>SUM(C183:C185)</f>
        <v>26815479.999999981</v>
      </c>
      <c r="D182" s="1284">
        <f t="shared" ref="D182:R182" si="38">SUM(D183:D185)</f>
        <v>13056000</v>
      </c>
      <c r="E182" s="1284">
        <f t="shared" si="38"/>
        <v>20811000</v>
      </c>
      <c r="F182" s="1284">
        <f t="shared" si="38"/>
        <v>36454780.479999997</v>
      </c>
      <c r="G182" s="1284">
        <f t="shared" si="38"/>
        <v>64131799.049999997</v>
      </c>
      <c r="H182" s="1284">
        <f t="shared" si="38"/>
        <v>89832000</v>
      </c>
      <c r="I182" s="1284">
        <f t="shared" si="38"/>
        <v>66640000</v>
      </c>
      <c r="J182" s="1284">
        <f t="shared" si="38"/>
        <v>74192464.178499177</v>
      </c>
      <c r="K182" s="1284">
        <f t="shared" si="38"/>
        <v>83493828.2988116</v>
      </c>
      <c r="L182" s="1284">
        <f t="shared" si="38"/>
        <v>93707436.667442307</v>
      </c>
      <c r="M182" s="1284">
        <f t="shared" si="38"/>
        <v>106106396.07756284</v>
      </c>
      <c r="N182" s="1284">
        <f t="shared" si="38"/>
        <v>119260526.01875174</v>
      </c>
      <c r="O182" s="1284">
        <f t="shared" si="38"/>
        <v>133808963.87729084</v>
      </c>
      <c r="P182" s="1284">
        <f t="shared" si="38"/>
        <v>148614787.36075905</v>
      </c>
      <c r="Q182" s="1284">
        <f t="shared" si="38"/>
        <v>165111730.54878438</v>
      </c>
      <c r="R182" s="1284">
        <f t="shared" si="38"/>
        <v>184437722.1429711</v>
      </c>
      <c r="S182" s="74"/>
      <c r="U182" s="121"/>
    </row>
    <row r="183" spans="2:24" s="61" customFormat="1" ht="15" customHeight="1">
      <c r="B183" s="981" t="s">
        <v>315</v>
      </c>
      <c r="C183" s="1284">
        <f>'IMF Data'!C46*1000</f>
        <v>10272000</v>
      </c>
      <c r="D183" s="1284">
        <f>'IMF Data'!D46*1000</f>
        <v>8393000</v>
      </c>
      <c r="E183" s="1284">
        <f>'IMF Data'!E46*1000</f>
        <v>16655000</v>
      </c>
      <c r="F183" s="1284">
        <f>'IMF Data'!F46*1000</f>
        <v>27000000</v>
      </c>
      <c r="G183" s="1284">
        <f>'IMF Data'!G46*1000</f>
        <v>46000000</v>
      </c>
      <c r="H183" s="1284">
        <f>'IMF Data'!H46*1000</f>
        <v>56000000</v>
      </c>
      <c r="I183" s="1284">
        <f>'IMF Data'!I46*1000</f>
        <v>45000000</v>
      </c>
      <c r="J183" s="1284">
        <f>'IMF Data'!J46*1000</f>
        <v>49932791.754677802</v>
      </c>
      <c r="K183" s="1284">
        <f>'IMF Data'!K46*1000</f>
        <v>56192768.192939661</v>
      </c>
      <c r="L183" s="1284">
        <f>'IMF Data'!L46*1000</f>
        <v>63066700.544177927</v>
      </c>
      <c r="M183" s="1284">
        <f>'IMF Data'!M46*1000</f>
        <v>71176326.039576754</v>
      </c>
      <c r="N183" s="1284">
        <f>'IMF Data'!N46*1000</f>
        <v>80000135.687928393</v>
      </c>
      <c r="O183" s="1284">
        <f>'IMF Data'!O46*1000</f>
        <v>89759249.1312778</v>
      </c>
      <c r="P183" s="1284">
        <f>'IMF Data'!P46*1000</f>
        <v>99691017.229154006</v>
      </c>
      <c r="Q183" s="1284">
        <f>'IMF Data'!Q46*1000</f>
        <v>110757190.90400903</v>
      </c>
      <c r="R183" s="1284">
        <f>'IMF Data'!R46*1000</f>
        <v>123721094.39706931</v>
      </c>
      <c r="S183" s="74"/>
      <c r="U183" s="121"/>
    </row>
    <row r="184" spans="2:24" s="61" customFormat="1" ht="15" customHeight="1">
      <c r="B184" s="981" t="s">
        <v>211</v>
      </c>
      <c r="C184" s="1284">
        <f>'IMF Data'!C47*1000</f>
        <v>16543479.999999981</v>
      </c>
      <c r="D184" s="1284">
        <f>'IMF Data'!D47*1000</f>
        <v>4663000</v>
      </c>
      <c r="E184" s="1284">
        <f>'IMF Data'!E47*1000</f>
        <v>4156000.0000000009</v>
      </c>
      <c r="F184" s="1284">
        <f>'IMF Data'!F47*1000</f>
        <v>9454780.4799999986</v>
      </c>
      <c r="G184" s="1284">
        <f>'IMF Data'!G47*1000</f>
        <v>8131799.0499999998</v>
      </c>
      <c r="H184" s="1284">
        <f>'IMF Data'!H47*1000</f>
        <v>31832000</v>
      </c>
      <c r="I184" s="1284">
        <f>'IMF Data'!I47*1000</f>
        <v>21640000</v>
      </c>
      <c r="J184" s="1284">
        <f>'IMF Data'!J47*1000</f>
        <v>24259672.423821378</v>
      </c>
      <c r="K184" s="1284">
        <f>'IMF Data'!K47*1000</f>
        <v>27301060.105871942</v>
      </c>
      <c r="L184" s="1284">
        <f>'IMF Data'!L47*1000</f>
        <v>30640736.12326438</v>
      </c>
      <c r="M184" s="1284">
        <f>'IMF Data'!M47*1000</f>
        <v>34930070.037986092</v>
      </c>
      <c r="N184" s="1284">
        <f>'IMF Data'!N47*1000</f>
        <v>39260390.330823347</v>
      </c>
      <c r="O184" s="1284">
        <f>'IMF Data'!O47*1000</f>
        <v>44049714.746013038</v>
      </c>
      <c r="P184" s="1284">
        <f>'IMF Data'!P47*1000</f>
        <v>48923770.131605044</v>
      </c>
      <c r="Q184" s="1284">
        <f>'IMF Data'!Q47*1000</f>
        <v>54354539.644775361</v>
      </c>
      <c r="R184" s="1284">
        <f>'IMF Data'!R47*1000</f>
        <v>60716627.745901801</v>
      </c>
      <c r="S184" s="74"/>
      <c r="U184" s="121"/>
    </row>
    <row r="185" spans="2:24" s="61" customFormat="1" ht="15">
      <c r="B185" s="981" t="s">
        <v>316</v>
      </c>
      <c r="C185" s="1284">
        <f>'IMF Data'!C48*1000</f>
        <v>0</v>
      </c>
      <c r="D185" s="1284">
        <f>'IMF Data'!D48*1000</f>
        <v>0</v>
      </c>
      <c r="E185" s="1284">
        <f>'IMF Data'!E48*1000</f>
        <v>0</v>
      </c>
      <c r="F185" s="1284">
        <f>'IMF Data'!F48*1000</f>
        <v>0</v>
      </c>
      <c r="G185" s="1284">
        <f>'IMF Data'!G48*1000</f>
        <v>10000000</v>
      </c>
      <c r="H185" s="1284">
        <f>'IMF Data'!H48*1000</f>
        <v>2000000</v>
      </c>
      <c r="I185" s="1284">
        <f>'IMF Data'!I48*1000</f>
        <v>0</v>
      </c>
      <c r="J185" s="1284">
        <f>'IMF Data'!J48*1000</f>
        <v>0</v>
      </c>
      <c r="K185" s="1284">
        <f>'IMF Data'!K48*1000</f>
        <v>0</v>
      </c>
      <c r="L185" s="1284">
        <f>'IMF Data'!L48*1000</f>
        <v>0</v>
      </c>
      <c r="M185" s="1284">
        <f>'IMF Data'!M48*1000</f>
        <v>0</v>
      </c>
      <c r="N185" s="1284">
        <f>'IMF Data'!N48*1000</f>
        <v>0</v>
      </c>
      <c r="O185" s="1284">
        <f>'IMF Data'!O48*1000</f>
        <v>0</v>
      </c>
      <c r="P185" s="1284">
        <f>'IMF Data'!P48*1000</f>
        <v>0</v>
      </c>
      <c r="Q185" s="1284">
        <f>'IMF Data'!Q48*1000</f>
        <v>0</v>
      </c>
      <c r="R185" s="1284">
        <f>'IMF Data'!R48*1000</f>
        <v>0</v>
      </c>
      <c r="S185" s="74"/>
      <c r="U185" s="121"/>
    </row>
    <row r="186" spans="2:24" s="68" customFormat="1" ht="5.25" customHeight="1">
      <c r="B186" s="984"/>
      <c r="C186" s="1285"/>
      <c r="D186" s="1285"/>
      <c r="E186" s="1285"/>
      <c r="F186" s="1285"/>
      <c r="G186" s="1285"/>
      <c r="H186" s="1285"/>
      <c r="I186" s="1285"/>
      <c r="J186" s="1285"/>
      <c r="K186" s="1285"/>
      <c r="L186" s="1285"/>
      <c r="M186" s="1285"/>
      <c r="N186" s="1285"/>
      <c r="O186" s="1285"/>
      <c r="P186" s="1285"/>
      <c r="Q186" s="1285"/>
      <c r="R186" s="1285"/>
      <c r="S186" s="72"/>
      <c r="U186" s="121"/>
    </row>
    <row r="187" spans="2:24" s="68" customFormat="1" ht="15">
      <c r="B187" s="985" t="s">
        <v>319</v>
      </c>
      <c r="C187" s="1287">
        <f t="shared" ref="C187:R187" si="39">C175+C182</f>
        <v>255907479.99999997</v>
      </c>
      <c r="D187" s="1287">
        <f t="shared" si="39"/>
        <v>281466000</v>
      </c>
      <c r="E187" s="1287">
        <f t="shared" si="39"/>
        <v>356931178.92699999</v>
      </c>
      <c r="F187" s="1287">
        <f t="shared" si="39"/>
        <v>448286780.48000002</v>
      </c>
      <c r="G187" s="1287">
        <f t="shared" si="39"/>
        <v>591473799.04999995</v>
      </c>
      <c r="H187" s="1287">
        <f t="shared" si="39"/>
        <v>685042000</v>
      </c>
      <c r="I187" s="1287">
        <f t="shared" si="39"/>
        <v>763802586.29371738</v>
      </c>
      <c r="J187" s="1287">
        <f t="shared" si="39"/>
        <v>877373099.71108425</v>
      </c>
      <c r="K187" s="1287">
        <f t="shared" si="39"/>
        <v>1002389012.8821763</v>
      </c>
      <c r="L187" s="1287">
        <f t="shared" si="39"/>
        <v>1144676302.8963153</v>
      </c>
      <c r="M187" s="1287">
        <f t="shared" si="39"/>
        <v>1300851167.6789532</v>
      </c>
      <c r="N187" s="1287">
        <f t="shared" si="39"/>
        <v>1469895442.2769575</v>
      </c>
      <c r="O187" s="1287">
        <f t="shared" si="39"/>
        <v>1661713214.4005203</v>
      </c>
      <c r="P187" s="1287">
        <f t="shared" si="39"/>
        <v>1874029225.4743965</v>
      </c>
      <c r="Q187" s="1287">
        <f t="shared" si="39"/>
        <v>2114604066.907887</v>
      </c>
      <c r="R187" s="1287">
        <f t="shared" si="39"/>
        <v>2387002378.7881994</v>
      </c>
      <c r="S187" s="72"/>
      <c r="U187" s="121"/>
    </row>
    <row r="188" spans="2:24" s="68" customFormat="1" ht="15" customHeight="1">
      <c r="B188" s="986" t="s">
        <v>212</v>
      </c>
      <c r="C188" s="1288">
        <f>'IMF Data'!C50*1000</f>
        <v>255907479.99999997</v>
      </c>
      <c r="D188" s="1288">
        <f>'IMF Data'!D50*1000</f>
        <v>281466000</v>
      </c>
      <c r="E188" s="1288">
        <f>'IMF Data'!E50*1000</f>
        <v>356931178.92700005</v>
      </c>
      <c r="F188" s="1288">
        <f>'IMF Data'!F50*1000</f>
        <v>448286780.48000002</v>
      </c>
      <c r="G188" s="1288">
        <f>'IMF Data'!G50*1000</f>
        <v>591473799.05000007</v>
      </c>
      <c r="H188" s="1288">
        <f>'IMF Data'!H50*1000</f>
        <v>685042000</v>
      </c>
      <c r="I188" s="1288">
        <f>'IMF Data'!I50*1000</f>
        <v>763802586.29371738</v>
      </c>
      <c r="J188" s="1288">
        <f>'IMF Data'!J50*1000</f>
        <v>877373099.71108425</v>
      </c>
      <c r="K188" s="1288">
        <f>'IMF Data'!K50*1000</f>
        <v>1002389012.8821763</v>
      </c>
      <c r="L188" s="1288">
        <f>'IMF Data'!L50*1000</f>
        <v>1144676302.8963153</v>
      </c>
      <c r="M188" s="1288">
        <f>'IMF Data'!M50*1000</f>
        <v>1300851167.6789532</v>
      </c>
      <c r="N188" s="1288">
        <f>'IMF Data'!N50*1000</f>
        <v>1469895442.276958</v>
      </c>
      <c r="O188" s="1288">
        <f>'IMF Data'!O50*1000</f>
        <v>1661713214.4005201</v>
      </c>
      <c r="P188" s="1288">
        <f>'IMF Data'!P50*1000</f>
        <v>1874029225.4743962</v>
      </c>
      <c r="Q188" s="1288">
        <f>'IMF Data'!Q50*1000</f>
        <v>2114604066.9078875</v>
      </c>
      <c r="R188" s="1288">
        <f>'IMF Data'!R50*1000</f>
        <v>2387002378.7881999</v>
      </c>
      <c r="S188" s="72"/>
      <c r="U188" s="121"/>
    </row>
    <row r="189" spans="2:24" s="68" customFormat="1" ht="15" customHeight="1">
      <c r="B189" s="987" t="s">
        <v>326</v>
      </c>
      <c r="C189" s="1289"/>
      <c r="D189" s="1289"/>
      <c r="E189" s="1289"/>
      <c r="F189" s="1289"/>
      <c r="G189" s="1289"/>
      <c r="H189" s="1289"/>
      <c r="I189" s="1289"/>
      <c r="J189" s="1289"/>
      <c r="K189" s="1289"/>
      <c r="L189" s="1289"/>
      <c r="M189" s="1289"/>
      <c r="N189" s="1289"/>
      <c r="O189" s="1289"/>
      <c r="P189" s="1289"/>
      <c r="Q189" s="1289"/>
      <c r="R189" s="1289"/>
      <c r="S189" s="72"/>
      <c r="U189" s="121"/>
    </row>
    <row r="190" spans="2:24" s="61" customFormat="1" ht="15">
      <c r="B190" s="951" t="s">
        <v>212</v>
      </c>
      <c r="C190" s="1290">
        <f>C188</f>
        <v>255907479.99999997</v>
      </c>
      <c r="D190" s="1290">
        <f t="shared" ref="D190:R190" si="40">D188</f>
        <v>281466000</v>
      </c>
      <c r="E190" s="1290">
        <f t="shared" si="40"/>
        <v>356931178.92700005</v>
      </c>
      <c r="F190" s="1290">
        <f t="shared" si="40"/>
        <v>448286780.48000002</v>
      </c>
      <c r="G190" s="1290">
        <f t="shared" si="40"/>
        <v>591473799.05000007</v>
      </c>
      <c r="H190" s="1290">
        <f t="shared" si="40"/>
        <v>685042000</v>
      </c>
      <c r="I190" s="1290">
        <f t="shared" si="40"/>
        <v>763802586.29371738</v>
      </c>
      <c r="J190" s="1290">
        <f t="shared" si="40"/>
        <v>877373099.71108425</v>
      </c>
      <c r="K190" s="1290">
        <f t="shared" si="40"/>
        <v>1002389012.8821763</v>
      </c>
      <c r="L190" s="1290">
        <f t="shared" si="40"/>
        <v>1144676302.8963153</v>
      </c>
      <c r="M190" s="1290">
        <f t="shared" si="40"/>
        <v>1300851167.6789532</v>
      </c>
      <c r="N190" s="1290">
        <f t="shared" si="40"/>
        <v>1469895442.276958</v>
      </c>
      <c r="O190" s="1290">
        <f t="shared" si="40"/>
        <v>1661713214.4005201</v>
      </c>
      <c r="P190" s="1290">
        <f t="shared" si="40"/>
        <v>1874029225.4743962</v>
      </c>
      <c r="Q190" s="1290">
        <f t="shared" si="40"/>
        <v>2114604066.9078875</v>
      </c>
      <c r="R190" s="1290">
        <f t="shared" si="40"/>
        <v>2387002378.7881999</v>
      </c>
      <c r="S190" s="400"/>
      <c r="T190" s="270"/>
      <c r="U190" s="231"/>
      <c r="V190" s="61">
        <f>POWER(M190/H190,1/5)</f>
        <v>1.1368471632433801</v>
      </c>
      <c r="W190" s="61">
        <f>POWER(M190/D190,1/9)</f>
        <v>1.185405266014814</v>
      </c>
      <c r="X190" s="231"/>
    </row>
    <row r="191" spans="2:24" s="61" customFormat="1" ht="15">
      <c r="B191" s="988" t="s">
        <v>47</v>
      </c>
      <c r="C191" s="1291"/>
      <c r="D191" s="1291">
        <f>D190/C190</f>
        <v>1.0998740638608924</v>
      </c>
      <c r="E191" s="1291">
        <f t="shared" ref="E191:R191" si="41">E190/D190</f>
        <v>1.268114724076798</v>
      </c>
      <c r="F191" s="1291">
        <f t="shared" si="41"/>
        <v>1.2559473841081397</v>
      </c>
      <c r="G191" s="1291">
        <f t="shared" si="41"/>
        <v>1.3194094155903584</v>
      </c>
      <c r="H191" s="1291">
        <f t="shared" si="41"/>
        <v>1.1581950055949819</v>
      </c>
      <c r="I191" s="1291">
        <f t="shared" si="41"/>
        <v>1.1149719087205126</v>
      </c>
      <c r="J191" s="1291">
        <f t="shared" si="41"/>
        <v>1.1486909254503279</v>
      </c>
      <c r="K191" s="1291">
        <f t="shared" si="41"/>
        <v>1.1424888832496225</v>
      </c>
      <c r="L191" s="1291">
        <f t="shared" si="41"/>
        <v>1.1419481739978568</v>
      </c>
      <c r="M191" s="1291">
        <f t="shared" si="41"/>
        <v>1.1364358328965811</v>
      </c>
      <c r="N191" s="1291">
        <f t="shared" si="41"/>
        <v>1.1299489740241557</v>
      </c>
      <c r="O191" s="1291">
        <f t="shared" si="41"/>
        <v>1.1304975623479889</v>
      </c>
      <c r="P191" s="1291">
        <f t="shared" si="41"/>
        <v>1.1277693462589882</v>
      </c>
      <c r="Q191" s="1291">
        <f t="shared" si="41"/>
        <v>1.1283730467824435</v>
      </c>
      <c r="R191" s="1291">
        <f t="shared" si="41"/>
        <v>1.1288176430487202</v>
      </c>
      <c r="S191" s="400"/>
      <c r="T191" s="270"/>
      <c r="U191" s="231"/>
      <c r="X191" s="231"/>
    </row>
    <row r="192" spans="2:24" s="61" customFormat="1" ht="15">
      <c r="B192" s="989" t="s">
        <v>718</v>
      </c>
      <c r="C192" s="1292">
        <f t="shared" ref="C192:R192" si="42">C160-C190</f>
        <v>-27618479.99999994</v>
      </c>
      <c r="D192" s="1292">
        <f t="shared" si="42"/>
        <v>-1994000</v>
      </c>
      <c r="E192" s="1292">
        <f t="shared" si="42"/>
        <v>-29020578.927000046</v>
      </c>
      <c r="F192" s="1292">
        <f t="shared" si="42"/>
        <v>-17751780.480000079</v>
      </c>
      <c r="G192" s="1292">
        <f t="shared" si="42"/>
        <v>-149132799.05000007</v>
      </c>
      <c r="H192" s="1292">
        <f t="shared" si="42"/>
        <v>-127055318.54965544</v>
      </c>
      <c r="I192" s="1292">
        <f t="shared" si="42"/>
        <v>-94797379.413874626</v>
      </c>
      <c r="J192" s="1292">
        <f t="shared" si="42"/>
        <v>-103480561.07815969</v>
      </c>
      <c r="K192" s="1292">
        <f t="shared" si="42"/>
        <v>-112741494.20138133</v>
      </c>
      <c r="L192" s="1292">
        <f t="shared" si="42"/>
        <v>-121332145.14042068</v>
      </c>
      <c r="M192" s="1292">
        <f t="shared" si="42"/>
        <v>-125452334.46962428</v>
      </c>
      <c r="N192" s="1292">
        <f t="shared" si="42"/>
        <v>-137774714.18782163</v>
      </c>
      <c r="O192" s="1292">
        <f t="shared" si="42"/>
        <v>-160957602.98911166</v>
      </c>
      <c r="P192" s="1292">
        <f t="shared" si="42"/>
        <v>-180053277.402632</v>
      </c>
      <c r="Q192" s="1292">
        <f t="shared" si="42"/>
        <v>-203353913.78968406</v>
      </c>
      <c r="R192" s="1292">
        <f t="shared" si="42"/>
        <v>-230370658.71203423</v>
      </c>
      <c r="S192" s="74"/>
      <c r="V192" s="61">
        <f>POWER(M192/H192,1/5)</f>
        <v>0.99746388352150639</v>
      </c>
      <c r="W192" s="61">
        <f>POWER(M192/D192,1/9)</f>
        <v>1.5843878756849605</v>
      </c>
    </row>
    <row r="193" spans="1:26" s="61" customFormat="1" ht="26.25">
      <c r="B193" s="990" t="s">
        <v>717</v>
      </c>
      <c r="C193" s="1293">
        <f>C192/ECO!B64*100</f>
        <v>-3.2910044031340679</v>
      </c>
      <c r="D193" s="1293">
        <f>D192/ECO!C64*100</f>
        <v>-0.20466710802502394</v>
      </c>
      <c r="E193" s="1293">
        <f>E192/ECO!D64*100</f>
        <v>-2.5373952194550626</v>
      </c>
      <c r="F193" s="1293">
        <f>F192/ECO!E64*100</f>
        <v>-1.1953755041958576</v>
      </c>
      <c r="G193" s="1293">
        <f>G192/ECO!F64*100</f>
        <v>-8.9926307428474317</v>
      </c>
      <c r="H193" s="1293">
        <f>H192/ECO!G64*100</f>
        <v>-6.4139757811575144</v>
      </c>
      <c r="I193" s="1293">
        <f>I192/ECO!H64*100</f>
        <v>-3.9371596114726799</v>
      </c>
      <c r="J193" s="1293">
        <f>J192/ECO!I64*100</f>
        <v>-3.7570230896071366</v>
      </c>
      <c r="K193" s="1293">
        <f>K192/ECO!J64*100</f>
        <v>-3.5645143922856395</v>
      </c>
      <c r="L193" s="1293">
        <f>L192/ECO!K64*100</f>
        <v>-3.349645554534781</v>
      </c>
      <c r="M193" s="1293">
        <f>M192/ECO!L64*100</f>
        <v>-3.0380957966810649</v>
      </c>
      <c r="N193" s="1293">
        <f>N192/ECO!M64*100</f>
        <v>-2.9388151720636637</v>
      </c>
      <c r="O193" s="1293">
        <f>O192/ECO!N64*100</f>
        <v>-3.0294302497309267</v>
      </c>
      <c r="P193" s="1293">
        <f>P192/ECO!O64*100</f>
        <v>-2.9901966590619695</v>
      </c>
      <c r="Q193" s="1293">
        <f>Q192/ECO!P64*100</f>
        <v>-2.9789377438899174</v>
      </c>
      <c r="R193" s="1293">
        <f>R192/ECO!Q64*100</f>
        <v>-2.9757775686240375</v>
      </c>
      <c r="S193" s="74" t="s">
        <v>719</v>
      </c>
      <c r="V193" s="61">
        <f>POWER(M193/H193,1/5)</f>
        <v>0.86118177351802916</v>
      </c>
      <c r="W193" s="61">
        <f>POWER(M193/D193,1/9)</f>
        <v>1.3494991060668922</v>
      </c>
    </row>
    <row r="194" spans="1:26" s="61" customFormat="1" ht="15">
      <c r="B194" s="991" t="s">
        <v>329</v>
      </c>
      <c r="C194" s="1286">
        <f t="shared" ref="C194:R194" si="43">C160-C177-C180-C182</f>
        <v>-20997479.999999952</v>
      </c>
      <c r="D194" s="1286">
        <f t="shared" si="43"/>
        <v>5971000</v>
      </c>
      <c r="E194" s="1286">
        <f t="shared" si="43"/>
        <v>-16360578.926999986</v>
      </c>
      <c r="F194" s="1286">
        <f t="shared" si="43"/>
        <v>-1021780.4800000563</v>
      </c>
      <c r="G194" s="1286">
        <f t="shared" si="43"/>
        <v>-125252799.05</v>
      </c>
      <c r="H194" s="1286">
        <f t="shared" si="43"/>
        <v>-101675318.54965538</v>
      </c>
      <c r="I194" s="1286">
        <f t="shared" si="43"/>
        <v>-59037379.413874567</v>
      </c>
      <c r="J194" s="1286">
        <f t="shared" si="43"/>
        <v>-56901932.588175014</v>
      </c>
      <c r="K194" s="1286">
        <f t="shared" si="43"/>
        <v>-62678677.802172616</v>
      </c>
      <c r="L194" s="1286">
        <f t="shared" si="43"/>
        <v>-65378215.15018709</v>
      </c>
      <c r="M194" s="1286">
        <f t="shared" si="43"/>
        <v>-65012602.794120163</v>
      </c>
      <c r="N194" s="1286">
        <f t="shared" si="43"/>
        <v>-71601852.898038387</v>
      </c>
      <c r="O194" s="1286">
        <f t="shared" si="43"/>
        <v>-85012563.65110141</v>
      </c>
      <c r="P194" s="1286">
        <f t="shared" si="43"/>
        <v>-91751959.431262761</v>
      </c>
      <c r="Q194" s="1286">
        <f t="shared" si="43"/>
        <v>-100472708.27061343</v>
      </c>
      <c r="R194" s="1286">
        <f t="shared" si="43"/>
        <v>-111582008.98038441</v>
      </c>
      <c r="S194" s="74"/>
    </row>
    <row r="195" spans="1:26" s="61" customFormat="1" ht="6.75" customHeight="1">
      <c r="A195" s="1214"/>
      <c r="B195" s="1250"/>
      <c r="C195" s="1294"/>
      <c r="D195" s="1294"/>
      <c r="E195" s="1294"/>
      <c r="F195" s="1294"/>
      <c r="G195" s="1294"/>
      <c r="H195" s="1294"/>
      <c r="I195" s="1294"/>
      <c r="J195" s="1294"/>
      <c r="K195" s="1294"/>
      <c r="L195" s="1294"/>
      <c r="M195" s="1294"/>
      <c r="N195" s="1294"/>
      <c r="O195" s="1294"/>
      <c r="P195" s="1294"/>
      <c r="Q195" s="1294"/>
      <c r="R195" s="1294"/>
      <c r="S195" s="1218"/>
      <c r="T195" s="1214"/>
      <c r="U195" s="1214"/>
      <c r="V195" s="1214"/>
      <c r="W195" s="1214"/>
      <c r="X195" s="1214"/>
      <c r="Y195" s="1214"/>
      <c r="Z195" s="1214"/>
    </row>
    <row r="196" spans="1:26" s="61" customFormat="1" ht="15">
      <c r="B196" s="991" t="s">
        <v>330</v>
      </c>
      <c r="C196" s="1286">
        <f t="shared" ref="C196:R196" si="44">C194-C153</f>
        <v>-87555479.999999955</v>
      </c>
      <c r="D196" s="1286">
        <f t="shared" si="44"/>
        <v>-77375000</v>
      </c>
      <c r="E196" s="1286">
        <f t="shared" si="44"/>
        <v>-94994578.926999986</v>
      </c>
      <c r="F196" s="1286">
        <f t="shared" si="44"/>
        <v>-90624780.480000049</v>
      </c>
      <c r="G196" s="1286">
        <f t="shared" si="44"/>
        <v>-185752799.05000001</v>
      </c>
      <c r="H196" s="1286">
        <f t="shared" si="44"/>
        <v>-170794908.78262991</v>
      </c>
      <c r="I196" s="1286">
        <f t="shared" si="44"/>
        <v>-141853055.98117569</v>
      </c>
      <c r="J196" s="1286">
        <f t="shared" si="44"/>
        <v>-150211337.57053375</v>
      </c>
      <c r="K196" s="1286">
        <f t="shared" si="44"/>
        <v>-161256824.25613946</v>
      </c>
      <c r="L196" s="1286">
        <f t="shared" si="44"/>
        <v>-170979937.74024731</v>
      </c>
      <c r="M196" s="1286">
        <f t="shared" si="44"/>
        <v>-179767316.79431903</v>
      </c>
      <c r="N196" s="1286">
        <f t="shared" si="44"/>
        <v>-198693723.14754117</v>
      </c>
      <c r="O196" s="1286">
        <f t="shared" si="44"/>
        <v>-222343691.41182381</v>
      </c>
      <c r="P196" s="1286">
        <f t="shared" si="44"/>
        <v>-237210268.19475648</v>
      </c>
      <c r="Q196" s="1286">
        <f t="shared" si="44"/>
        <v>-252124035.55170324</v>
      </c>
      <c r="R196" s="1286">
        <f t="shared" si="44"/>
        <v>-267762735.03813308</v>
      </c>
      <c r="S196" s="74"/>
    </row>
    <row r="197" spans="1:26" s="61" customFormat="1" ht="15">
      <c r="B197" s="991" t="s">
        <v>331</v>
      </c>
      <c r="C197" s="1286">
        <f>C155</f>
        <v>134282000.00000003</v>
      </c>
      <c r="D197" s="1286">
        <f t="shared" ref="D197:R197" si="45">D155</f>
        <v>161948999.99999997</v>
      </c>
      <c r="E197" s="1286">
        <f t="shared" si="45"/>
        <v>204955600.00000003</v>
      </c>
      <c r="F197" s="1286">
        <f t="shared" si="45"/>
        <v>271057999.99999994</v>
      </c>
      <c r="G197" s="1286">
        <f t="shared" si="45"/>
        <v>298281000</v>
      </c>
      <c r="H197" s="1286">
        <f t="shared" si="45"/>
        <v>405538271.45056236</v>
      </c>
      <c r="I197" s="1286">
        <f t="shared" si="45"/>
        <v>493740208.03384507</v>
      </c>
      <c r="J197" s="1286">
        <f t="shared" si="45"/>
        <v>575646697.99731898</v>
      </c>
      <c r="K197" s="1286">
        <f t="shared" si="45"/>
        <v>673650914.97477889</v>
      </c>
      <c r="L197" s="1286">
        <f t="shared" si="45"/>
        <v>786666650.29815912</v>
      </c>
      <c r="M197" s="1286">
        <f t="shared" si="45"/>
        <v>914589821.07411122</v>
      </c>
      <c r="N197" s="1286">
        <f t="shared" si="45"/>
        <v>1039831399.961833</v>
      </c>
      <c r="O197" s="1286">
        <f t="shared" si="45"/>
        <v>1180144060.0668802</v>
      </c>
      <c r="P197" s="1286">
        <f t="shared" si="45"/>
        <v>1345130749.5406797</v>
      </c>
      <c r="Q197" s="1286">
        <f t="shared" si="45"/>
        <v>1533797935.0910561</v>
      </c>
      <c r="R197" s="1286">
        <f t="shared" si="45"/>
        <v>1749657051.2829263</v>
      </c>
      <c r="S197" s="74"/>
    </row>
    <row r="198" spans="1:26" s="61" customFormat="1" ht="26.25">
      <c r="B198" s="991" t="s">
        <v>332</v>
      </c>
      <c r="C198" s="1286">
        <f>'IMF Data'!C214*1000</f>
        <v>345878823.63551158</v>
      </c>
      <c r="D198" s="1286">
        <f>'IMF Data'!D214*1000</f>
        <v>407714013.7057749</v>
      </c>
      <c r="E198" s="1286">
        <f>'IMF Data'!E214*1000</f>
        <v>509902758.05747676</v>
      </c>
      <c r="F198" s="1286">
        <f>'IMF Data'!F214*1000</f>
        <v>637028122.02825081</v>
      </c>
      <c r="G198" s="1286">
        <f>'IMF Data'!G214*1000</f>
        <v>848447153.93000007</v>
      </c>
      <c r="H198" s="1286">
        <f>'IMF Data'!H214*1000</f>
        <v>1046862702.2571793</v>
      </c>
      <c r="I198" s="1286">
        <f>'IMF Data'!I214*1000</f>
        <v>1240330759.8659136</v>
      </c>
      <c r="J198" s="1286">
        <f>'IMF Data'!J214*1000</f>
        <v>1405290246.2683575</v>
      </c>
      <c r="K198" s="1286">
        <f>'IMF Data'!K214*1000</f>
        <v>1585992429.1796985</v>
      </c>
      <c r="L198" s="1286">
        <f>'IMF Data'!L214*1000</f>
        <v>1777821552.7251258</v>
      </c>
      <c r="M198" s="1286">
        <f>'IMF Data'!M214*1000</f>
        <v>1977440829.0237842</v>
      </c>
      <c r="N198" s="1286">
        <f>'IMF Data'!N214*1000</f>
        <v>2189348539.5960636</v>
      </c>
      <c r="O198" s="1286">
        <f>'IMF Data'!O214*1000</f>
        <v>2424921567.7844043</v>
      </c>
      <c r="P198" s="1286">
        <f>'IMF Data'!P214*1000</f>
        <v>2683906697.1380973</v>
      </c>
      <c r="Q198" s="1286">
        <f>'IMF Data'!Q214*1000</f>
        <v>2971333247.7203574</v>
      </c>
      <c r="R198" s="1286">
        <f>'IMF Data'!R214*1000</f>
        <v>3302872076.8610282</v>
      </c>
      <c r="S198" s="232" t="s">
        <v>696</v>
      </c>
    </row>
    <row r="199" spans="1:26" s="61" customFormat="1" ht="15">
      <c r="B199" s="991" t="s">
        <v>333</v>
      </c>
      <c r="C199" s="1295">
        <f>'IMF Data'!C216/'IMF Data'!C214*100</f>
        <v>34.656312580314832</v>
      </c>
      <c r="D199" s="1295">
        <f>'IMF Data'!D216/'IMF Data'!D214*100</f>
        <v>38.358058854550755</v>
      </c>
      <c r="E199" s="1295">
        <f>'IMF Data'!E216/'IMF Data'!E214*100</f>
        <v>39.524137009033318</v>
      </c>
      <c r="F199" s="1295">
        <f>'IMF Data'!F216/'IMF Data'!F214*100</f>
        <v>40.12539931273475</v>
      </c>
      <c r="G199" s="1295">
        <f>'IMF Data'!G216/'IMF Data'!G214*100</f>
        <v>39.17194600282911</v>
      </c>
      <c r="H199" s="1295">
        <f>'IMF Data'!H216/'IMF Data'!H214*100</f>
        <v>40.612623707320964</v>
      </c>
      <c r="I199" s="1295">
        <f>'IMF Data'!I216/'IMF Data'!I214*100</f>
        <v>39.716470524937151</v>
      </c>
      <c r="J199" s="1295">
        <f>'IMF Data'!J216/'IMF Data'!J214*100</f>
        <v>39.699567868395377</v>
      </c>
      <c r="K199" s="1295">
        <f>'IMF Data'!K216/'IMF Data'!K214*100</f>
        <v>39.684506803337122</v>
      </c>
      <c r="L199" s="1295">
        <f>'IMF Data'!L216/'IMF Data'!L214*100</f>
        <v>39.758584561236361</v>
      </c>
      <c r="M199" s="1295">
        <f>'IMF Data'!M216/'IMF Data'!M214*100</f>
        <v>41.29689467098509</v>
      </c>
      <c r="N199" s="1295">
        <f>'IMF Data'!N216/'IMF Data'!N214*100</f>
        <v>41.033415638556946</v>
      </c>
      <c r="O199" s="1295">
        <f>'IMF Data'!O216/'IMF Data'!O214*100</f>
        <v>41.539442637344983</v>
      </c>
      <c r="P199" s="1295">
        <f>'IMF Data'!P216/'IMF Data'!P214*100</f>
        <v>42.206098370951253</v>
      </c>
      <c r="Q199" s="1295">
        <f>'IMF Data'!Q216/'IMF Data'!Q214*100</f>
        <v>43.068517194214408</v>
      </c>
      <c r="R199" s="1295">
        <f>'IMF Data'!R216/'IMF Data'!R214*100</f>
        <v>44.842874570731709</v>
      </c>
      <c r="S199" s="74"/>
    </row>
    <row r="200" spans="1:26" s="61" customFormat="1" ht="15">
      <c r="B200" s="1002" t="s">
        <v>48</v>
      </c>
      <c r="C200" s="1286">
        <f t="shared" ref="C200:R200" si="46">-C198</f>
        <v>-345878823.63551158</v>
      </c>
      <c r="D200" s="1286">
        <f t="shared" si="46"/>
        <v>-407714013.7057749</v>
      </c>
      <c r="E200" s="1286">
        <f t="shared" si="46"/>
        <v>-509902758.05747676</v>
      </c>
      <c r="F200" s="1286">
        <f t="shared" si="46"/>
        <v>-637028122.02825081</v>
      </c>
      <c r="G200" s="1286">
        <f t="shared" si="46"/>
        <v>-848447153.93000007</v>
      </c>
      <c r="H200" s="1286">
        <f t="shared" si="46"/>
        <v>-1046862702.2571793</v>
      </c>
      <c r="I200" s="1286">
        <f t="shared" si="46"/>
        <v>-1240330759.8659136</v>
      </c>
      <c r="J200" s="1286">
        <f t="shared" si="46"/>
        <v>-1405290246.2683575</v>
      </c>
      <c r="K200" s="1286">
        <f t="shared" si="46"/>
        <v>-1585992429.1796985</v>
      </c>
      <c r="L200" s="1286">
        <f t="shared" si="46"/>
        <v>-1777821552.7251258</v>
      </c>
      <c r="M200" s="1286">
        <f t="shared" si="46"/>
        <v>-1977440829.0237842</v>
      </c>
      <c r="N200" s="1286">
        <f t="shared" si="46"/>
        <v>-2189348539.5960636</v>
      </c>
      <c r="O200" s="1286">
        <f t="shared" si="46"/>
        <v>-2424921567.7844043</v>
      </c>
      <c r="P200" s="1286">
        <f t="shared" si="46"/>
        <v>-2683906697.1380973</v>
      </c>
      <c r="Q200" s="1286">
        <f t="shared" si="46"/>
        <v>-2971333247.7203574</v>
      </c>
      <c r="R200" s="1286">
        <f t="shared" si="46"/>
        <v>-3302872076.8610282</v>
      </c>
      <c r="S200" s="74"/>
    </row>
    <row r="201" spans="1:26" s="61" customFormat="1" ht="15">
      <c r="B201" s="992" t="s">
        <v>697</v>
      </c>
      <c r="C201" s="1296">
        <f t="shared" ref="C201:R201" si="47">C238</f>
        <v>41.214749382851728</v>
      </c>
      <c r="D201" s="1296">
        <f t="shared" si="47"/>
        <v>41.848369150669981</v>
      </c>
      <c r="E201" s="1296">
        <f t="shared" si="47"/>
        <v>44.583012073485882</v>
      </c>
      <c r="F201" s="1296">
        <f t="shared" si="47"/>
        <v>42.896418948757599</v>
      </c>
      <c r="G201" s="1296">
        <f t="shared" si="47"/>
        <v>51.160925086333791</v>
      </c>
      <c r="H201" s="1296">
        <f t="shared" si="47"/>
        <v>52.847469079781128</v>
      </c>
      <c r="I201" s="1296">
        <f t="shared" si="47"/>
        <v>51.513873092324729</v>
      </c>
      <c r="J201" s="1296">
        <f t="shared" si="47"/>
        <v>51.021253149585398</v>
      </c>
      <c r="K201" s="1296">
        <f t="shared" si="47"/>
        <v>50.143852358112817</v>
      </c>
      <c r="L201" s="1296">
        <f t="shared" si="47"/>
        <v>49.080744875563589</v>
      </c>
      <c r="M201" s="1296">
        <f t="shared" si="47"/>
        <v>47.887946415993639</v>
      </c>
      <c r="N201" s="1296">
        <f t="shared" si="47"/>
        <v>46.700083850865767</v>
      </c>
      <c r="O201" s="1296">
        <f t="shared" si="47"/>
        <v>45.640159981557154</v>
      </c>
      <c r="P201" s="1296">
        <f t="shared" si="47"/>
        <v>44.572411870460456</v>
      </c>
      <c r="Q201" s="1296">
        <f t="shared" si="47"/>
        <v>43.527152226160929</v>
      </c>
      <c r="R201" s="1296">
        <f t="shared" si="47"/>
        <v>42.664342296488407</v>
      </c>
      <c r="S201" s="1006">
        <f>SUM(N201:R201)/5</f>
        <v>44.620830045106537</v>
      </c>
    </row>
    <row r="202" spans="1:26" s="61" customFormat="1" ht="12.75">
      <c r="B202" s="308"/>
      <c r="C202" s="338">
        <f>C$222*ECO!B$64/100</f>
        <v>6621000</v>
      </c>
      <c r="D202" s="338">
        <f>D$222*ECO!C$64/100</f>
        <v>7965000</v>
      </c>
      <c r="E202" s="338">
        <f>E$222*ECO!D$64/100</f>
        <v>12660000</v>
      </c>
      <c r="F202" s="338">
        <f>F$222*ECO!E$64/100</f>
        <v>16730000</v>
      </c>
      <c r="G202" s="338">
        <f>G$222*ECO!F$64/100</f>
        <v>23880000</v>
      </c>
      <c r="H202" s="338">
        <f>H$222*ECO!G$64/100</f>
        <v>25380000</v>
      </c>
      <c r="I202" s="338">
        <f>I$222*ECO!H$64/100</f>
        <v>35760000</v>
      </c>
      <c r="J202" s="338">
        <f>J$222*ECO!I$64/100</f>
        <v>46578628.489984624</v>
      </c>
      <c r="K202" s="338">
        <f>K$222*ECO!J$64/100</f>
        <v>50062816.399208806</v>
      </c>
      <c r="L202" s="338">
        <f>L$222*ECO!K$64/100</f>
        <v>55953929.990233548</v>
      </c>
      <c r="M202" s="338">
        <f>M$222*ECO!L$64/100</f>
        <v>60439731.675504081</v>
      </c>
      <c r="N202" s="338">
        <f>N$222*ECO!M$64/100</f>
        <v>66172861.289782993</v>
      </c>
      <c r="O202" s="338">
        <f>O$222*ECO!N$64/100</f>
        <v>75945039.338010356</v>
      </c>
      <c r="P202" s="338">
        <f>P$222*ECO!O$64/100</f>
        <v>88301317.971369386</v>
      </c>
      <c r="Q202" s="338">
        <f>Q$222*ECO!P$64/100</f>
        <v>102881205.51907033</v>
      </c>
      <c r="R202" s="338">
        <f>R$222*ECO!Q$64/100</f>
        <v>118788649.73164928</v>
      </c>
      <c r="S202" s="74"/>
    </row>
    <row r="203" spans="1:26" s="61" customFormat="1" ht="18.75">
      <c r="B203" s="309" t="s">
        <v>720</v>
      </c>
      <c r="C203" s="1003">
        <f t="shared" ref="C203:M203" si="48">C238</f>
        <v>41.214749382851728</v>
      </c>
      <c r="D203" s="1003">
        <f t="shared" si="48"/>
        <v>41.848369150669981</v>
      </c>
      <c r="E203" s="1003">
        <f t="shared" si="48"/>
        <v>44.583012073485882</v>
      </c>
      <c r="F203" s="1003">
        <f t="shared" si="48"/>
        <v>42.896418948757599</v>
      </c>
      <c r="G203" s="1003">
        <f t="shared" si="48"/>
        <v>51.160925086333791</v>
      </c>
      <c r="H203" s="1003">
        <f t="shared" si="48"/>
        <v>52.847469079781128</v>
      </c>
      <c r="I203" s="1003">
        <f t="shared" si="48"/>
        <v>51.513873092324729</v>
      </c>
      <c r="J203" s="1003">
        <f t="shared" si="48"/>
        <v>51.021253149585398</v>
      </c>
      <c r="K203" s="1003">
        <f t="shared" si="48"/>
        <v>50.143852358112817</v>
      </c>
      <c r="L203" s="1003">
        <f t="shared" si="48"/>
        <v>49.080744875563589</v>
      </c>
      <c r="M203" s="1003">
        <f t="shared" si="48"/>
        <v>47.887946415993639</v>
      </c>
      <c r="N203" s="1003">
        <f>N238</f>
        <v>46.700083850865767</v>
      </c>
      <c r="O203" s="1003">
        <f>O238</f>
        <v>45.640159981557154</v>
      </c>
      <c r="P203" s="1003">
        <f>P238</f>
        <v>44.572411870460456</v>
      </c>
      <c r="Q203" s="1003">
        <f>Q238</f>
        <v>43.527152226160929</v>
      </c>
      <c r="R203" s="1003">
        <f>R238</f>
        <v>42.664342296488407</v>
      </c>
      <c r="S203" s="74"/>
    </row>
    <row r="204" spans="1:26" s="61" customFormat="1">
      <c r="B204" s="644"/>
      <c r="C204" s="1517" t="s">
        <v>730</v>
      </c>
      <c r="D204" s="1518"/>
      <c r="E204" s="1518"/>
      <c r="F204" s="1518"/>
      <c r="G204" s="1518"/>
      <c r="H204" s="1518"/>
      <c r="I204" s="1517" t="s">
        <v>734</v>
      </c>
      <c r="J204" s="1518"/>
      <c r="K204" s="1518"/>
      <c r="L204" s="1518"/>
      <c r="M204" s="1518"/>
      <c r="N204" s="1518"/>
      <c r="O204" s="1518"/>
      <c r="P204" s="1518"/>
      <c r="Q204" s="1518"/>
      <c r="R204" s="1519"/>
      <c r="S204" s="1520" t="s">
        <v>744</v>
      </c>
    </row>
    <row r="205" spans="1:26" s="61" customFormat="1">
      <c r="B205" s="650"/>
      <c r="C205" s="646">
        <v>2005</v>
      </c>
      <c r="D205" s="647">
        <v>2006</v>
      </c>
      <c r="E205" s="647">
        <v>2007</v>
      </c>
      <c r="F205" s="647">
        <v>2008</v>
      </c>
      <c r="G205" s="647">
        <v>2009</v>
      </c>
      <c r="H205" s="647">
        <v>2010</v>
      </c>
      <c r="I205" s="646">
        <v>2011</v>
      </c>
      <c r="J205" s="647">
        <v>2012</v>
      </c>
      <c r="K205" s="647">
        <v>2013</v>
      </c>
      <c r="L205" s="647">
        <v>2014</v>
      </c>
      <c r="M205" s="647">
        <v>2015</v>
      </c>
      <c r="N205" s="647">
        <v>2016</v>
      </c>
      <c r="O205" s="647">
        <v>2017</v>
      </c>
      <c r="P205" s="647">
        <v>2018</v>
      </c>
      <c r="Q205" s="647">
        <v>2019</v>
      </c>
      <c r="R205" s="648">
        <v>2020</v>
      </c>
      <c r="S205" s="1521"/>
    </row>
    <row r="206" spans="1:26" s="61" customFormat="1">
      <c r="B206" s="298" t="s">
        <v>763</v>
      </c>
      <c r="C206" s="57"/>
      <c r="D206" s="58"/>
      <c r="E206" s="58"/>
      <c r="F206" s="58"/>
      <c r="G206" s="58"/>
      <c r="H206" s="59"/>
      <c r="I206" s="57"/>
      <c r="J206" s="58"/>
      <c r="K206" s="58"/>
      <c r="L206" s="58"/>
      <c r="M206" s="58"/>
      <c r="N206" s="58"/>
      <c r="O206" s="58"/>
      <c r="P206" s="58"/>
      <c r="Q206" s="58"/>
      <c r="R206" s="59"/>
      <c r="S206" s="70"/>
    </row>
    <row r="207" spans="1:26" s="61" customFormat="1" ht="15">
      <c r="B207" s="337" t="s">
        <v>320</v>
      </c>
      <c r="C207" s="1201">
        <f>'IMF Data'!C94</f>
        <v>27.202804216129017</v>
      </c>
      <c r="D207" s="1202">
        <f>'IMF Data'!D94</f>
        <v>28.685419264779085</v>
      </c>
      <c r="E207" s="1202">
        <f>'IMF Data'!E94</f>
        <v>28.670647506433184</v>
      </c>
      <c r="F207" s="1202">
        <f>'IMF Data'!F94</f>
        <v>28.991514021863413</v>
      </c>
      <c r="G207" s="1202">
        <f>'IMF Data'!G94</f>
        <v>26.672933792976195</v>
      </c>
      <c r="H207" s="1202">
        <f>'IMF Data'!H94</f>
        <v>28.168148345810973</v>
      </c>
      <c r="I207" s="1202">
        <f>'IMF Data'!I94</f>
        <v>27.785370193542821</v>
      </c>
      <c r="J207" s="1202">
        <f>'IMF Data'!J94</f>
        <v>28.097375064699346</v>
      </c>
      <c r="K207" s="1202">
        <f>'IMF Data'!K94</f>
        <v>28.127721801650981</v>
      </c>
      <c r="L207" s="1202">
        <f>'IMF Data'!L94</f>
        <v>28.25170695547374</v>
      </c>
      <c r="M207" s="1202">
        <f>'IMF Data'!M94</f>
        <v>28.464789194191745</v>
      </c>
      <c r="N207" s="1202">
        <f>'IMF Data'!N94</f>
        <v>28.414913649480791</v>
      </c>
      <c r="O207" s="1202">
        <f>'IMF Data'!O94</f>
        <v>28.246161487448997</v>
      </c>
      <c r="P207" s="1202">
        <f>'IMF Data'!P94</f>
        <v>28.132346678303101</v>
      </c>
      <c r="Q207" s="1202">
        <f>'IMF Data'!Q94</f>
        <v>27.997962335889035</v>
      </c>
      <c r="R207" s="1203">
        <f>'IMF Data'!R94</f>
        <v>27.857958701276576</v>
      </c>
      <c r="S207" s="93" t="s">
        <v>325</v>
      </c>
    </row>
    <row r="208" spans="1:26" s="231" customFormat="1" ht="15">
      <c r="B208" s="946" t="s">
        <v>321</v>
      </c>
      <c r="C208" s="1204">
        <f>'IMF Data'!C96</f>
        <v>7.9310183277210689</v>
      </c>
      <c r="D208" s="1205">
        <f>'IMF Data'!D96</f>
        <v>8.5547566627149685</v>
      </c>
      <c r="E208" s="1205">
        <f>'IMF Data'!E96</f>
        <v>6.8753120393816696</v>
      </c>
      <c r="F208" s="1205">
        <f>'IMF Data'!F96</f>
        <v>6.03371765570982</v>
      </c>
      <c r="G208" s="1205">
        <f>'IMF Data'!G96</f>
        <v>3.648118746566698</v>
      </c>
      <c r="H208" s="1205">
        <f>'IMF Data'!H96</f>
        <v>3.4892783932108151</v>
      </c>
      <c r="I208" s="1205">
        <f>'IMF Data'!I96</f>
        <v>3.4395311241044735</v>
      </c>
      <c r="J208" s="1205">
        <f>'IMF Data'!J96</f>
        <v>3.3877434113585845</v>
      </c>
      <c r="K208" s="1205">
        <f>'IMF Data'!K96</f>
        <v>3.1167160262428126</v>
      </c>
      <c r="L208" s="1205">
        <f>'IMF Data'!L96</f>
        <v>2.9153720163410273</v>
      </c>
      <c r="M208" s="1205">
        <f>'IMF Data'!M96</f>
        <v>2.7790301051572461</v>
      </c>
      <c r="N208" s="1205">
        <f>'IMF Data'!N96</f>
        <v>2.7109438675808932</v>
      </c>
      <c r="O208" s="1205">
        <f>'IMF Data'!O96</f>
        <v>2.5847494305450027</v>
      </c>
      <c r="P208" s="1205">
        <f>'IMF Data'!P96</f>
        <v>2.4156680465459015</v>
      </c>
      <c r="Q208" s="1205">
        <f>'IMF Data'!Q96</f>
        <v>2.2215449623254733</v>
      </c>
      <c r="R208" s="1206">
        <f>'IMF Data'!R96</f>
        <v>2.0174405189118207</v>
      </c>
      <c r="S208" s="232"/>
    </row>
    <row r="209" spans="2:19" s="231" customFormat="1" ht="15">
      <c r="B209" s="946" t="s">
        <v>322</v>
      </c>
      <c r="C209" s="1204">
        <f>'IMF Data'!C99</f>
        <v>18.82029052430844</v>
      </c>
      <c r="D209" s="1205">
        <f>'IMF Data'!D99</f>
        <v>19.320102846761401</v>
      </c>
      <c r="E209" s="1205">
        <f>'IMF Data'!E99</f>
        <v>21.26968020366974</v>
      </c>
      <c r="F209" s="1205">
        <f>'IMF Data'!F99</f>
        <v>22.324815930636117</v>
      </c>
      <c r="G209" s="1205">
        <f>'IMF Data'!G99</f>
        <v>22.631662414548096</v>
      </c>
      <c r="H209" s="1205">
        <f>'IMF Data'!H99</f>
        <v>24.401220286304767</v>
      </c>
      <c r="I209" s="1205">
        <f>'IMF Data'!I99</f>
        <v>24.138177231325528</v>
      </c>
      <c r="J209" s="1205">
        <f>'IMF Data'!J99</f>
        <v>24.506123051990194</v>
      </c>
      <c r="K209" s="1205">
        <f>'IMF Data'!K99</f>
        <v>24.815637518111629</v>
      </c>
      <c r="L209" s="1205">
        <f>'IMF Data'!L99</f>
        <v>25.152688777273966</v>
      </c>
      <c r="M209" s="1205">
        <f>'IMF Data'!M99</f>
        <v>25.516804620124457</v>
      </c>
      <c r="N209" s="1205">
        <f>'IMF Data'!N99</f>
        <v>25.551910759880855</v>
      </c>
      <c r="O209" s="1205">
        <f>'IMF Data'!O99</f>
        <v>25.524558937086859</v>
      </c>
      <c r="P209" s="1205">
        <f>'IMF Data'!P99</f>
        <v>25.593510823921775</v>
      </c>
      <c r="Q209" s="1205">
        <f>'IMF Data'!Q99</f>
        <v>25.665566346511682</v>
      </c>
      <c r="R209" s="1206">
        <f>'IMF Data'!R99</f>
        <v>25.740752258018059</v>
      </c>
      <c r="S209" s="232"/>
    </row>
    <row r="210" spans="2:19" s="231" customFormat="1" ht="15">
      <c r="B210" s="947" t="s">
        <v>40</v>
      </c>
      <c r="C210" s="1204">
        <f>C209-C211</f>
        <v>16.00097663816582</v>
      </c>
      <c r="D210" s="1205">
        <f t="shared" ref="D210:R210" si="49">D209-D211</f>
        <v>16.622684793151755</v>
      </c>
      <c r="E210" s="1205">
        <f t="shared" si="49"/>
        <v>17.920158000593815</v>
      </c>
      <c r="F210" s="1205">
        <f t="shared" si="49"/>
        <v>18.252596903244225</v>
      </c>
      <c r="G210" s="1205">
        <f t="shared" si="49"/>
        <v>17.98619021230845</v>
      </c>
      <c r="H210" s="1205">
        <f t="shared" si="49"/>
        <v>20.472284679683273</v>
      </c>
      <c r="I210" s="1205">
        <f t="shared" si="49"/>
        <v>20.506199830102666</v>
      </c>
      <c r="J210" s="1205">
        <f t="shared" si="49"/>
        <v>20.899750767668486</v>
      </c>
      <c r="K210" s="1205">
        <f t="shared" si="49"/>
        <v>21.298621229153166</v>
      </c>
      <c r="L210" s="1205">
        <f t="shared" si="49"/>
        <v>21.717694391889161</v>
      </c>
      <c r="M210" s="1205">
        <f t="shared" si="49"/>
        <v>22.148742810085597</v>
      </c>
      <c r="N210" s="1205">
        <f t="shared" si="49"/>
        <v>22.180211460501461</v>
      </c>
      <c r="O210" s="1205">
        <f t="shared" si="49"/>
        <v>22.211837454169395</v>
      </c>
      <c r="P210" s="1205">
        <f t="shared" si="49"/>
        <v>22.338973948714511</v>
      </c>
      <c r="Q210" s="1205">
        <f t="shared" si="49"/>
        <v>22.468653173150535</v>
      </c>
      <c r="R210" s="1206">
        <f t="shared" si="49"/>
        <v>22.600925982075275</v>
      </c>
      <c r="S210" s="232"/>
    </row>
    <row r="211" spans="2:19" s="231" customFormat="1" ht="15">
      <c r="B211" s="947" t="s">
        <v>41</v>
      </c>
      <c r="C211" s="1204">
        <f>'IMF Data'!C106</f>
        <v>2.8193138861426199</v>
      </c>
      <c r="D211" s="1205">
        <f>'IMF Data'!D106</f>
        <v>2.6974180536096437</v>
      </c>
      <c r="E211" s="1205">
        <f>'IMF Data'!E106</f>
        <v>3.3495222030759262</v>
      </c>
      <c r="F211" s="1205">
        <f>'IMF Data'!F106</f>
        <v>4.0722190273918919</v>
      </c>
      <c r="G211" s="1205">
        <f>'IMF Data'!G106</f>
        <v>4.6454722022396435</v>
      </c>
      <c r="H211" s="1205">
        <f>'IMF Data'!H106</f>
        <v>3.928935606621494</v>
      </c>
      <c r="I211" s="1205">
        <f>'IMF Data'!I106</f>
        <v>3.6319774012228603</v>
      </c>
      <c r="J211" s="1205">
        <f>'IMF Data'!J106</f>
        <v>3.606372284321707</v>
      </c>
      <c r="K211" s="1205">
        <f>'IMF Data'!K106</f>
        <v>3.5170162889584629</v>
      </c>
      <c r="L211" s="1205">
        <f>'IMF Data'!L106</f>
        <v>3.4349943853848064</v>
      </c>
      <c r="M211" s="1205">
        <f>'IMF Data'!M106</f>
        <v>3.36806181003886</v>
      </c>
      <c r="N211" s="1205">
        <f>'IMF Data'!N106</f>
        <v>3.3716992993793946</v>
      </c>
      <c r="O211" s="1205">
        <f>'IMF Data'!O106</f>
        <v>3.3127214829174654</v>
      </c>
      <c r="P211" s="1205">
        <f>'IMF Data'!P106</f>
        <v>3.2545368752072652</v>
      </c>
      <c r="Q211" s="1205">
        <f>'IMF Data'!Q106</f>
        <v>3.1969131733611476</v>
      </c>
      <c r="R211" s="1206">
        <f>'IMF Data'!R106</f>
        <v>3.139826275942784</v>
      </c>
      <c r="S211" s="232"/>
    </row>
    <row r="212" spans="2:19" s="231" customFormat="1" ht="15">
      <c r="B212" s="958" t="s">
        <v>34</v>
      </c>
      <c r="C212" s="1207">
        <f>'IMF Data'!C110</f>
        <v>0.45149536409950913</v>
      </c>
      <c r="D212" s="1208">
        <f>'IMF Data'!D110</f>
        <v>0.81055975530271529</v>
      </c>
      <c r="E212" s="1208">
        <f>'IMF Data'!E110</f>
        <v>0.52565526338177626</v>
      </c>
      <c r="F212" s="1208">
        <f>'IMF Data'!F110</f>
        <v>0.63298043551747496</v>
      </c>
      <c r="G212" s="1208">
        <f>'IMF Data'!G110</f>
        <v>0.39315263186140287</v>
      </c>
      <c r="H212" s="1208">
        <f>'IMF Data'!H110</f>
        <v>0.27764966629539017</v>
      </c>
      <c r="I212" s="1208">
        <f>'IMF Data'!I110</f>
        <v>0.20766183811281783</v>
      </c>
      <c r="J212" s="1208">
        <f>'IMF Data'!J110</f>
        <v>0.20350860135056151</v>
      </c>
      <c r="K212" s="1208">
        <f>'IMF Data'!K110</f>
        <v>0.19536825729653901</v>
      </c>
      <c r="L212" s="1208">
        <f>'IMF Data'!L110</f>
        <v>0.18364616185874666</v>
      </c>
      <c r="M212" s="1208">
        <f>'IMF Data'!M110</f>
        <v>0.1689544689100469</v>
      </c>
      <c r="N212" s="1208">
        <f>'IMF Data'!N110</f>
        <v>0.15205902201904223</v>
      </c>
      <c r="O212" s="1208">
        <f>'IMF Data'!O110</f>
        <v>0.13685311981713799</v>
      </c>
      <c r="P212" s="1208">
        <f>'IMF Data'!P110</f>
        <v>0.12316780783542419</v>
      </c>
      <c r="Q212" s="1208">
        <f>'IMF Data'!Q110</f>
        <v>0.11085102705188178</v>
      </c>
      <c r="R212" s="1209">
        <f>'IMF Data'!R110</f>
        <v>9.9765924346693624E-2</v>
      </c>
      <c r="S212" s="232"/>
    </row>
    <row r="213" spans="2:19" s="61" customFormat="1" ht="15">
      <c r="B213" s="95" t="s">
        <v>207</v>
      </c>
      <c r="C213" s="948">
        <f>C208+C209+C212</f>
        <v>27.202804216129017</v>
      </c>
      <c r="D213" s="949">
        <f t="shared" ref="D213:R213" si="50">D208+D209+D212</f>
        <v>28.685419264779085</v>
      </c>
      <c r="E213" s="1210">
        <f t="shared" si="50"/>
        <v>28.670647506433184</v>
      </c>
      <c r="F213" s="949">
        <f t="shared" si="50"/>
        <v>28.991514021863409</v>
      </c>
      <c r="G213" s="949">
        <f t="shared" si="50"/>
        <v>26.672933792976195</v>
      </c>
      <c r="H213" s="949">
        <f t="shared" si="50"/>
        <v>28.16814834581097</v>
      </c>
      <c r="I213" s="949">
        <f t="shared" si="50"/>
        <v>27.785370193542818</v>
      </c>
      <c r="J213" s="949">
        <f t="shared" si="50"/>
        <v>28.097375064699339</v>
      </c>
      <c r="K213" s="949">
        <f t="shared" si="50"/>
        <v>28.127721801650981</v>
      </c>
      <c r="L213" s="949">
        <f t="shared" si="50"/>
        <v>28.25170695547374</v>
      </c>
      <c r="M213" s="999">
        <f t="shared" si="50"/>
        <v>28.464789194191752</v>
      </c>
      <c r="N213" s="949">
        <f t="shared" si="50"/>
        <v>28.414913649480791</v>
      </c>
      <c r="O213" s="949">
        <f t="shared" si="50"/>
        <v>28.246161487449001</v>
      </c>
      <c r="P213" s="999">
        <f t="shared" si="50"/>
        <v>28.132346678303104</v>
      </c>
      <c r="Q213" s="949">
        <f t="shared" si="50"/>
        <v>27.997962335889039</v>
      </c>
      <c r="R213" s="949">
        <f t="shared" si="50"/>
        <v>27.857958701276576</v>
      </c>
      <c r="S213" s="401"/>
    </row>
    <row r="214" spans="2:19" s="61" customFormat="1">
      <c r="B214" s="299"/>
      <c r="C214" s="56"/>
      <c r="D214" s="56"/>
      <c r="E214" s="56"/>
      <c r="F214" s="56"/>
      <c r="G214" s="56"/>
      <c r="H214" s="56"/>
      <c r="I214" s="56"/>
      <c r="J214" s="56"/>
      <c r="K214" s="56"/>
      <c r="L214" s="56"/>
      <c r="M214" s="56"/>
      <c r="N214" s="56"/>
      <c r="O214" s="56"/>
      <c r="P214" s="56"/>
      <c r="Q214" s="56"/>
      <c r="R214" s="56"/>
      <c r="S214" s="71"/>
    </row>
    <row r="215" spans="2:19" s="61" customFormat="1">
      <c r="B215" s="644"/>
      <c r="C215" s="1517" t="s">
        <v>730</v>
      </c>
      <c r="D215" s="1518"/>
      <c r="E215" s="1518"/>
      <c r="F215" s="1518"/>
      <c r="G215" s="1518"/>
      <c r="H215" s="1518"/>
      <c r="I215" s="1517" t="s">
        <v>734</v>
      </c>
      <c r="J215" s="1518"/>
      <c r="K215" s="1518"/>
      <c r="L215" s="1518"/>
      <c r="M215" s="1518"/>
      <c r="N215" s="1518"/>
      <c r="O215" s="1518"/>
      <c r="P215" s="1518"/>
      <c r="Q215" s="1518"/>
      <c r="R215" s="1519"/>
      <c r="S215" s="1520" t="s">
        <v>744</v>
      </c>
    </row>
    <row r="216" spans="2:19" s="61" customFormat="1">
      <c r="B216" s="651"/>
      <c r="C216" s="646">
        <v>2005</v>
      </c>
      <c r="D216" s="647">
        <v>2006</v>
      </c>
      <c r="E216" s="647">
        <v>2007</v>
      </c>
      <c r="F216" s="647">
        <v>2008</v>
      </c>
      <c r="G216" s="647">
        <v>2009</v>
      </c>
      <c r="H216" s="647">
        <v>2010</v>
      </c>
      <c r="I216" s="646">
        <v>2011</v>
      </c>
      <c r="J216" s="647">
        <v>2012</v>
      </c>
      <c r="K216" s="647">
        <v>2013</v>
      </c>
      <c r="L216" s="647">
        <v>2014</v>
      </c>
      <c r="M216" s="647">
        <v>2015</v>
      </c>
      <c r="N216" s="647">
        <v>2016</v>
      </c>
      <c r="O216" s="647">
        <v>2017</v>
      </c>
      <c r="P216" s="647">
        <v>2018</v>
      </c>
      <c r="Q216" s="647">
        <v>2019</v>
      </c>
      <c r="R216" s="648">
        <v>2020</v>
      </c>
      <c r="S216" s="1521"/>
    </row>
    <row r="217" spans="2:19" s="61" customFormat="1" ht="26.25">
      <c r="B217" s="365" t="s">
        <v>764</v>
      </c>
      <c r="C217" s="667"/>
      <c r="D217" s="667"/>
      <c r="E217" s="667"/>
      <c r="F217" s="667"/>
      <c r="G217" s="667"/>
      <c r="H217" s="667"/>
      <c r="I217" s="667"/>
      <c r="J217" s="667"/>
      <c r="K217" s="667"/>
      <c r="L217" s="667"/>
      <c r="M217" s="667"/>
      <c r="N217" s="667"/>
      <c r="O217" s="667"/>
      <c r="P217" s="667"/>
      <c r="Q217" s="667"/>
      <c r="R217" s="667"/>
      <c r="S217" s="93" t="s">
        <v>437</v>
      </c>
    </row>
    <row r="218" spans="2:19" s="61" customFormat="1" ht="12.75">
      <c r="B218" s="303"/>
      <c r="C218" s="97"/>
      <c r="D218" s="97"/>
      <c r="E218" s="97"/>
      <c r="F218" s="97"/>
      <c r="G218" s="97"/>
      <c r="H218" s="97"/>
      <c r="I218" s="97"/>
      <c r="J218" s="97"/>
      <c r="K218" s="97"/>
      <c r="L218" s="97"/>
      <c r="M218" s="97"/>
      <c r="N218" s="62"/>
      <c r="O218" s="62"/>
      <c r="P218" s="62"/>
      <c r="Q218" s="62"/>
      <c r="R218" s="62"/>
      <c r="S218" s="74"/>
    </row>
    <row r="219" spans="2:19" s="61" customFormat="1" ht="15">
      <c r="B219" s="944" t="s">
        <v>317</v>
      </c>
      <c r="C219" s="945">
        <f>C220+C224</f>
        <v>27.298489298570797</v>
      </c>
      <c r="D219" s="945">
        <f t="shared" ref="D219:L219" si="51">D220+D224</f>
        <v>27.549999230188909</v>
      </c>
      <c r="E219" s="945">
        <f t="shared" si="51"/>
        <v>29.388446637026277</v>
      </c>
      <c r="F219" s="945">
        <f t="shared" si="51"/>
        <v>27.732084970216249</v>
      </c>
      <c r="G219" s="945">
        <f t="shared" si="51"/>
        <v>31.798450182677286</v>
      </c>
      <c r="H219" s="945">
        <f t="shared" si="51"/>
        <v>30.047246886487116</v>
      </c>
      <c r="I219" s="945">
        <f t="shared" si="51"/>
        <v>28.95481282664786</v>
      </c>
      <c r="J219" s="945">
        <f t="shared" si="51"/>
        <v>29.160725080936345</v>
      </c>
      <c r="K219" s="945">
        <f t="shared" si="51"/>
        <v>29.052436582033891</v>
      </c>
      <c r="L219" s="945">
        <f t="shared" si="51"/>
        <v>29.014348890343847</v>
      </c>
      <c r="M219" s="945">
        <f t="shared" ref="M219:R219" si="52">M220+M224</f>
        <v>28.933292346088088</v>
      </c>
      <c r="N219" s="945">
        <f t="shared" si="52"/>
        <v>28.809832103207572</v>
      </c>
      <c r="O219" s="945">
        <f t="shared" si="52"/>
        <v>28.757133986026425</v>
      </c>
      <c r="P219" s="945">
        <f t="shared" si="52"/>
        <v>28.654454741234634</v>
      </c>
      <c r="Q219" s="945">
        <f t="shared" si="52"/>
        <v>28.558173255571116</v>
      </c>
      <c r="R219" s="945">
        <f t="shared" si="52"/>
        <v>28.451290348055892</v>
      </c>
      <c r="S219" s="74"/>
    </row>
    <row r="220" spans="2:19" s="61" customFormat="1" ht="26.25">
      <c r="B220" s="717" t="s">
        <v>209</v>
      </c>
      <c r="C220" s="938">
        <f>C221+C222</f>
        <v>17.861175669297367</v>
      </c>
      <c r="D220" s="938">
        <f t="shared" ref="D220:L220" si="53">D221+D222</f>
        <v>18.482548382626902</v>
      </c>
      <c r="E220" s="938">
        <f t="shared" si="53"/>
        <v>20.268913627443052</v>
      </c>
      <c r="F220" s="938">
        <f t="shared" si="53"/>
        <v>19.687711694919592</v>
      </c>
      <c r="G220" s="938">
        <f t="shared" si="53"/>
        <v>20.92880500292754</v>
      </c>
      <c r="H220" s="938">
        <f t="shared" si="53"/>
        <v>21.053921786391889</v>
      </c>
      <c r="I220" s="938">
        <f t="shared" si="53"/>
        <v>21.82590668876545</v>
      </c>
      <c r="J220" s="938">
        <f t="shared" si="53"/>
        <v>22.031818943053931</v>
      </c>
      <c r="K220" s="938">
        <f t="shared" si="53"/>
        <v>21.923530444151481</v>
      </c>
      <c r="L220" s="938">
        <f t="shared" si="53"/>
        <v>21.885442752461437</v>
      </c>
      <c r="M220" s="938">
        <f t="shared" ref="M220:R220" si="54">M221+M222</f>
        <v>21.804386208205678</v>
      </c>
      <c r="N220" s="938">
        <f t="shared" si="54"/>
        <v>21.752215026703986</v>
      </c>
      <c r="O220" s="938">
        <f t="shared" si="54"/>
        <v>21.770093080287872</v>
      </c>
      <c r="P220" s="938">
        <f t="shared" si="54"/>
        <v>21.807154653610855</v>
      </c>
      <c r="Q220" s="938">
        <f t="shared" si="54"/>
        <v>21.847819169699811</v>
      </c>
      <c r="R220" s="938">
        <f t="shared" si="54"/>
        <v>21.87514334390201</v>
      </c>
      <c r="S220" s="93" t="s">
        <v>313</v>
      </c>
    </row>
    <row r="221" spans="2:19" s="61" customFormat="1" ht="15">
      <c r="B221" s="942" t="s">
        <v>45</v>
      </c>
      <c r="C221" s="938">
        <f>'IMF Data'!C113-'IMF Data'!C114</f>
        <v>17.072220587296087</v>
      </c>
      <c r="D221" s="938">
        <f>'IMF Data'!D113-'IMF Data'!D114</f>
        <v>17.665009006789731</v>
      </c>
      <c r="E221" s="938">
        <f>'IMF Data'!E113-'IMF Data'!E114</f>
        <v>19.161994859243901</v>
      </c>
      <c r="F221" s="938">
        <f>'IMF Data'!F113-'IMF Data'!F114</f>
        <v>18.561141196386895</v>
      </c>
      <c r="G221" s="938">
        <f>'IMF Data'!G113-'IMF Data'!G114</f>
        <v>19.488853338993444</v>
      </c>
      <c r="H221" s="938">
        <f>'IMF Data'!H113-'IMF Data'!H114</f>
        <v>19.772694780832435</v>
      </c>
      <c r="I221" s="938">
        <f>'IMF Data'!I113-'IMF Data'!I114</f>
        <v>20.340709222582575</v>
      </c>
      <c r="J221" s="938">
        <f>'IMF Data'!J113-'IMF Data'!J114</f>
        <v>20.340709222582582</v>
      </c>
      <c r="K221" s="938">
        <f>'IMF Data'!K113-'IMF Data'!K114</f>
        <v>20.340709222582582</v>
      </c>
      <c r="L221" s="938">
        <f>'IMF Data'!L113-'IMF Data'!L114</f>
        <v>20.340709222582579</v>
      </c>
      <c r="M221" s="938">
        <f>'IMF Data'!M113-'IMF Data'!M114</f>
        <v>20.340709222582579</v>
      </c>
      <c r="N221" s="938">
        <f>'IMF Data'!N113-'IMF Data'!N114</f>
        <v>20.340709222582575</v>
      </c>
      <c r="O221" s="938">
        <f>'IMF Data'!O113-'IMF Data'!O114</f>
        <v>20.340709222582575</v>
      </c>
      <c r="P221" s="938">
        <f>'IMF Data'!P113-'IMF Data'!P114</f>
        <v>20.340709222582575</v>
      </c>
      <c r="Q221" s="938">
        <f>'IMF Data'!Q113-'IMF Data'!Q114</f>
        <v>20.340709222582571</v>
      </c>
      <c r="R221" s="938">
        <f>'IMF Data'!R113-'IMF Data'!R114</f>
        <v>20.340709222582575</v>
      </c>
      <c r="S221" s="93"/>
    </row>
    <row r="222" spans="2:19" s="61" customFormat="1" ht="26.25">
      <c r="B222" s="305" t="s">
        <v>210</v>
      </c>
      <c r="C222" s="939">
        <f>'IMF Data'!C114</f>
        <v>0.78895508200128006</v>
      </c>
      <c r="D222" s="939">
        <f>'IMF Data'!D114</f>
        <v>0.81753937583716951</v>
      </c>
      <c r="E222" s="939">
        <f>'IMF Data'!E114</f>
        <v>1.1069187681991497</v>
      </c>
      <c r="F222" s="939">
        <f>'IMF Data'!F114</f>
        <v>1.1265704985326974</v>
      </c>
      <c r="G222" s="939">
        <f>'IMF Data'!G114</f>
        <v>1.439951663934095</v>
      </c>
      <c r="H222" s="939">
        <f>'IMF Data'!H114</f>
        <v>1.281227005559455</v>
      </c>
      <c r="I222" s="939">
        <f>'IMF Data'!I114</f>
        <v>1.4851974661828731</v>
      </c>
      <c r="J222" s="939">
        <f>'IMF Data'!J114</f>
        <v>1.6911097204713497</v>
      </c>
      <c r="K222" s="939">
        <f>'IMF Data'!K114</f>
        <v>1.5828212215688988</v>
      </c>
      <c r="L222" s="939">
        <f>'IMF Data'!L114</f>
        <v>1.5447335298788596</v>
      </c>
      <c r="M222" s="939">
        <f>'IMF Data'!M114</f>
        <v>1.4636769856230982</v>
      </c>
      <c r="N222" s="939">
        <f>'IMF Data'!N114</f>
        <v>1.4115058041214095</v>
      </c>
      <c r="O222" s="939">
        <f>'IMF Data'!O114</f>
        <v>1.4293838577052949</v>
      </c>
      <c r="P222" s="939">
        <f>'IMF Data'!P114</f>
        <v>1.4664454310282813</v>
      </c>
      <c r="Q222" s="939">
        <f>'IMF Data'!Q114</f>
        <v>1.5071099471172387</v>
      </c>
      <c r="R222" s="939">
        <f>'IMF Data'!R114</f>
        <v>1.5344341213194355</v>
      </c>
      <c r="S222" s="93" t="s">
        <v>313</v>
      </c>
    </row>
    <row r="223" spans="2:19" s="61" customFormat="1" ht="9" customHeight="1">
      <c r="B223" s="304"/>
      <c r="C223" s="943"/>
      <c r="D223" s="943"/>
      <c r="E223" s="943"/>
      <c r="F223" s="943"/>
      <c r="G223" s="943"/>
      <c r="H223" s="943"/>
      <c r="I223" s="943"/>
      <c r="J223" s="943"/>
      <c r="K223" s="943"/>
      <c r="L223" s="943"/>
      <c r="M223" s="943"/>
      <c r="N223" s="943"/>
      <c r="O223" s="943"/>
      <c r="P223" s="943"/>
      <c r="Q223" s="943"/>
      <c r="R223" s="943"/>
      <c r="S223" s="74"/>
    </row>
    <row r="224" spans="2:19" s="61" customFormat="1" ht="26.25">
      <c r="B224" s="942" t="s">
        <v>318</v>
      </c>
      <c r="C224" s="940">
        <f>'IMF Data'!C115</f>
        <v>9.4373136292734294</v>
      </c>
      <c r="D224" s="940">
        <f>'IMF Data'!D115</f>
        <v>9.0674508475620073</v>
      </c>
      <c r="E224" s="940">
        <f>'IMF Data'!E115</f>
        <v>9.1195330095832237</v>
      </c>
      <c r="F224" s="940">
        <f>'IMF Data'!F115</f>
        <v>8.0443732752966586</v>
      </c>
      <c r="G224" s="940">
        <f>'IMF Data'!G115</f>
        <v>10.869645179749744</v>
      </c>
      <c r="H224" s="940">
        <f>'IMF Data'!H115</f>
        <v>8.9933251000952286</v>
      </c>
      <c r="I224" s="940">
        <f>'IMF Data'!I115</f>
        <v>7.1289061378824119</v>
      </c>
      <c r="J224" s="940">
        <f>'IMF Data'!J115</f>
        <v>7.1289061378824119</v>
      </c>
      <c r="K224" s="940">
        <f>'IMF Data'!K115</f>
        <v>7.1289061378824119</v>
      </c>
      <c r="L224" s="940">
        <f>'IMF Data'!L115</f>
        <v>7.1289061378824119</v>
      </c>
      <c r="M224" s="940">
        <f>'IMF Data'!M115</f>
        <v>7.128906137882411</v>
      </c>
      <c r="N224" s="940">
        <f>'IMF Data'!N115</f>
        <v>7.0576170765035862</v>
      </c>
      <c r="O224" s="940">
        <f>'IMF Data'!O115</f>
        <v>6.9870409057385512</v>
      </c>
      <c r="P224" s="940">
        <f>'IMF Data'!P115</f>
        <v>6.84730008762378</v>
      </c>
      <c r="Q224" s="940">
        <f>'IMF Data'!Q115</f>
        <v>6.7103540858713053</v>
      </c>
      <c r="R224" s="940">
        <f>'IMF Data'!R115</f>
        <v>6.5761470041538796</v>
      </c>
      <c r="S224" s="93" t="s">
        <v>313</v>
      </c>
    </row>
    <row r="225" spans="2:19" s="1214" customFormat="1" ht="7.5" customHeight="1">
      <c r="B225" s="1211"/>
      <c r="C225" s="1212"/>
      <c r="D225" s="1212"/>
      <c r="E225" s="1212"/>
      <c r="F225" s="1212"/>
      <c r="G225" s="1212"/>
      <c r="H225" s="1212"/>
      <c r="I225" s="1212"/>
      <c r="J225" s="1212"/>
      <c r="K225" s="1212"/>
      <c r="L225" s="1212"/>
      <c r="M225" s="1212"/>
      <c r="N225" s="1212"/>
      <c r="O225" s="1212"/>
      <c r="P225" s="1212"/>
      <c r="Q225" s="1212"/>
      <c r="R225" s="1212"/>
      <c r="S225" s="1213"/>
    </row>
    <row r="226" spans="2:19" s="61" customFormat="1" ht="26.25">
      <c r="B226" s="203" t="s">
        <v>314</v>
      </c>
      <c r="C226" s="941">
        <f t="shared" ref="C226:R226" si="55">C227+C228+C229</f>
        <v>3.1953193206922927</v>
      </c>
      <c r="D226" s="941">
        <f t="shared" si="55"/>
        <v>1.3400871426152021</v>
      </c>
      <c r="E226" s="941">
        <f t="shared" si="55"/>
        <v>1.8195960888619673</v>
      </c>
      <c r="F226" s="941">
        <f t="shared" si="55"/>
        <v>2.4548045558430154</v>
      </c>
      <c r="G226" s="941">
        <f t="shared" si="55"/>
        <v>3.8671143531463366</v>
      </c>
      <c r="H226" s="941">
        <f t="shared" si="55"/>
        <v>4.5348772404813618</v>
      </c>
      <c r="I226" s="941">
        <f t="shared" si="55"/>
        <v>2.7677169783676359</v>
      </c>
      <c r="J226" s="941">
        <f t="shared" si="55"/>
        <v>2.69367307337013</v>
      </c>
      <c r="K226" s="941">
        <f t="shared" si="55"/>
        <v>2.6397996119027267</v>
      </c>
      <c r="L226" s="941">
        <f t="shared" si="55"/>
        <v>2.5870036196646722</v>
      </c>
      <c r="M226" s="941">
        <f t="shared" si="55"/>
        <v>2.5695926447847262</v>
      </c>
      <c r="N226" s="941">
        <f t="shared" si="55"/>
        <v>2.543896718336879</v>
      </c>
      <c r="O226" s="941">
        <f t="shared" si="55"/>
        <v>2.5184577511535107</v>
      </c>
      <c r="P226" s="941">
        <f t="shared" si="55"/>
        <v>2.46808859613044</v>
      </c>
      <c r="Q226" s="941">
        <f t="shared" si="55"/>
        <v>2.4187268242078312</v>
      </c>
      <c r="R226" s="941">
        <f t="shared" si="55"/>
        <v>2.382445921844714</v>
      </c>
      <c r="S226" s="93" t="s">
        <v>313</v>
      </c>
    </row>
    <row r="227" spans="2:19" s="61" customFormat="1" ht="15">
      <c r="B227" s="304" t="s">
        <v>315</v>
      </c>
      <c r="C227" s="939">
        <f>'IMF Data'!C120</f>
        <v>1.2240064344233723</v>
      </c>
      <c r="D227" s="939">
        <f>'IMF Data'!D120</f>
        <v>0.86146992861285165</v>
      </c>
      <c r="E227" s="939">
        <f>'IMF Data'!E120</f>
        <v>1.4562189640092289</v>
      </c>
      <c r="F227" s="939">
        <f>'IMF Data'!F120</f>
        <v>1.8181352935076409</v>
      </c>
      <c r="G227" s="939">
        <f>'IMF Data'!G120</f>
        <v>2.7737762370589771</v>
      </c>
      <c r="H227" s="939">
        <f>'IMF Data'!H120</f>
        <v>2.8269784204621544</v>
      </c>
      <c r="I227" s="939">
        <f>'IMF Data'!I120</f>
        <v>1.8689565430153603</v>
      </c>
      <c r="J227" s="939">
        <f>'IMF Data'!J120</f>
        <v>1.8128878467248997</v>
      </c>
      <c r="K227" s="939">
        <f>'IMF Data'!K120</f>
        <v>1.7766300897904015</v>
      </c>
      <c r="L227" s="939">
        <f>'IMF Data'!L120</f>
        <v>1.7410974879945933</v>
      </c>
      <c r="M227" s="939">
        <f>'IMF Data'!M120</f>
        <v>1.7236865131146475</v>
      </c>
      <c r="N227" s="939">
        <f>'IMF Data'!N120</f>
        <v>1.7064496479835012</v>
      </c>
      <c r="O227" s="939">
        <f>'IMF Data'!O120</f>
        <v>1.6893851515036664</v>
      </c>
      <c r="P227" s="939">
        <f>'IMF Data'!P120</f>
        <v>1.6555974484735927</v>
      </c>
      <c r="Q227" s="939">
        <f>'IMF Data'!Q120</f>
        <v>1.6224854995041209</v>
      </c>
      <c r="R227" s="939">
        <f>'IMF Data'!R120</f>
        <v>1.5981482170115593</v>
      </c>
      <c r="S227" s="74"/>
    </row>
    <row r="228" spans="2:19" s="61" customFormat="1" ht="26.25">
      <c r="B228" s="304" t="s">
        <v>211</v>
      </c>
      <c r="C228" s="939">
        <f>'IMF Data'!C121</f>
        <v>1.9713128862689204</v>
      </c>
      <c r="D228" s="939">
        <f>'IMF Data'!D121</f>
        <v>0.47861721400235041</v>
      </c>
      <c r="E228" s="939">
        <f>'IMF Data'!E121</f>
        <v>0.36337712485273832</v>
      </c>
      <c r="F228" s="939">
        <f>'IMF Data'!F121</f>
        <v>0.63666926233537458</v>
      </c>
      <c r="G228" s="939">
        <f>'IMF Data'!G121</f>
        <v>0.49034328194410354</v>
      </c>
      <c r="H228" s="939">
        <f>'IMF Data'!H121</f>
        <v>1.6069353050027018</v>
      </c>
      <c r="I228" s="939">
        <f>'IMF Data'!I121</f>
        <v>0.89876043535227546</v>
      </c>
      <c r="J228" s="939">
        <f>'IMF Data'!J121</f>
        <v>0.88078522664523007</v>
      </c>
      <c r="K228" s="939">
        <f>'IMF Data'!K121</f>
        <v>0.86316952211232545</v>
      </c>
      <c r="L228" s="939">
        <f>'IMF Data'!L121</f>
        <v>0.84590613167007889</v>
      </c>
      <c r="M228" s="939">
        <f>'IMF Data'!M121</f>
        <v>0.84590613167007878</v>
      </c>
      <c r="N228" s="939">
        <f>'IMF Data'!N121</f>
        <v>0.83744707035337806</v>
      </c>
      <c r="O228" s="939">
        <f>'IMF Data'!O121</f>
        <v>0.82907259964984437</v>
      </c>
      <c r="P228" s="939">
        <f>'IMF Data'!P121</f>
        <v>0.81249114765684738</v>
      </c>
      <c r="Q228" s="939">
        <f>'IMF Data'!Q121</f>
        <v>0.79624132470371045</v>
      </c>
      <c r="R228" s="939">
        <f>'IMF Data'!R121</f>
        <v>0.78429770483315486</v>
      </c>
      <c r="S228" s="93" t="s">
        <v>313</v>
      </c>
    </row>
    <row r="229" spans="2:19" s="61" customFormat="1" ht="15">
      <c r="B229" s="304" t="s">
        <v>316</v>
      </c>
      <c r="C229" s="939">
        <f>'IMF Data'!C122</f>
        <v>0</v>
      </c>
      <c r="D229" s="939">
        <f>'IMF Data'!D122</f>
        <v>0</v>
      </c>
      <c r="E229" s="939">
        <f>'IMF Data'!E122</f>
        <v>0</v>
      </c>
      <c r="F229" s="939">
        <f>'IMF Data'!F122</f>
        <v>0</v>
      </c>
      <c r="G229" s="939">
        <f>'IMF Data'!G122</f>
        <v>0.60299483414325594</v>
      </c>
      <c r="H229" s="939">
        <f>'IMF Data'!H122</f>
        <v>0.10096351501650551</v>
      </c>
      <c r="I229" s="939">
        <f>'IMF Data'!I122</f>
        <v>0</v>
      </c>
      <c r="J229" s="939">
        <f>'IMF Data'!J122</f>
        <v>0</v>
      </c>
      <c r="K229" s="939">
        <f>'IMF Data'!K122</f>
        <v>0</v>
      </c>
      <c r="L229" s="939">
        <f>'IMF Data'!L122</f>
        <v>0</v>
      </c>
      <c r="M229" s="939">
        <f>'IMF Data'!M122</f>
        <v>0</v>
      </c>
      <c r="N229" s="939">
        <f>'IMF Data'!N122</f>
        <v>0</v>
      </c>
      <c r="O229" s="939">
        <f>'IMF Data'!O122</f>
        <v>0</v>
      </c>
      <c r="P229" s="939">
        <f>'IMF Data'!P122</f>
        <v>0</v>
      </c>
      <c r="Q229" s="939">
        <f>'IMF Data'!Q122</f>
        <v>0</v>
      </c>
      <c r="R229" s="939">
        <f>'IMF Data'!R122</f>
        <v>0</v>
      </c>
      <c r="S229" s="93"/>
    </row>
    <row r="230" spans="2:19" s="1214" customFormat="1" ht="15">
      <c r="B230" s="1215"/>
      <c r="C230" s="1216"/>
      <c r="D230" s="1216"/>
      <c r="E230" s="1216"/>
      <c r="F230" s="1216"/>
      <c r="G230" s="1216"/>
      <c r="H230" s="1216"/>
      <c r="I230" s="1216"/>
      <c r="J230" s="1216"/>
      <c r="K230" s="1216"/>
      <c r="L230" s="1216"/>
      <c r="M230" s="1216"/>
      <c r="N230" s="1217"/>
      <c r="O230" s="1217"/>
      <c r="P230" s="1217"/>
      <c r="Q230" s="1217"/>
      <c r="R230" s="1217"/>
      <c r="S230" s="1218"/>
    </row>
    <row r="231" spans="2:19" s="61" customFormat="1" ht="15">
      <c r="B231" s="310" t="s">
        <v>319</v>
      </c>
      <c r="C231" s="1219">
        <f>C226+C219</f>
        <v>30.493808619263088</v>
      </c>
      <c r="D231" s="1219">
        <f t="shared" ref="D231:R231" si="56">D226+D219</f>
        <v>28.890086372804113</v>
      </c>
      <c r="E231" s="1219">
        <f t="shared" si="56"/>
        <v>31.208042725888244</v>
      </c>
      <c r="F231" s="1219">
        <f t="shared" si="56"/>
        <v>30.186889526059264</v>
      </c>
      <c r="G231" s="1219">
        <f t="shared" si="56"/>
        <v>35.66556453582362</v>
      </c>
      <c r="H231" s="1219">
        <f t="shared" si="56"/>
        <v>34.58212412696848</v>
      </c>
      <c r="I231" s="1219">
        <f t="shared" si="56"/>
        <v>31.722529805015498</v>
      </c>
      <c r="J231" s="1219">
        <f t="shared" si="56"/>
        <v>31.854398154306473</v>
      </c>
      <c r="K231" s="1219">
        <f t="shared" si="56"/>
        <v>31.692236193936619</v>
      </c>
      <c r="L231" s="1219">
        <f t="shared" si="56"/>
        <v>31.601352510008518</v>
      </c>
      <c r="M231" s="1219">
        <f t="shared" si="56"/>
        <v>31.502884990872815</v>
      </c>
      <c r="N231" s="1219">
        <f t="shared" si="56"/>
        <v>31.353728821544451</v>
      </c>
      <c r="O231" s="1219">
        <f t="shared" si="56"/>
        <v>31.275591737179937</v>
      </c>
      <c r="P231" s="1219">
        <f t="shared" si="56"/>
        <v>31.122543337365073</v>
      </c>
      <c r="Q231" s="1219">
        <f t="shared" si="56"/>
        <v>30.976900079778947</v>
      </c>
      <c r="R231" s="1219">
        <f t="shared" si="56"/>
        <v>30.833736269900605</v>
      </c>
      <c r="S231" s="302"/>
    </row>
    <row r="232" spans="2:19" s="61" customFormat="1" ht="15">
      <c r="B232" s="716" t="s">
        <v>212</v>
      </c>
      <c r="C232" s="939">
        <f>'IMF Data'!C124</f>
        <v>30.493808619263092</v>
      </c>
      <c r="D232" s="939">
        <f>'IMF Data'!D124</f>
        <v>28.89008637280411</v>
      </c>
      <c r="E232" s="939">
        <f>'IMF Data'!E124</f>
        <v>31.208042725888241</v>
      </c>
      <c r="F232" s="939">
        <f>'IMF Data'!F124</f>
        <v>30.186889526059264</v>
      </c>
      <c r="G232" s="939">
        <f>'IMF Data'!G124</f>
        <v>35.66556453582362</v>
      </c>
      <c r="H232" s="939">
        <f>'IMF Data'!H124</f>
        <v>34.58212412696848</v>
      </c>
      <c r="I232" s="939">
        <f>'IMF Data'!I124</f>
        <v>31.722529805015498</v>
      </c>
      <c r="J232" s="939">
        <f>'IMF Data'!J124</f>
        <v>31.854398154306473</v>
      </c>
      <c r="K232" s="939">
        <f>'IMF Data'!K124</f>
        <v>31.692236193936616</v>
      </c>
      <c r="L232" s="939">
        <f>'IMF Data'!L124</f>
        <v>31.601352510008514</v>
      </c>
      <c r="M232" s="939">
        <f>'IMF Data'!M124</f>
        <v>31.502884990872811</v>
      </c>
      <c r="N232" s="939">
        <f>'IMF Data'!N124</f>
        <v>31.353728821544454</v>
      </c>
      <c r="O232" s="939">
        <f>'IMF Data'!O124</f>
        <v>31.275591737179926</v>
      </c>
      <c r="P232" s="939">
        <f>'IMF Data'!P124</f>
        <v>31.122543337365077</v>
      </c>
      <c r="Q232" s="939">
        <f>'IMF Data'!Q124</f>
        <v>30.97690007977895</v>
      </c>
      <c r="R232" s="939">
        <f>'IMF Data'!R124</f>
        <v>30.833736269900605</v>
      </c>
      <c r="S232" s="302"/>
    </row>
    <row r="233" spans="2:19" s="61" customFormat="1" ht="15">
      <c r="B233" s="306" t="s">
        <v>326</v>
      </c>
      <c r="C233" s="969">
        <f>C213-C232</f>
        <v>-3.2910044031340746</v>
      </c>
      <c r="D233" s="969">
        <f t="shared" ref="D233:R233" si="57">D213-D232</f>
        <v>-0.20466710802502419</v>
      </c>
      <c r="E233" s="969">
        <f t="shared" si="57"/>
        <v>-2.5373952194550569</v>
      </c>
      <c r="F233" s="969">
        <f t="shared" si="57"/>
        <v>-1.1953755041958551</v>
      </c>
      <c r="G233" s="969">
        <f t="shared" si="57"/>
        <v>-8.9926307428474246</v>
      </c>
      <c r="H233" s="969">
        <f t="shared" si="57"/>
        <v>-6.4139757811575109</v>
      </c>
      <c r="I233" s="969">
        <f t="shared" si="57"/>
        <v>-3.9371596114726799</v>
      </c>
      <c r="J233" s="969">
        <f t="shared" si="57"/>
        <v>-3.7570230896071344</v>
      </c>
      <c r="K233" s="969">
        <f t="shared" si="57"/>
        <v>-3.5645143922856342</v>
      </c>
      <c r="L233" s="969">
        <f t="shared" si="57"/>
        <v>-3.3496455545347743</v>
      </c>
      <c r="M233" s="969">
        <f t="shared" si="57"/>
        <v>-3.0380957966810591</v>
      </c>
      <c r="N233" s="969">
        <f t="shared" si="57"/>
        <v>-2.9388151720636628</v>
      </c>
      <c r="O233" s="969">
        <f t="shared" si="57"/>
        <v>-3.0294302497309253</v>
      </c>
      <c r="P233" s="969">
        <f t="shared" si="57"/>
        <v>-2.9901966590619722</v>
      </c>
      <c r="Q233" s="969">
        <f t="shared" si="57"/>
        <v>-2.9789377438899116</v>
      </c>
      <c r="R233" s="969">
        <f t="shared" si="57"/>
        <v>-2.9757775686240286</v>
      </c>
      <c r="S233" s="412"/>
    </row>
    <row r="234" spans="2:19" s="61" customFormat="1" ht="15">
      <c r="B234" s="965" t="s">
        <v>329</v>
      </c>
      <c r="C234" s="970">
        <f>'IMF Data'!C162</f>
        <v>-2.5020493211327932</v>
      </c>
      <c r="D234" s="970">
        <f>'IMF Data'!D162</f>
        <v>0.61287226781214554</v>
      </c>
      <c r="E234" s="970">
        <f>'IMF Data'!E162</f>
        <v>-1.4304764512559085</v>
      </c>
      <c r="F234" s="970">
        <f>'IMF Data'!F162</f>
        <v>-6.8805005663155949E-2</v>
      </c>
      <c r="G234" s="970">
        <f>'IMF Data'!G162</f>
        <v>-7.5526790789133331</v>
      </c>
      <c r="H234" s="970">
        <f>'IMF Data'!H162</f>
        <v>-5.1327487755980563</v>
      </c>
      <c r="I234" s="970">
        <f>'IMF Data'!I162</f>
        <v>-2.4519621452898059</v>
      </c>
      <c r="J234" s="970">
        <f>'IMF Data'!J162</f>
        <v>-2.0659133691357798</v>
      </c>
      <c r="K234" s="970">
        <f>'IMF Data'!K162</f>
        <v>-1.9816931707167371</v>
      </c>
      <c r="L234" s="970">
        <f>'IMF Data'!L162</f>
        <v>-1.8049120246559205</v>
      </c>
      <c r="M234" s="970">
        <f>'IMF Data'!M162</f>
        <v>-1.574418811057968</v>
      </c>
      <c r="N234" s="970">
        <f>'IMF Data'!N162</f>
        <v>-1.5273093679422534</v>
      </c>
      <c r="O234" s="970">
        <f>'IMF Data'!O162</f>
        <v>-1.600046392025634</v>
      </c>
      <c r="P234" s="970">
        <f>'IMF Data'!P162</f>
        <v>-1.5237512280336909</v>
      </c>
      <c r="Q234" s="970">
        <f>'IMF Data'!Q162</f>
        <v>-1.4718277967726738</v>
      </c>
      <c r="R234" s="970">
        <f>'IMF Data'!R162</f>
        <v>-1.441343447304595</v>
      </c>
      <c r="S234" s="74"/>
    </row>
    <row r="235" spans="2:19" s="61" customFormat="1" ht="2.25" customHeight="1">
      <c r="B235" s="965"/>
      <c r="C235" s="971"/>
      <c r="D235" s="971"/>
      <c r="E235" s="971"/>
      <c r="F235" s="971"/>
      <c r="G235" s="971"/>
      <c r="H235" s="971"/>
      <c r="I235" s="971"/>
      <c r="J235" s="971"/>
      <c r="K235" s="971"/>
      <c r="L235" s="971"/>
      <c r="M235" s="971"/>
      <c r="N235" s="971"/>
      <c r="O235" s="971"/>
      <c r="P235" s="971"/>
      <c r="Q235" s="971"/>
      <c r="R235" s="971"/>
      <c r="S235" s="74"/>
    </row>
    <row r="236" spans="2:19" s="61" customFormat="1" ht="15">
      <c r="B236" s="965" t="s">
        <v>330</v>
      </c>
      <c r="C236" s="970">
        <f>'IMF Data'!C163</f>
        <v>-10.433067648853863</v>
      </c>
      <c r="D236" s="970">
        <f>'IMF Data'!D163</f>
        <v>-7.9418843949028233</v>
      </c>
      <c r="E236" s="970">
        <f>'IMF Data'!E163</f>
        <v>-8.3057884906375783</v>
      </c>
      <c r="F236" s="970">
        <f>'IMF Data'!F163</f>
        <v>-6.1025226613729764</v>
      </c>
      <c r="G236" s="970">
        <f>'IMF Data'!G163</f>
        <v>-11.200797825480031</v>
      </c>
      <c r="H236" s="970">
        <f>'IMF Data'!H163</f>
        <v>-8.6220271688088719</v>
      </c>
      <c r="I236" s="970">
        <f>'IMF Data'!I163</f>
        <v>-5.8914932693942799</v>
      </c>
      <c r="J236" s="970">
        <f>'IMF Data'!J163</f>
        <v>-5.4536567804943648</v>
      </c>
      <c r="K236" s="970">
        <f>'IMF Data'!K163</f>
        <v>-5.0984091969595493</v>
      </c>
      <c r="L236" s="970">
        <f>'IMF Data'!L163</f>
        <v>-4.7202840409969475</v>
      </c>
      <c r="M236" s="970">
        <f>'IMF Data'!M163</f>
        <v>-4.3534489162152141</v>
      </c>
      <c r="N236" s="970">
        <f>'IMF Data'!N163</f>
        <v>-4.2382532355231461</v>
      </c>
      <c r="O236" s="970">
        <f>'IMF Data'!O163</f>
        <v>-4.1847958225706368</v>
      </c>
      <c r="P236" s="970">
        <f>'IMF Data'!P163</f>
        <v>-3.9394192745795924</v>
      </c>
      <c r="Q236" s="970">
        <f>'IMF Data'!Q163</f>
        <v>-3.6933727590981471</v>
      </c>
      <c r="R236" s="970">
        <f>'IMF Data'!R163</f>
        <v>-3.4587839662164157</v>
      </c>
      <c r="S236" s="74"/>
    </row>
    <row r="237" spans="2:19" s="61" customFormat="1" ht="15">
      <c r="B237" s="1252" t="s">
        <v>973</v>
      </c>
      <c r="C237" s="970">
        <f>'IMF Data'!C171</f>
        <v>18.820290524308437</v>
      </c>
      <c r="D237" s="970">
        <f>'IMF Data'!D171</f>
        <v>19.320102846761404</v>
      </c>
      <c r="E237" s="970">
        <f>'IMF Data'!E171</f>
        <v>21.26968020366974</v>
      </c>
      <c r="F237" s="970">
        <f>'IMF Data'!F171</f>
        <v>22.32481593063612</v>
      </c>
      <c r="G237" s="970">
        <f>'IMF Data'!G171</f>
        <v>22.631662414548096</v>
      </c>
      <c r="H237" s="970">
        <f>'IMF Data'!H171</f>
        <v>24.40122028630477</v>
      </c>
      <c r="I237" s="970">
        <f>'IMF Data'!I171</f>
        <v>24.138177231325532</v>
      </c>
      <c r="J237" s="970">
        <f>'IMF Data'!J171</f>
        <v>24.506123051990198</v>
      </c>
      <c r="K237" s="970">
        <f>'IMF Data'!K171</f>
        <v>24.815637518111625</v>
      </c>
      <c r="L237" s="970">
        <f>'IMF Data'!L171</f>
        <v>25.152688777273962</v>
      </c>
      <c r="M237" s="970">
        <f>'IMF Data'!M171</f>
        <v>25.516804620124454</v>
      </c>
      <c r="N237" s="970">
        <f>'IMF Data'!N171</f>
        <v>25.551910759880855</v>
      </c>
      <c r="O237" s="970">
        <f>'IMF Data'!O171</f>
        <v>25.524558937086855</v>
      </c>
      <c r="P237" s="970">
        <f>'IMF Data'!P171</f>
        <v>25.593510823921783</v>
      </c>
      <c r="Q237" s="970">
        <f>'IMF Data'!Q171</f>
        <v>25.665566346511682</v>
      </c>
      <c r="R237" s="970">
        <f>'IMF Data'!R171</f>
        <v>25.740752258018063</v>
      </c>
      <c r="S237" s="74"/>
    </row>
    <row r="238" spans="2:19" s="61" customFormat="1" ht="15">
      <c r="B238" s="965" t="s">
        <v>332</v>
      </c>
      <c r="C238" s="970">
        <f>'IMF Data'!C219</f>
        <v>41.214749382851728</v>
      </c>
      <c r="D238" s="970">
        <f>'IMF Data'!D219</f>
        <v>41.848369150669981</v>
      </c>
      <c r="E238" s="970">
        <f>'IMF Data'!E219</f>
        <v>44.583012073485882</v>
      </c>
      <c r="F238" s="970">
        <f>'IMF Data'!F219</f>
        <v>42.896418948757599</v>
      </c>
      <c r="G238" s="970">
        <f>'IMF Data'!G219</f>
        <v>51.160925086333791</v>
      </c>
      <c r="H238" s="970">
        <f>'IMF Data'!H219</f>
        <v>52.847469079781128</v>
      </c>
      <c r="I238" s="970">
        <f>'IMF Data'!I219</f>
        <v>51.513873092324729</v>
      </c>
      <c r="J238" s="970">
        <f>'IMF Data'!J219</f>
        <v>51.021253149585398</v>
      </c>
      <c r="K238" s="970">
        <f>'IMF Data'!K219</f>
        <v>50.143852358112817</v>
      </c>
      <c r="L238" s="970">
        <f>'IMF Data'!L219</f>
        <v>49.080744875563589</v>
      </c>
      <c r="M238" s="970">
        <f>'IMF Data'!M219</f>
        <v>47.887946415993639</v>
      </c>
      <c r="N238" s="970">
        <f>'IMF Data'!N219</f>
        <v>46.700083850865767</v>
      </c>
      <c r="O238" s="970">
        <f>'IMF Data'!O219</f>
        <v>45.640159981557154</v>
      </c>
      <c r="P238" s="970">
        <f>'IMF Data'!P219</f>
        <v>44.572411870460456</v>
      </c>
      <c r="Q238" s="970">
        <f>'IMF Data'!Q219</f>
        <v>43.527152226160929</v>
      </c>
      <c r="R238" s="970">
        <f>'IMF Data'!R219</f>
        <v>42.664342296488407</v>
      </c>
      <c r="S238" s="74"/>
    </row>
    <row r="239" spans="2:19" s="61" customFormat="1" ht="15">
      <c r="B239" s="972" t="s">
        <v>333</v>
      </c>
      <c r="C239" s="1251">
        <f>'IMF Data'!C222</f>
        <v>34.656312580314832</v>
      </c>
      <c r="D239" s="1251">
        <f>'IMF Data'!D222</f>
        <v>38.358058854550755</v>
      </c>
      <c r="E239" s="1251">
        <f>'IMF Data'!E222</f>
        <v>39.524137009033311</v>
      </c>
      <c r="F239" s="1251">
        <f>'IMF Data'!F222</f>
        <v>40.12539931273475</v>
      </c>
      <c r="G239" s="1251">
        <f>'IMF Data'!G222</f>
        <v>39.17194600282911</v>
      </c>
      <c r="H239" s="1251">
        <f>'IMF Data'!H222</f>
        <v>40.612623707320957</v>
      </c>
      <c r="I239" s="1251">
        <f>'IMF Data'!I222</f>
        <v>39.716470524937158</v>
      </c>
      <c r="J239" s="1251">
        <f>'IMF Data'!J222</f>
        <v>39.699567868395377</v>
      </c>
      <c r="K239" s="1251">
        <f>'IMF Data'!K222</f>
        <v>39.684506803337129</v>
      </c>
      <c r="L239" s="1251">
        <f>'IMF Data'!L222</f>
        <v>39.758584561236354</v>
      </c>
      <c r="M239" s="1251">
        <f>'IMF Data'!M222</f>
        <v>41.29689467098509</v>
      </c>
      <c r="N239" s="1251">
        <f>'IMF Data'!N222</f>
        <v>41.033415638556939</v>
      </c>
      <c r="O239" s="1251">
        <f>'IMF Data'!O222</f>
        <v>41.539442637344983</v>
      </c>
      <c r="P239" s="1251">
        <f>'IMF Data'!P222</f>
        <v>42.206098370951246</v>
      </c>
      <c r="Q239" s="1251">
        <f>'IMF Data'!Q222</f>
        <v>43.068517194214401</v>
      </c>
      <c r="R239" s="1251">
        <f>'IMF Data'!R222</f>
        <v>44.842874570731709</v>
      </c>
      <c r="S239" s="74"/>
    </row>
    <row r="240" spans="2:19" s="61" customFormat="1" ht="12.75">
      <c r="B240" s="302"/>
      <c r="C240" s="338">
        <f>-C238/100*ECO!B64</f>
        <v>-345878823.63551158</v>
      </c>
      <c r="D240" s="338">
        <f>-D238/100*ECO!C64</f>
        <v>-407714013.70577496</v>
      </c>
      <c r="E240" s="338">
        <f>-E238/100*ECO!D64</f>
        <v>-509902758.05747676</v>
      </c>
      <c r="F240" s="338">
        <f>-F238/100*ECO!E64</f>
        <v>-637028122.02825081</v>
      </c>
      <c r="G240" s="338">
        <f>-G238/100*ECO!F64</f>
        <v>-848447153.93000007</v>
      </c>
      <c r="H240" s="338">
        <f>-H238/100*ECO!G64</f>
        <v>-1046862702.2571793</v>
      </c>
      <c r="I240" s="338">
        <f>-I238/100*ECO!H64</f>
        <v>-1240330759.8659134</v>
      </c>
      <c r="J240" s="338">
        <f>-J238/100*ECO!I64</f>
        <v>-1405290246.2683578</v>
      </c>
      <c r="K240" s="338">
        <f>-K238/100*ECO!J64</f>
        <v>-1585992429.1796985</v>
      </c>
      <c r="L240" s="338">
        <f>-L238/100*ECO!K64</f>
        <v>-1777821552.7251258</v>
      </c>
      <c r="M240" s="338">
        <f>-M238/100*ECO!L64</f>
        <v>-1977440829.0237842</v>
      </c>
      <c r="N240" s="338">
        <f>-N238/100*ECO!M64</f>
        <v>-2189348539.5960636</v>
      </c>
      <c r="O240" s="338">
        <f>-O238/100*ECO!N64</f>
        <v>-2424921567.7844048</v>
      </c>
      <c r="P240" s="338">
        <f>-P238/100*ECO!O64</f>
        <v>-2683906697.1380973</v>
      </c>
      <c r="Q240" s="338">
        <f>-Q238/100*ECO!P64</f>
        <v>-2971333247.7203579</v>
      </c>
      <c r="R240" s="338">
        <f>-R238/100*ECO!Q64</f>
        <v>-3302872076.8610282</v>
      </c>
      <c r="S240" s="74"/>
    </row>
    <row r="241" spans="1:21" s="61" customFormat="1" ht="12.75">
      <c r="B241" s="302"/>
      <c r="N241" s="1003"/>
      <c r="S241" s="74"/>
    </row>
    <row r="242" spans="1:21" s="61" customFormat="1" ht="56.25">
      <c r="A242" s="714" t="s">
        <v>670</v>
      </c>
      <c r="B242" s="311" t="s">
        <v>516</v>
      </c>
      <c r="S242" s="74"/>
    </row>
    <row r="243" spans="1:21" s="61" customFormat="1" ht="6" customHeight="1">
      <c r="B243" s="302"/>
      <c r="S243" s="74"/>
    </row>
    <row r="244" spans="1:21" s="61" customFormat="1" ht="30">
      <c r="B244" s="652" t="s">
        <v>519</v>
      </c>
      <c r="C244" s="653">
        <v>2005</v>
      </c>
      <c r="D244" s="653">
        <v>2006</v>
      </c>
      <c r="E244" s="653">
        <v>2007</v>
      </c>
      <c r="F244" s="653">
        <v>2008</v>
      </c>
      <c r="G244" s="653"/>
      <c r="H244" s="653">
        <v>2010</v>
      </c>
      <c r="I244" s="653">
        <v>2011</v>
      </c>
      <c r="J244" s="653">
        <v>2012</v>
      </c>
      <c r="K244" s="653">
        <v>2013</v>
      </c>
      <c r="L244" s="653">
        <v>2014</v>
      </c>
      <c r="M244" s="653">
        <v>2015</v>
      </c>
      <c r="N244" s="653">
        <v>2016</v>
      </c>
      <c r="O244" s="653">
        <v>2017</v>
      </c>
      <c r="P244" s="653">
        <v>2018</v>
      </c>
      <c r="Q244" s="653">
        <v>2019</v>
      </c>
      <c r="R244" s="653">
        <v>2020</v>
      </c>
      <c r="S244" s="654"/>
    </row>
    <row r="245" spans="1:21" s="61" customFormat="1" ht="12.75">
      <c r="B245" s="234" t="s">
        <v>364</v>
      </c>
      <c r="C245" s="669">
        <v>1346</v>
      </c>
      <c r="D245" s="669">
        <v>1660</v>
      </c>
      <c r="E245" s="669">
        <v>2090</v>
      </c>
      <c r="F245" s="669">
        <v>2367</v>
      </c>
      <c r="G245" s="669">
        <v>2522.2163186679632</v>
      </c>
      <c r="H245" s="669">
        <v>2677.4326373359263</v>
      </c>
      <c r="I245" s="669">
        <v>4025.8967386713048</v>
      </c>
      <c r="J245" s="669">
        <v>4530.0174546554754</v>
      </c>
      <c r="K245" s="669">
        <v>4947.4304672634798</v>
      </c>
      <c r="L245" s="669">
        <v>5252.3475301963663</v>
      </c>
      <c r="M245" s="669">
        <v>5621.2490330140427</v>
      </c>
      <c r="N245" s="669">
        <v>6112.3988956979956</v>
      </c>
      <c r="O245" s="669">
        <v>6695.044593545088</v>
      </c>
      <c r="P245" s="669">
        <v>7340.4833889486354</v>
      </c>
      <c r="Q245" s="669">
        <v>8072.3003749502595</v>
      </c>
      <c r="R245" s="669">
        <v>8957.4135110518801</v>
      </c>
      <c r="S245" s="402" t="s">
        <v>549</v>
      </c>
      <c r="T245" s="231"/>
      <c r="U245" s="231"/>
    </row>
    <row r="246" spans="1:21" s="61" customFormat="1" ht="12.75">
      <c r="B246" s="235" t="s">
        <v>509</v>
      </c>
      <c r="C246" s="670">
        <v>2281.508578317143</v>
      </c>
      <c r="D246" s="670">
        <v>3248.8990706407144</v>
      </c>
      <c r="E246" s="670">
        <v>4373.9444122067853</v>
      </c>
      <c r="F246" s="670">
        <v>11211.492359865446</v>
      </c>
      <c r="G246" s="670">
        <v>11896.931866342238</v>
      </c>
      <c r="H246" s="670">
        <v>18868.67668072203</v>
      </c>
      <c r="I246" s="670">
        <v>23813.782969712131</v>
      </c>
      <c r="J246" s="670">
        <v>27292.965734593505</v>
      </c>
      <c r="K246" s="670">
        <v>32988.543262433079</v>
      </c>
      <c r="L246" s="670">
        <v>60002.258536777335</v>
      </c>
      <c r="M246" s="670">
        <v>69039.909299002524</v>
      </c>
      <c r="N246" s="670">
        <v>68303.580805536549</v>
      </c>
      <c r="O246" s="670">
        <v>74247.992798612715</v>
      </c>
      <c r="P246" s="670">
        <v>73825.326350810617</v>
      </c>
      <c r="Q246" s="670">
        <v>83367.385972463773</v>
      </c>
      <c r="R246" s="670">
        <v>88020.049200731504</v>
      </c>
      <c r="S246" s="308"/>
      <c r="T246" s="231"/>
      <c r="U246" s="231"/>
    </row>
    <row r="247" spans="1:21" s="61" customFormat="1" ht="25.5">
      <c r="B247" s="235" t="s">
        <v>510</v>
      </c>
      <c r="C247" s="670">
        <v>8699.3182177933995</v>
      </c>
      <c r="D247" s="670">
        <v>9640.2121451956009</v>
      </c>
      <c r="E247" s="670">
        <v>10581.1060725978</v>
      </c>
      <c r="F247" s="670">
        <v>11522</v>
      </c>
      <c r="G247" s="670">
        <v>11800</v>
      </c>
      <c r="H247" s="670">
        <v>17955.735297508691</v>
      </c>
      <c r="I247" s="670">
        <v>20139.356723616125</v>
      </c>
      <c r="J247" s="670">
        <v>20917.6857740704</v>
      </c>
      <c r="K247" s="670">
        <v>23511.588814841092</v>
      </c>
      <c r="L247" s="670">
        <v>21701.624722572393</v>
      </c>
      <c r="M247" s="670">
        <v>24770.393607921033</v>
      </c>
      <c r="N247" s="670">
        <v>24295.512799180284</v>
      </c>
      <c r="O247" s="670">
        <v>26055.758471762638</v>
      </c>
      <c r="P247" s="670">
        <v>25196.934918942788</v>
      </c>
      <c r="Q247" s="670">
        <v>29005.545279253754</v>
      </c>
      <c r="R247" s="670">
        <v>31422.392982009816</v>
      </c>
      <c r="S247" s="308"/>
      <c r="T247" s="231"/>
      <c r="U247" s="231"/>
    </row>
    <row r="248" spans="1:21" s="61" customFormat="1" ht="12.75">
      <c r="B248" s="235" t="s">
        <v>396</v>
      </c>
      <c r="C248" s="670">
        <v>10537.690958992951</v>
      </c>
      <c r="D248" s="670">
        <v>12840.304495112432</v>
      </c>
      <c r="E248" s="670">
        <v>13649.2339598443</v>
      </c>
      <c r="F248" s="670">
        <v>18213.479955475865</v>
      </c>
      <c r="G248" s="670">
        <v>12546.155667646548</v>
      </c>
      <c r="H248" s="670">
        <v>23269.012865206045</v>
      </c>
      <c r="I248" s="670">
        <v>24620.585417257676</v>
      </c>
      <c r="J248" s="670">
        <v>26193.465610025291</v>
      </c>
      <c r="K248" s="670">
        <v>27796.532197663611</v>
      </c>
      <c r="L248" s="670">
        <v>29995.799017480018</v>
      </c>
      <c r="M248" s="670">
        <v>31718.549108727206</v>
      </c>
      <c r="N248" s="670">
        <v>34188.681609779756</v>
      </c>
      <c r="O248" s="670">
        <v>36213.58267789652</v>
      </c>
      <c r="P248" s="670">
        <v>38153.592872523106</v>
      </c>
      <c r="Q248" s="670">
        <v>40606.837253070633</v>
      </c>
      <c r="R248" s="670">
        <v>43504.379739604185</v>
      </c>
      <c r="S248" s="308"/>
      <c r="T248" s="231"/>
      <c r="U248" s="231"/>
    </row>
    <row r="249" spans="1:21" s="61" customFormat="1" ht="12.75">
      <c r="B249" s="236" t="s">
        <v>511</v>
      </c>
      <c r="C249" s="670">
        <v>250</v>
      </c>
      <c r="D249" s="670">
        <v>400</v>
      </c>
      <c r="E249" s="670">
        <v>550</v>
      </c>
      <c r="F249" s="670">
        <v>2035.6</v>
      </c>
      <c r="G249" s="670"/>
      <c r="H249" s="670">
        <v>2919.9605759999999</v>
      </c>
      <c r="I249" s="670"/>
      <c r="J249" s="670"/>
      <c r="K249" s="670"/>
      <c r="L249" s="670"/>
      <c r="M249" s="670">
        <v>4952.8200959999995</v>
      </c>
      <c r="N249" s="670"/>
      <c r="O249" s="670"/>
      <c r="P249" s="670"/>
      <c r="Q249" s="670"/>
      <c r="R249" s="670">
        <v>7918.3825344000006</v>
      </c>
      <c r="S249" s="308"/>
      <c r="T249" s="231"/>
      <c r="U249" s="231"/>
    </row>
    <row r="250" spans="1:21" s="61" customFormat="1" ht="12.75">
      <c r="B250" s="236" t="s">
        <v>512</v>
      </c>
      <c r="C250" s="670">
        <v>4471</v>
      </c>
      <c r="D250" s="670">
        <v>3136</v>
      </c>
      <c r="E250" s="670">
        <v>2608</v>
      </c>
      <c r="F250" s="670">
        <v>3333.2142857142858</v>
      </c>
      <c r="G250" s="670"/>
      <c r="H250" s="670">
        <v>3500</v>
      </c>
      <c r="I250" s="670"/>
      <c r="J250" s="670"/>
      <c r="K250" s="670"/>
      <c r="L250" s="670"/>
      <c r="M250" s="670">
        <v>5000</v>
      </c>
      <c r="N250" s="670"/>
      <c r="O250" s="670"/>
      <c r="P250" s="670"/>
      <c r="Q250" s="670"/>
      <c r="R250" s="670">
        <v>7000</v>
      </c>
      <c r="S250" s="308"/>
      <c r="T250" s="231"/>
      <c r="U250" s="231"/>
    </row>
    <row r="251" spans="1:21" s="61" customFormat="1" ht="12.75">
      <c r="B251" s="236" t="s">
        <v>513</v>
      </c>
      <c r="C251" s="670">
        <v>5816.690958992951</v>
      </c>
      <c r="D251" s="670">
        <v>9304.3044951124321</v>
      </c>
      <c r="E251" s="670">
        <v>10491.2339598443</v>
      </c>
      <c r="F251" s="670">
        <v>12844.665669761578</v>
      </c>
      <c r="G251" s="670"/>
      <c r="H251" s="670">
        <v>16849.052289206043</v>
      </c>
      <c r="I251" s="670"/>
      <c r="J251" s="670"/>
      <c r="K251" s="670"/>
      <c r="L251" s="670"/>
      <c r="M251" s="670">
        <v>21765.729012727206</v>
      </c>
      <c r="N251" s="670"/>
      <c r="O251" s="670"/>
      <c r="P251" s="670"/>
      <c r="Q251" s="670"/>
      <c r="R251" s="670">
        <v>28585.997205204185</v>
      </c>
      <c r="S251" s="308"/>
      <c r="T251" s="231"/>
      <c r="U251" s="231"/>
    </row>
    <row r="252" spans="1:21" s="61" customFormat="1" ht="25.5">
      <c r="B252" s="235" t="s">
        <v>514</v>
      </c>
      <c r="C252" s="670">
        <v>91.357082256044848</v>
      </c>
      <c r="D252" s="670">
        <v>91.611140079323235</v>
      </c>
      <c r="E252" s="670">
        <v>105.96482229010947</v>
      </c>
      <c r="F252" s="670">
        <v>166.62112127141651</v>
      </c>
      <c r="G252" s="670">
        <v>181.06899999999999</v>
      </c>
      <c r="H252" s="670">
        <v>195.51685978093391</v>
      </c>
      <c r="I252" s="670">
        <v>243.68152546332706</v>
      </c>
      <c r="J252" s="670">
        <v>291.84619114572024</v>
      </c>
      <c r="K252" s="670">
        <v>315.92852398691684</v>
      </c>
      <c r="L252" s="670">
        <v>352.05202324871175</v>
      </c>
      <c r="M252" s="670">
        <v>388.1755225105066</v>
      </c>
      <c r="N252" s="670">
        <v>449.20563983044275</v>
      </c>
      <c r="O252" s="670">
        <v>510.23575715037884</v>
      </c>
      <c r="P252" s="670">
        <v>540.75081581034692</v>
      </c>
      <c r="Q252" s="670">
        <v>586.52340380029909</v>
      </c>
      <c r="R252" s="670">
        <v>632.29599179025126</v>
      </c>
      <c r="S252" s="308"/>
      <c r="T252" s="231"/>
      <c r="U252" s="231"/>
    </row>
    <row r="253" spans="1:21" s="61" customFormat="1" ht="12.75">
      <c r="B253" s="312" t="s">
        <v>515</v>
      </c>
      <c r="C253" s="675">
        <f>C245+C246+C247+C248+C252</f>
        <v>22955.874837359537</v>
      </c>
      <c r="D253" s="675">
        <v>27481.026851028073</v>
      </c>
      <c r="E253" s="675">
        <v>30800.249266938994</v>
      </c>
      <c r="F253" s="675">
        <v>43480.593436612726</v>
      </c>
      <c r="G253" s="675"/>
      <c r="H253" s="675">
        <v>62966.374340553615</v>
      </c>
      <c r="I253" s="675"/>
      <c r="J253" s="675"/>
      <c r="K253" s="675"/>
      <c r="L253" s="675"/>
      <c r="M253" s="675">
        <v>131538.27657117532</v>
      </c>
      <c r="N253" s="675"/>
      <c r="O253" s="675"/>
      <c r="P253" s="675"/>
      <c r="Q253" s="675"/>
      <c r="R253" s="675">
        <v>172536.53142518763</v>
      </c>
      <c r="S253" s="397"/>
      <c r="T253" s="231"/>
      <c r="U253" s="231"/>
    </row>
    <row r="254" spans="1:21" s="61" customFormat="1" ht="12.75">
      <c r="B254" s="308" t="s">
        <v>517</v>
      </c>
      <c r="C254" s="671">
        <v>262697</v>
      </c>
      <c r="D254" s="671">
        <v>308058</v>
      </c>
      <c r="E254" s="671">
        <v>368000</v>
      </c>
      <c r="F254" s="671">
        <v>474300</v>
      </c>
      <c r="G254" s="671"/>
      <c r="H254" s="671">
        <v>615876.41400400444</v>
      </c>
      <c r="I254" s="671"/>
      <c r="J254" s="671"/>
      <c r="K254" s="671"/>
      <c r="L254" s="671"/>
      <c r="M254" s="671">
        <v>1049549.2753412479</v>
      </c>
      <c r="N254" s="671">
        <v>1869557.3768200104</v>
      </c>
      <c r="O254" s="671"/>
      <c r="P254" s="671"/>
      <c r="Q254" s="671"/>
      <c r="R254" s="671">
        <v>1869557.3768200104</v>
      </c>
      <c r="S254" s="232"/>
      <c r="T254" s="231"/>
      <c r="U254" s="231"/>
    </row>
    <row r="255" spans="1:21" s="61" customFormat="1" ht="12.75">
      <c r="B255" s="308" t="s">
        <v>442</v>
      </c>
      <c r="C255" s="671">
        <v>839211</v>
      </c>
      <c r="D255" s="671">
        <v>974266</v>
      </c>
      <c r="E255" s="671">
        <v>1144015</v>
      </c>
      <c r="F255" s="671">
        <v>1452856.7879999999</v>
      </c>
      <c r="G255" s="671">
        <v>1452856.7879999999</v>
      </c>
      <c r="H255" s="671">
        <v>1830606.87</v>
      </c>
      <c r="I255" s="671">
        <v>2029267.0291500001</v>
      </c>
      <c r="J255" s="671">
        <v>2249805.1242517503</v>
      </c>
      <c r="K255" s="671">
        <v>2496881.7300496502</v>
      </c>
      <c r="L255" s="671">
        <v>2781307.1382028381</v>
      </c>
      <c r="M255" s="671">
        <v>3104671.2425122424</v>
      </c>
      <c r="N255" s="671">
        <v>3481576.7520480994</v>
      </c>
      <c r="O255" s="671">
        <v>3910674.705913879</v>
      </c>
      <c r="P255" s="671">
        <v>4408696.9602723923</v>
      </c>
      <c r="Q255" s="671">
        <v>4974319.0619407538</v>
      </c>
      <c r="R255" s="671">
        <v>5553919.7360699372</v>
      </c>
      <c r="S255" s="232"/>
      <c r="T255" s="231"/>
      <c r="U255" s="231"/>
    </row>
    <row r="256" spans="1:21" s="61" customFormat="1" ht="12.75">
      <c r="B256" s="256" t="s">
        <v>518</v>
      </c>
      <c r="S256" s="74"/>
    </row>
    <row r="257" spans="2:23" s="61" customFormat="1" ht="12.75">
      <c r="B257" s="256"/>
      <c r="S257" s="74"/>
    </row>
    <row r="258" spans="2:23" s="61" customFormat="1" ht="12.75">
      <c r="B258" s="256"/>
      <c r="S258" s="74"/>
    </row>
    <row r="259" spans="2:23" s="61" customFormat="1" ht="12.75">
      <c r="B259" s="256" t="s">
        <v>520</v>
      </c>
      <c r="S259" s="74"/>
    </row>
    <row r="260" spans="2:23" s="63" customFormat="1" ht="16.5" thickBot="1">
      <c r="B260" s="662"/>
      <c r="C260" s="663">
        <v>2005</v>
      </c>
      <c r="D260" s="664">
        <v>2006</v>
      </c>
      <c r="E260" s="664">
        <v>2007</v>
      </c>
      <c r="F260" s="664">
        <v>2008</v>
      </c>
      <c r="G260" s="664">
        <v>2009</v>
      </c>
      <c r="H260" s="664">
        <v>2010</v>
      </c>
      <c r="I260" s="665">
        <v>2011</v>
      </c>
      <c r="J260" s="665">
        <v>2012</v>
      </c>
      <c r="K260" s="665">
        <v>2013</v>
      </c>
      <c r="L260" s="665">
        <v>2014</v>
      </c>
      <c r="M260" s="665">
        <v>2015</v>
      </c>
      <c r="N260" s="665">
        <v>2016</v>
      </c>
      <c r="O260" s="665">
        <v>2017</v>
      </c>
      <c r="P260" s="665">
        <v>2018</v>
      </c>
      <c r="Q260" s="665">
        <v>2019</v>
      </c>
      <c r="R260" s="665">
        <v>2020</v>
      </c>
      <c r="S260" s="662" t="s">
        <v>744</v>
      </c>
      <c r="T260" s="52" t="s">
        <v>450</v>
      </c>
      <c r="U260" s="52" t="s">
        <v>451</v>
      </c>
      <c r="V260" s="63" t="s">
        <v>439</v>
      </c>
      <c r="W260" s="63" t="s">
        <v>440</v>
      </c>
    </row>
    <row r="261" spans="2:23" s="61" customFormat="1" thickTop="1">
      <c r="B261" s="724" t="str">
        <f>'Social Budget'!B9</f>
        <v xml:space="preserve">TOTAL BUDGET FOR SOCIAL SECURITY </v>
      </c>
      <c r="C261" s="720">
        <f t="shared" ref="C261:H261" si="58">C326</f>
        <v>43744966.729158133</v>
      </c>
      <c r="D261" s="720">
        <f t="shared" si="58"/>
        <v>51243124.350050561</v>
      </c>
      <c r="E261" s="720">
        <f t="shared" si="58"/>
        <v>57323451.458907858</v>
      </c>
      <c r="F261" s="720">
        <f t="shared" si="58"/>
        <v>82360311.232534766</v>
      </c>
      <c r="G261" s="720">
        <f t="shared" si="58"/>
        <v>83527371.038634628</v>
      </c>
      <c r="H261" s="720">
        <f t="shared" si="58"/>
        <v>140071715.84913051</v>
      </c>
      <c r="I261" s="720">
        <f>H261*$T$261</f>
        <v>168735918.56883788</v>
      </c>
      <c r="J261" s="720">
        <f>I261*$T$261</f>
        <v>203265948.75111061</v>
      </c>
      <c r="K261" s="720">
        <f>J261*$T$261</f>
        <v>244862186.26198032</v>
      </c>
      <c r="L261" s="720">
        <f>K261*$T$261</f>
        <v>294970656.07585758</v>
      </c>
      <c r="M261" s="720">
        <f>M395/100*ECO!L64</f>
        <v>355333296.96211851</v>
      </c>
      <c r="N261" s="720">
        <f>M261*$T$262</f>
        <v>411741457.57596916</v>
      </c>
      <c r="O261" s="720">
        <f>N261*$T$262</f>
        <v>477104254.89581138</v>
      </c>
      <c r="P261" s="720">
        <f>O261*$T$262</f>
        <v>552843212.29102445</v>
      </c>
      <c r="Q261" s="720">
        <f>P261*$T$262</f>
        <v>640605515.96422577</v>
      </c>
      <c r="R261" s="721">
        <f>R395/100*ECO!Q64</f>
        <v>618813375.54347849</v>
      </c>
      <c r="S261" s="74" t="s">
        <v>432</v>
      </c>
      <c r="T261" s="52">
        <f>POWER(M261/H261,1/5)</f>
        <v>1.204639477327323</v>
      </c>
      <c r="U261" s="52">
        <f>POWER(R261/M261,1/5)</f>
        <v>1.1173384843189769</v>
      </c>
      <c r="V261" s="98">
        <f>SUM(I261:M261)</f>
        <v>1267168006.619905</v>
      </c>
    </row>
    <row r="262" spans="2:23" s="239" customFormat="1" ht="15">
      <c r="B262" s="101" t="str">
        <f>'Social Budget'!B10</f>
        <v>State budget</v>
      </c>
      <c r="C262" s="722">
        <f t="shared" ref="C262:H262" si="59">C271</f>
        <v>22955874.837359536</v>
      </c>
      <c r="D262" s="722">
        <f t="shared" si="59"/>
        <v>27481026.851028074</v>
      </c>
      <c r="E262" s="722">
        <f t="shared" si="59"/>
        <v>30800249.266938992</v>
      </c>
      <c r="F262" s="722">
        <f t="shared" si="59"/>
        <v>43480593.436612725</v>
      </c>
      <c r="G262" s="722">
        <f t="shared" si="59"/>
        <v>38946372.852656752</v>
      </c>
      <c r="H262" s="722">
        <f t="shared" si="59"/>
        <v>62966374.340553626</v>
      </c>
      <c r="I262" s="722">
        <f t="shared" ref="I262:R262" si="60">I271</f>
        <v>72843303.374720573</v>
      </c>
      <c r="J262" s="722">
        <f t="shared" si="60"/>
        <v>79225980.764490381</v>
      </c>
      <c r="K262" s="722">
        <f t="shared" si="60"/>
        <v>89560023.266188189</v>
      </c>
      <c r="L262" s="722">
        <f t="shared" si="60"/>
        <v>117304081.83027484</v>
      </c>
      <c r="M262" s="722">
        <f t="shared" si="60"/>
        <v>131538276.57117532</v>
      </c>
      <c r="N262" s="722">
        <f t="shared" si="60"/>
        <v>133349379.75002503</v>
      </c>
      <c r="O262" s="722">
        <f t="shared" si="60"/>
        <v>143722614.29896736</v>
      </c>
      <c r="P262" s="722">
        <f t="shared" si="60"/>
        <v>145057088.3470355</v>
      </c>
      <c r="Q262" s="722">
        <f t="shared" si="60"/>
        <v>161638592.28353873</v>
      </c>
      <c r="R262" s="723">
        <f t="shared" si="60"/>
        <v>172536531.42518765</v>
      </c>
      <c r="S262" s="99" t="s">
        <v>433</v>
      </c>
      <c r="T262" s="250">
        <f t="shared" ref="T262:T270" si="61">POWER(M262/H262,1/5)</f>
        <v>1.1587471849559436</v>
      </c>
      <c r="U262" s="250">
        <f t="shared" ref="U262:U270" si="62">POWER(R262/M262,1/5)</f>
        <v>1.0557614085844333</v>
      </c>
      <c r="V262" s="240">
        <f>SUM(I262:M262)</f>
        <v>490471665.8068493</v>
      </c>
    </row>
    <row r="263" spans="2:23" s="231" customFormat="1" ht="15">
      <c r="B263" s="112" t="s">
        <v>444</v>
      </c>
      <c r="C263" s="241">
        <f>C245*1000</f>
        <v>1346000</v>
      </c>
      <c r="D263" s="241">
        <f t="shared" ref="D263:R269" si="63">D245*1000</f>
        <v>1660000</v>
      </c>
      <c r="E263" s="241">
        <f t="shared" si="63"/>
        <v>2090000</v>
      </c>
      <c r="F263" s="241">
        <f t="shared" si="63"/>
        <v>2367000</v>
      </c>
      <c r="G263" s="241">
        <f t="shared" si="63"/>
        <v>2522216.3186679631</v>
      </c>
      <c r="H263" s="241">
        <f t="shared" si="63"/>
        <v>2677432.6373359263</v>
      </c>
      <c r="I263" s="241">
        <f t="shared" si="63"/>
        <v>4025896.7386713047</v>
      </c>
      <c r="J263" s="241">
        <f t="shared" si="63"/>
        <v>4530017.454655475</v>
      </c>
      <c r="K263" s="241">
        <f t="shared" si="63"/>
        <v>4947430.4672634797</v>
      </c>
      <c r="L263" s="241">
        <f t="shared" si="63"/>
        <v>5252347.5301963659</v>
      </c>
      <c r="M263" s="241">
        <f t="shared" si="63"/>
        <v>5621249.0330140423</v>
      </c>
      <c r="N263" s="241">
        <f t="shared" si="63"/>
        <v>6112398.895697996</v>
      </c>
      <c r="O263" s="241">
        <f t="shared" si="63"/>
        <v>6695044.5935450876</v>
      </c>
      <c r="P263" s="241">
        <f t="shared" si="63"/>
        <v>7340483.3889486352</v>
      </c>
      <c r="Q263" s="241">
        <f t="shared" si="63"/>
        <v>8072300.3749502599</v>
      </c>
      <c r="R263" s="241">
        <f t="shared" si="63"/>
        <v>8957413.5110518802</v>
      </c>
      <c r="S263" s="402" t="s">
        <v>549</v>
      </c>
      <c r="T263" s="237">
        <f t="shared" si="61"/>
        <v>1.1599061591593913</v>
      </c>
      <c r="U263" s="237">
        <f t="shared" si="62"/>
        <v>1.0976653613138703</v>
      </c>
      <c r="V263" s="238"/>
    </row>
    <row r="264" spans="2:23" s="231" customFormat="1" ht="15">
      <c r="B264" s="112" t="s">
        <v>445</v>
      </c>
      <c r="C264" s="241">
        <f t="shared" ref="C264:F270" si="64">C246*1000</f>
        <v>2281508.578317143</v>
      </c>
      <c r="D264" s="241">
        <f t="shared" si="64"/>
        <v>3248899.0706407144</v>
      </c>
      <c r="E264" s="241">
        <f t="shared" si="64"/>
        <v>4373944.4122067848</v>
      </c>
      <c r="F264" s="241">
        <f t="shared" si="64"/>
        <v>11211492.359865446</v>
      </c>
      <c r="G264" s="241">
        <f t="shared" si="63"/>
        <v>11896931.866342239</v>
      </c>
      <c r="H264" s="241">
        <f t="shared" si="63"/>
        <v>18868676.680722032</v>
      </c>
      <c r="I264" s="241">
        <f t="shared" si="63"/>
        <v>23813782.969712131</v>
      </c>
      <c r="J264" s="241">
        <f t="shared" si="63"/>
        <v>27292965.734593503</v>
      </c>
      <c r="K264" s="241">
        <f t="shared" si="63"/>
        <v>32988543.262433078</v>
      </c>
      <c r="L264" s="241">
        <f t="shared" si="63"/>
        <v>60002258.536777332</v>
      </c>
      <c r="M264" s="241">
        <f t="shared" si="63"/>
        <v>69039909.299002528</v>
      </c>
      <c r="N264" s="241">
        <f t="shared" si="63"/>
        <v>68303580.805536553</v>
      </c>
      <c r="O264" s="241">
        <f t="shared" si="63"/>
        <v>74247992.798612714</v>
      </c>
      <c r="P264" s="241">
        <f t="shared" si="63"/>
        <v>73825326.350810617</v>
      </c>
      <c r="Q264" s="241">
        <f t="shared" si="63"/>
        <v>83367385.972463772</v>
      </c>
      <c r="R264" s="241">
        <f t="shared" si="63"/>
        <v>88020049.200731501</v>
      </c>
      <c r="S264" s="232"/>
      <c r="T264" s="237">
        <f t="shared" si="61"/>
        <v>1.2961992143105698</v>
      </c>
      <c r="U264" s="237">
        <f t="shared" si="62"/>
        <v>1.0497751280437664</v>
      </c>
      <c r="V264" s="238"/>
    </row>
    <row r="265" spans="2:23" s="231" customFormat="1" ht="15">
      <c r="B265" s="112" t="s">
        <v>441</v>
      </c>
      <c r="C265" s="241">
        <f t="shared" si="64"/>
        <v>8699318.2177933995</v>
      </c>
      <c r="D265" s="241">
        <f t="shared" si="64"/>
        <v>9640212.1451956015</v>
      </c>
      <c r="E265" s="241">
        <f t="shared" si="64"/>
        <v>10581106.0725978</v>
      </c>
      <c r="F265" s="241">
        <f t="shared" si="64"/>
        <v>11522000</v>
      </c>
      <c r="G265" s="241">
        <f t="shared" si="63"/>
        <v>11800000</v>
      </c>
      <c r="H265" s="241">
        <f t="shared" si="63"/>
        <v>17955735.297508691</v>
      </c>
      <c r="I265" s="241">
        <f t="shared" si="63"/>
        <v>20139356.723616127</v>
      </c>
      <c r="J265" s="241">
        <f t="shared" si="63"/>
        <v>20917685.774070401</v>
      </c>
      <c r="K265" s="241">
        <f t="shared" si="63"/>
        <v>23511588.814841092</v>
      </c>
      <c r="L265" s="241">
        <f t="shared" si="63"/>
        <v>21701624.722572394</v>
      </c>
      <c r="M265" s="241">
        <f t="shared" si="63"/>
        <v>24770393.607921034</v>
      </c>
      <c r="N265" s="241">
        <f t="shared" si="63"/>
        <v>24295512.799180284</v>
      </c>
      <c r="O265" s="241">
        <f t="shared" si="63"/>
        <v>26055758.471762639</v>
      </c>
      <c r="P265" s="241">
        <f t="shared" si="63"/>
        <v>25196934.918942787</v>
      </c>
      <c r="Q265" s="241">
        <f t="shared" si="63"/>
        <v>29005545.279253755</v>
      </c>
      <c r="R265" s="241">
        <f t="shared" si="63"/>
        <v>31422392.982009817</v>
      </c>
      <c r="S265" s="232"/>
      <c r="T265" s="237">
        <f t="shared" si="61"/>
        <v>1.0664633685204887</v>
      </c>
      <c r="U265" s="237">
        <f t="shared" si="62"/>
        <v>1.0487241513901686</v>
      </c>
      <c r="V265" s="238"/>
    </row>
    <row r="266" spans="2:23" s="231" customFormat="1" ht="15">
      <c r="B266" s="235" t="s">
        <v>396</v>
      </c>
      <c r="C266" s="241">
        <f t="shared" si="64"/>
        <v>10537690.958992951</v>
      </c>
      <c r="D266" s="241">
        <f t="shared" si="64"/>
        <v>12840304.495112432</v>
      </c>
      <c r="E266" s="241">
        <f t="shared" si="64"/>
        <v>13649233.959844299</v>
      </c>
      <c r="F266" s="241">
        <f t="shared" si="64"/>
        <v>18213479.955475863</v>
      </c>
      <c r="G266" s="241">
        <f t="shared" si="63"/>
        <v>12546155.667646548</v>
      </c>
      <c r="H266" s="241">
        <f t="shared" si="63"/>
        <v>23269012.865206044</v>
      </c>
      <c r="I266" s="241">
        <f t="shared" si="63"/>
        <v>24620585.417257678</v>
      </c>
      <c r="J266" s="241">
        <f t="shared" si="63"/>
        <v>26193465.61002529</v>
      </c>
      <c r="K266" s="241">
        <f t="shared" si="63"/>
        <v>27796532.197663613</v>
      </c>
      <c r="L266" s="241">
        <f t="shared" si="63"/>
        <v>29995799.017480019</v>
      </c>
      <c r="M266" s="241">
        <f t="shared" si="63"/>
        <v>31718549.108727206</v>
      </c>
      <c r="N266" s="241">
        <f t="shared" si="63"/>
        <v>34188681.609779753</v>
      </c>
      <c r="O266" s="241">
        <f t="shared" si="63"/>
        <v>36213582.677896522</v>
      </c>
      <c r="P266" s="241">
        <f t="shared" si="63"/>
        <v>38153592.872523107</v>
      </c>
      <c r="Q266" s="241">
        <f t="shared" si="63"/>
        <v>40606837.25307063</v>
      </c>
      <c r="R266" s="241">
        <f t="shared" si="63"/>
        <v>43504379.739604183</v>
      </c>
      <c r="S266" s="232"/>
      <c r="T266" s="237">
        <f t="shared" si="61"/>
        <v>1.0639153398340488</v>
      </c>
      <c r="U266" s="237">
        <f t="shared" si="62"/>
        <v>1.0652313358261942</v>
      </c>
      <c r="V266" s="238"/>
    </row>
    <row r="267" spans="2:23" s="231" customFormat="1" ht="15">
      <c r="B267" s="272" t="s">
        <v>580</v>
      </c>
      <c r="C267" s="241">
        <f t="shared" si="64"/>
        <v>250000</v>
      </c>
      <c r="D267" s="241">
        <f t="shared" si="64"/>
        <v>400000</v>
      </c>
      <c r="E267" s="241">
        <f t="shared" si="64"/>
        <v>550000</v>
      </c>
      <c r="F267" s="241">
        <f t="shared" si="64"/>
        <v>2035600</v>
      </c>
      <c r="G267" s="241">
        <f>F267/F266*G266</f>
        <v>1402200.7073603226</v>
      </c>
      <c r="H267" s="241">
        <f t="shared" si="63"/>
        <v>2919960.5759999999</v>
      </c>
      <c r="I267" s="657">
        <f>H267*$T267</f>
        <v>3245428.9129934786</v>
      </c>
      <c r="J267" s="657">
        <f>I267*$T267</f>
        <v>3607175.0132060801</v>
      </c>
      <c r="K267" s="657">
        <f>J267*$T267</f>
        <v>4009242.5145423082</v>
      </c>
      <c r="L267" s="657">
        <f>K267*$T267</f>
        <v>4456125.7719865479</v>
      </c>
      <c r="M267" s="241">
        <f t="shared" si="63"/>
        <v>4952820.0959999999</v>
      </c>
      <c r="N267" s="657">
        <f>M267*$U267</f>
        <v>5440130.7552849939</v>
      </c>
      <c r="O267" s="657">
        <f>N267*$U267</f>
        <v>5975388.1750114914</v>
      </c>
      <c r="P267" s="657">
        <f>O267*$U267</f>
        <v>6563309.8629807942</v>
      </c>
      <c r="Q267" s="657">
        <f>P267*$U267</f>
        <v>7209077.4851490101</v>
      </c>
      <c r="R267" s="241">
        <f t="shared" si="63"/>
        <v>7918382.5344000002</v>
      </c>
      <c r="S267" s="232"/>
      <c r="T267" s="237">
        <f t="shared" si="61"/>
        <v>1.1114632641510975</v>
      </c>
      <c r="U267" s="237">
        <f t="shared" si="62"/>
        <v>1.0983905431329024</v>
      </c>
      <c r="V267" s="238"/>
    </row>
    <row r="268" spans="2:23" s="231" customFormat="1" ht="15">
      <c r="B268" s="272" t="s">
        <v>581</v>
      </c>
      <c r="C268" s="241">
        <f t="shared" si="64"/>
        <v>4471000</v>
      </c>
      <c r="D268" s="241">
        <f t="shared" si="64"/>
        <v>3136000</v>
      </c>
      <c r="E268" s="241">
        <f t="shared" si="64"/>
        <v>2608000</v>
      </c>
      <c r="F268" s="241">
        <f t="shared" si="64"/>
        <v>3333214.2857142859</v>
      </c>
      <c r="G268" s="241">
        <f>F268/F266*G266</f>
        <v>2296048.0591531266</v>
      </c>
      <c r="H268" s="241">
        <f t="shared" si="63"/>
        <v>3500000</v>
      </c>
      <c r="I268" s="657">
        <f t="shared" ref="I268:L269" si="65">H268*$T268</f>
        <v>3758793.2332502278</v>
      </c>
      <c r="J268" s="657">
        <f t="shared" si="65"/>
        <v>4036721.8772364859</v>
      </c>
      <c r="K268" s="657">
        <f t="shared" si="65"/>
        <v>4335200.8219056167</v>
      </c>
      <c r="L268" s="657">
        <f t="shared" si="65"/>
        <v>4655749.5754741877</v>
      </c>
      <c r="M268" s="241">
        <f t="shared" si="63"/>
        <v>5000000</v>
      </c>
      <c r="N268" s="657">
        <f t="shared" ref="N268:Q269" si="66">M268*$U268</f>
        <v>5348051.8786253436</v>
      </c>
      <c r="O268" s="657">
        <f t="shared" si="66"/>
        <v>5720331.7792936135</v>
      </c>
      <c r="P268" s="657">
        <f t="shared" si="66"/>
        <v>6118526.223722293</v>
      </c>
      <c r="Q268" s="657">
        <f t="shared" si="66"/>
        <v>6544439.1330392882</v>
      </c>
      <c r="R268" s="241">
        <f t="shared" si="63"/>
        <v>7000000</v>
      </c>
      <c r="S268" s="232"/>
      <c r="T268" s="237">
        <f t="shared" si="61"/>
        <v>1.0739409237857793</v>
      </c>
      <c r="U268" s="237">
        <f t="shared" si="62"/>
        <v>1.0696103757250688</v>
      </c>
      <c r="V268" s="238"/>
    </row>
    <row r="269" spans="2:23" s="231" customFormat="1" ht="15">
      <c r="B269" s="272" t="s">
        <v>582</v>
      </c>
      <c r="C269" s="241">
        <f t="shared" si="64"/>
        <v>5816690.9589929506</v>
      </c>
      <c r="D269" s="241">
        <f t="shared" si="64"/>
        <v>9304304.4951124322</v>
      </c>
      <c r="E269" s="241">
        <f t="shared" si="64"/>
        <v>10491233.959844299</v>
      </c>
      <c r="F269" s="241">
        <f t="shared" si="64"/>
        <v>12844665.669761578</v>
      </c>
      <c r="G269" s="241">
        <f>F269/F266*G266</f>
        <v>8847906.9011330996</v>
      </c>
      <c r="H269" s="241">
        <f t="shared" si="63"/>
        <v>16849052.289206043</v>
      </c>
      <c r="I269" s="657">
        <f t="shared" si="65"/>
        <v>17734339.820004925</v>
      </c>
      <c r="J269" s="657">
        <f t="shared" si="65"/>
        <v>18666142.371277098</v>
      </c>
      <c r="K269" s="657">
        <f t="shared" si="65"/>
        <v>19646903.947997622</v>
      </c>
      <c r="L269" s="657">
        <f t="shared" si="65"/>
        <v>20679196.968721889</v>
      </c>
      <c r="M269" s="241">
        <f t="shared" si="63"/>
        <v>21765729.012727205</v>
      </c>
      <c r="N269" s="657">
        <f t="shared" si="66"/>
        <v>22985250.630303726</v>
      </c>
      <c r="O269" s="657">
        <f t="shared" si="66"/>
        <v>24273101.361730132</v>
      </c>
      <c r="P269" s="657">
        <f t="shared" si="66"/>
        <v>25633109.649021905</v>
      </c>
      <c r="Q269" s="657">
        <f t="shared" si="66"/>
        <v>27069318.439658441</v>
      </c>
      <c r="R269" s="241">
        <f t="shared" si="63"/>
        <v>28585997.205204185</v>
      </c>
      <c r="S269" s="232"/>
      <c r="T269" s="237">
        <f t="shared" si="61"/>
        <v>1.0525422745210435</v>
      </c>
      <c r="U269" s="237">
        <f t="shared" si="62"/>
        <v>1.0560294404503254</v>
      </c>
      <c r="V269" s="238"/>
    </row>
    <row r="270" spans="2:23" s="231" customFormat="1" ht="15">
      <c r="B270" s="112" t="s">
        <v>427</v>
      </c>
      <c r="C270" s="241">
        <f t="shared" si="64"/>
        <v>91357.082256044843</v>
      </c>
      <c r="D270" s="241">
        <f t="shared" si="64"/>
        <v>91611.140079323231</v>
      </c>
      <c r="E270" s="241">
        <f t="shared" si="64"/>
        <v>105964.82229010947</v>
      </c>
      <c r="F270" s="241">
        <f t="shared" si="64"/>
        <v>166621.12127141652</v>
      </c>
      <c r="G270" s="241">
        <f t="shared" ref="G270:R270" si="67">G252*1000</f>
        <v>181069</v>
      </c>
      <c r="H270" s="241">
        <f t="shared" si="67"/>
        <v>195516.85978093391</v>
      </c>
      <c r="I270" s="241">
        <f t="shared" si="67"/>
        <v>243681.52546332707</v>
      </c>
      <c r="J270" s="241">
        <f t="shared" si="67"/>
        <v>291846.19114572025</v>
      </c>
      <c r="K270" s="241">
        <f t="shared" si="67"/>
        <v>315928.52398691687</v>
      </c>
      <c r="L270" s="241">
        <f t="shared" si="67"/>
        <v>352052.02324871178</v>
      </c>
      <c r="M270" s="241">
        <f t="shared" si="67"/>
        <v>388175.52251050662</v>
      </c>
      <c r="N270" s="241">
        <f t="shared" si="67"/>
        <v>449205.63983044273</v>
      </c>
      <c r="O270" s="241">
        <f t="shared" si="67"/>
        <v>510235.75715037883</v>
      </c>
      <c r="P270" s="241">
        <f t="shared" si="67"/>
        <v>540750.81581034698</v>
      </c>
      <c r="Q270" s="241">
        <f t="shared" si="67"/>
        <v>586523.40380029904</v>
      </c>
      <c r="R270" s="241">
        <f t="shared" si="67"/>
        <v>632295.99179025122</v>
      </c>
      <c r="S270" s="232"/>
      <c r="T270" s="237">
        <f t="shared" si="61"/>
        <v>1.1470141791190174</v>
      </c>
      <c r="U270" s="237">
        <f t="shared" si="62"/>
        <v>1.1024996404349896</v>
      </c>
      <c r="V270" s="238"/>
    </row>
    <row r="271" spans="2:23" s="239" customFormat="1" thickBot="1">
      <c r="B271" s="313" t="s">
        <v>446</v>
      </c>
      <c r="C271" s="674">
        <f>C263+C264+C265+C266+C270</f>
        <v>22955874.837359536</v>
      </c>
      <c r="D271" s="674">
        <f t="shared" ref="D271:R271" si="68">D263+D264+D265+D266+D270</f>
        <v>27481026.851028074</v>
      </c>
      <c r="E271" s="674">
        <f t="shared" si="68"/>
        <v>30800249.266938992</v>
      </c>
      <c r="F271" s="674">
        <f t="shared" si="68"/>
        <v>43480593.436612725</v>
      </c>
      <c r="G271" s="674">
        <f t="shared" si="68"/>
        <v>38946372.852656752</v>
      </c>
      <c r="H271" s="674">
        <f t="shared" si="68"/>
        <v>62966374.340553626</v>
      </c>
      <c r="I271" s="674">
        <f t="shared" si="68"/>
        <v>72843303.374720573</v>
      </c>
      <c r="J271" s="674">
        <f t="shared" si="68"/>
        <v>79225980.764490381</v>
      </c>
      <c r="K271" s="674">
        <f t="shared" si="68"/>
        <v>89560023.266188189</v>
      </c>
      <c r="L271" s="674">
        <f t="shared" si="68"/>
        <v>117304081.83027484</v>
      </c>
      <c r="M271" s="674">
        <f t="shared" si="68"/>
        <v>131538276.57117532</v>
      </c>
      <c r="N271" s="674">
        <f t="shared" si="68"/>
        <v>133349379.75002503</v>
      </c>
      <c r="O271" s="674">
        <f t="shared" si="68"/>
        <v>143722614.29896736</v>
      </c>
      <c r="P271" s="674">
        <f t="shared" si="68"/>
        <v>145057088.3470355</v>
      </c>
      <c r="Q271" s="674">
        <f t="shared" si="68"/>
        <v>161638592.28353873</v>
      </c>
      <c r="R271" s="674">
        <f t="shared" si="68"/>
        <v>172536531.42518765</v>
      </c>
      <c r="S271" s="99"/>
      <c r="T271" s="237">
        <f>POWER(M271/H271,1/5)</f>
        <v>1.1587471849559436</v>
      </c>
      <c r="U271" s="237">
        <f>POWER(R271/M271,1/5)</f>
        <v>1.0557614085844333</v>
      </c>
      <c r="V271" s="240"/>
    </row>
    <row r="272" spans="2:23" s="100" customFormat="1" ht="15">
      <c r="B272" s="242" t="s">
        <v>521</v>
      </c>
      <c r="C272" s="672">
        <f>ECO!B64</f>
        <v>839211274.6400001</v>
      </c>
      <c r="D272" s="672">
        <f>ECO!C64</f>
        <v>974265000.00000012</v>
      </c>
      <c r="E272" s="672">
        <f>ECO!D64</f>
        <v>1143715362.29317</v>
      </c>
      <c r="F272" s="672">
        <f>ECO!E64</f>
        <v>1485038000</v>
      </c>
      <c r="G272" s="672">
        <f>ECO!F64</f>
        <v>1658389000</v>
      </c>
      <c r="H272" s="672">
        <f>ECO!G64</f>
        <v>1980913600</v>
      </c>
      <c r="I272" s="672">
        <f>ECO!H64</f>
        <v>2407760638.8534503</v>
      </c>
      <c r="J272" s="672">
        <f>ECO!I64</f>
        <v>2754323266.3225503</v>
      </c>
      <c r="K272" s="672">
        <f>ECO!J64</f>
        <v>3162885088.7901502</v>
      </c>
      <c r="L272" s="672">
        <f>ECO!K64</f>
        <v>3622238328.3556705</v>
      </c>
      <c r="M272" s="672">
        <f>ECO!L64</f>
        <v>4129308055.61409</v>
      </c>
      <c r="N272" s="672">
        <f>ECO!M64</f>
        <v>4688104086.8955002</v>
      </c>
      <c r="O272" s="672">
        <f>ECO!N64</f>
        <v>5313131173.8703308</v>
      </c>
      <c r="P272" s="672">
        <f>ECO!O64</f>
        <v>6021452698.0013103</v>
      </c>
      <c r="Q272" s="672">
        <f>ECO!P64</f>
        <v>6826390185.7896204</v>
      </c>
      <c r="R272" s="672">
        <f>ECO!Q64</f>
        <v>7741528168.671381</v>
      </c>
      <c r="S272" s="192"/>
      <c r="T272" s="52">
        <f t="shared" ref="T272:T279" si="69">POWER(M272/H272,1/5)</f>
        <v>1.1582501095520736</v>
      </c>
      <c r="U272" s="52">
        <f t="shared" ref="U272:U279" si="70">POWER(R272/M272,1/5)</f>
        <v>1.1339394976055075</v>
      </c>
      <c r="V272" s="98"/>
    </row>
    <row r="273" spans="2:22" s="100" customFormat="1" ht="15">
      <c r="B273" s="124" t="s">
        <v>560</v>
      </c>
      <c r="C273" s="673">
        <f>C255*1000</f>
        <v>839211000</v>
      </c>
      <c r="D273" s="673">
        <f t="shared" ref="D273:R273" si="71">D255*1000</f>
        <v>974266000</v>
      </c>
      <c r="E273" s="673">
        <f t="shared" si="71"/>
        <v>1144015000</v>
      </c>
      <c r="F273" s="673">
        <f t="shared" si="71"/>
        <v>1452856788</v>
      </c>
      <c r="G273" s="673">
        <f t="shared" si="71"/>
        <v>1452856788</v>
      </c>
      <c r="H273" s="673">
        <f t="shared" si="71"/>
        <v>1830606870</v>
      </c>
      <c r="I273" s="673">
        <f t="shared" si="71"/>
        <v>2029267029.1500001</v>
      </c>
      <c r="J273" s="673">
        <f t="shared" si="71"/>
        <v>2249805124.2517505</v>
      </c>
      <c r="K273" s="673">
        <f t="shared" si="71"/>
        <v>2496881730.0496502</v>
      </c>
      <c r="L273" s="673">
        <f t="shared" si="71"/>
        <v>2781307138.2028379</v>
      </c>
      <c r="M273" s="673">
        <f t="shared" si="71"/>
        <v>3104671242.5122423</v>
      </c>
      <c r="N273" s="673">
        <f t="shared" si="71"/>
        <v>3481576752.0480995</v>
      </c>
      <c r="O273" s="673">
        <f t="shared" si="71"/>
        <v>3910674705.9138789</v>
      </c>
      <c r="P273" s="673">
        <f t="shared" si="71"/>
        <v>4408696960.2723923</v>
      </c>
      <c r="Q273" s="673">
        <f t="shared" si="71"/>
        <v>4974319061.9407539</v>
      </c>
      <c r="R273" s="673">
        <f t="shared" si="71"/>
        <v>5553919736.0699377</v>
      </c>
      <c r="S273" s="192"/>
      <c r="T273" s="52"/>
      <c r="U273" s="52"/>
      <c r="V273" s="98"/>
    </row>
    <row r="274" spans="2:22" s="94" customFormat="1" ht="15">
      <c r="B274" s="125" t="s">
        <v>561</v>
      </c>
      <c r="C274" s="676">
        <f>C271/C272*100</f>
        <v>2.7354106803685418</v>
      </c>
      <c r="D274" s="676">
        <f t="shared" ref="D274:R274" si="72">D271/D272*100</f>
        <v>2.8206932252547374</v>
      </c>
      <c r="E274" s="676">
        <f t="shared" si="72"/>
        <v>2.6929995243907481</v>
      </c>
      <c r="F274" s="676">
        <f t="shared" si="72"/>
        <v>2.9279111670282325</v>
      </c>
      <c r="G274" s="676">
        <f t="shared" si="72"/>
        <v>2.3484461638769161</v>
      </c>
      <c r="H274" s="676">
        <f t="shared" si="72"/>
        <v>3.1786532406336971</v>
      </c>
      <c r="I274" s="676">
        <f t="shared" si="72"/>
        <v>3.02535485460082</v>
      </c>
      <c r="J274" s="676">
        <f t="shared" si="72"/>
        <v>2.8764227399592559</v>
      </c>
      <c r="K274" s="676">
        <f t="shared" si="72"/>
        <v>2.8315926994504315</v>
      </c>
      <c r="L274" s="676">
        <f t="shared" si="72"/>
        <v>3.2384418471858392</v>
      </c>
      <c r="M274" s="676">
        <f t="shared" si="72"/>
        <v>3.1854798624757388</v>
      </c>
      <c r="N274" s="676">
        <f t="shared" si="72"/>
        <v>2.8444202022470466</v>
      </c>
      <c r="O274" s="676">
        <f t="shared" si="72"/>
        <v>2.7050454731060811</v>
      </c>
      <c r="P274" s="676">
        <f t="shared" si="72"/>
        <v>2.4090048634806021</v>
      </c>
      <c r="Q274" s="676">
        <f t="shared" si="72"/>
        <v>2.367848714830556</v>
      </c>
      <c r="R274" s="676">
        <f t="shared" si="72"/>
        <v>2.2287141203388368</v>
      </c>
      <c r="S274" s="93"/>
      <c r="T274" s="52">
        <f t="shared" si="69"/>
        <v>1.0004291606793478</v>
      </c>
      <c r="U274" s="52">
        <f t="shared" si="70"/>
        <v>0.93105620786103693</v>
      </c>
      <c r="V274" s="126"/>
    </row>
    <row r="275" spans="2:22" s="94" customFormat="1" thickBot="1">
      <c r="B275" s="244" t="s">
        <v>562</v>
      </c>
      <c r="C275" s="677">
        <f>C271/C273*100</f>
        <v>2.7354115755584156</v>
      </c>
      <c r="D275" s="677">
        <f t="shared" ref="D275:R275" si="73">D271/D273*100</f>
        <v>2.8206903300564807</v>
      </c>
      <c r="E275" s="677">
        <f t="shared" si="73"/>
        <v>2.6922941803157294</v>
      </c>
      <c r="F275" s="677">
        <f t="shared" si="73"/>
        <v>2.9927652743026401</v>
      </c>
      <c r="G275" s="677">
        <f t="shared" si="73"/>
        <v>2.680675285708666</v>
      </c>
      <c r="H275" s="677">
        <f t="shared" si="73"/>
        <v>3.4396448179260699</v>
      </c>
      <c r="I275" s="677">
        <f t="shared" si="73"/>
        <v>3.5896361754437258</v>
      </c>
      <c r="J275" s="677">
        <f t="shared" si="73"/>
        <v>3.5214596993523908</v>
      </c>
      <c r="K275" s="677">
        <f t="shared" si="73"/>
        <v>3.5868748682945144</v>
      </c>
      <c r="L275" s="677">
        <f t="shared" si="73"/>
        <v>4.2175882058847955</v>
      </c>
      <c r="M275" s="677">
        <f t="shared" si="73"/>
        <v>4.2367860007211906</v>
      </c>
      <c r="N275" s="677">
        <f t="shared" si="73"/>
        <v>3.8301433300753716</v>
      </c>
      <c r="O275" s="677">
        <f t="shared" si="73"/>
        <v>3.6751360086694058</v>
      </c>
      <c r="P275" s="677">
        <f t="shared" si="73"/>
        <v>3.2902485621981401</v>
      </c>
      <c r="Q275" s="677">
        <f t="shared" si="73"/>
        <v>3.249461690550961</v>
      </c>
      <c r="R275" s="677">
        <f t="shared" si="73"/>
        <v>3.1065722881202076</v>
      </c>
      <c r="S275" s="93"/>
      <c r="T275" s="52"/>
      <c r="U275" s="52"/>
      <c r="V275" s="126"/>
    </row>
    <row r="276" spans="2:22" s="100" customFormat="1" ht="15">
      <c r="B276" s="242" t="s">
        <v>455</v>
      </c>
      <c r="C276" s="678">
        <f>C190</f>
        <v>255907479.99999997</v>
      </c>
      <c r="D276" s="678">
        <f t="shared" ref="D276:R276" si="74">D190</f>
        <v>281466000</v>
      </c>
      <c r="E276" s="678">
        <f t="shared" si="74"/>
        <v>356931178.92700005</v>
      </c>
      <c r="F276" s="678">
        <f t="shared" si="74"/>
        <v>448286780.48000002</v>
      </c>
      <c r="G276" s="678">
        <f t="shared" si="74"/>
        <v>591473799.05000007</v>
      </c>
      <c r="H276" s="678">
        <f t="shared" si="74"/>
        <v>685042000</v>
      </c>
      <c r="I276" s="678">
        <f t="shared" si="74"/>
        <v>763802586.29371738</v>
      </c>
      <c r="J276" s="678">
        <f t="shared" si="74"/>
        <v>877373099.71108425</v>
      </c>
      <c r="K276" s="678">
        <f t="shared" si="74"/>
        <v>1002389012.8821763</v>
      </c>
      <c r="L276" s="678">
        <f t="shared" si="74"/>
        <v>1144676302.8963153</v>
      </c>
      <c r="M276" s="678">
        <f t="shared" si="74"/>
        <v>1300851167.6789532</v>
      </c>
      <c r="N276" s="678">
        <f t="shared" si="74"/>
        <v>1469895442.276958</v>
      </c>
      <c r="O276" s="678">
        <f t="shared" si="74"/>
        <v>1661713214.4005201</v>
      </c>
      <c r="P276" s="678">
        <f t="shared" si="74"/>
        <v>1874029225.4743962</v>
      </c>
      <c r="Q276" s="678">
        <f t="shared" si="74"/>
        <v>2114604066.9078875</v>
      </c>
      <c r="R276" s="678">
        <f t="shared" si="74"/>
        <v>2387002378.7881999</v>
      </c>
      <c r="S276" s="192"/>
      <c r="T276" s="52">
        <f t="shared" si="69"/>
        <v>1.1368471632433801</v>
      </c>
      <c r="U276" s="52">
        <f t="shared" si="70"/>
        <v>1.129080867180958</v>
      </c>
      <c r="V276" s="98"/>
    </row>
    <row r="277" spans="2:22" s="100" customFormat="1" ht="15">
      <c r="B277" s="124" t="s">
        <v>456</v>
      </c>
      <c r="C277" s="656">
        <f>C254*1000</f>
        <v>262697000</v>
      </c>
      <c r="D277" s="656">
        <f>D254*1000</f>
        <v>308058000</v>
      </c>
      <c r="E277" s="656">
        <f>E254*1000</f>
        <v>368000000</v>
      </c>
      <c r="F277" s="656">
        <f>F254*1000</f>
        <v>474300000</v>
      </c>
      <c r="G277" s="656"/>
      <c r="H277" s="657">
        <f>'Social Budget'!D78*1000000</f>
        <v>615876414.00400448</v>
      </c>
      <c r="I277" s="657">
        <f>'Social Budget'!E78*1000000</f>
        <v>685165401.60587716</v>
      </c>
      <c r="J277" s="657">
        <f>'Social Budget'!F78*1000000</f>
        <v>762249725.56700397</v>
      </c>
      <c r="K277" s="657">
        <f>'Social Budget'!G78*1000000</f>
        <v>848006397.82040751</v>
      </c>
      <c r="L277" s="657">
        <f>'Social Budget'!H78*1000000</f>
        <v>943411098.25841594</v>
      </c>
      <c r="M277" s="657">
        <f>'Social Budget'!I78*1000000</f>
        <v>1049549275.3412479</v>
      </c>
      <c r="N277" s="657">
        <f>'Social Budget'!J78*1000000</f>
        <v>1178012845.3441195</v>
      </c>
      <c r="O277" s="657">
        <f>'Social Budget'!K78*1000000</f>
        <v>1322200201.9338734</v>
      </c>
      <c r="P277" s="657">
        <f>'Social Budget'!L78*1000000</f>
        <v>1484035917.6926374</v>
      </c>
      <c r="Q277" s="657">
        <f>'Social Budget'!M78*1000000</f>
        <v>1665680130.5737317</v>
      </c>
      <c r="R277" s="657">
        <f>'Social Budget'!N78*1000000</f>
        <v>1869557376.8200104</v>
      </c>
      <c r="S277" s="192"/>
      <c r="T277" s="52">
        <f t="shared" si="69"/>
        <v>1.112504694166486</v>
      </c>
      <c r="U277" s="52">
        <f t="shared" si="70"/>
        <v>1.1223987982470887</v>
      </c>
      <c r="V277" s="98"/>
    </row>
    <row r="278" spans="2:22" s="100" customFormat="1" ht="15">
      <c r="B278" s="124" t="s">
        <v>508</v>
      </c>
      <c r="C278" s="679">
        <f>C271/C276*100</f>
        <v>8.9703805599428108</v>
      </c>
      <c r="D278" s="679">
        <f t="shared" ref="D278:R278" si="75">D271/D276*100</f>
        <v>9.7635333756219485</v>
      </c>
      <c r="E278" s="679">
        <f t="shared" si="75"/>
        <v>8.629184303688497</v>
      </c>
      <c r="F278" s="679">
        <f t="shared" si="75"/>
        <v>9.6992807572991939</v>
      </c>
      <c r="G278" s="679">
        <f t="shared" si="75"/>
        <v>6.5846319676730829</v>
      </c>
      <c r="H278" s="680">
        <f t="shared" si="75"/>
        <v>9.1916078635402823</v>
      </c>
      <c r="I278" s="680">
        <f t="shared" si="75"/>
        <v>9.5369280861152976</v>
      </c>
      <c r="J278" s="680">
        <f t="shared" si="75"/>
        <v>9.0299076630659414</v>
      </c>
      <c r="K278" s="680">
        <f t="shared" si="75"/>
        <v>8.934657315194988</v>
      </c>
      <c r="L278" s="680">
        <f t="shared" si="75"/>
        <v>10.247795078265041</v>
      </c>
      <c r="M278" s="680">
        <f t="shared" si="75"/>
        <v>10.111708382894626</v>
      </c>
      <c r="N278" s="680">
        <f t="shared" si="75"/>
        <v>9.0720316503232823</v>
      </c>
      <c r="O278" s="680">
        <f t="shared" si="75"/>
        <v>8.6490624888493013</v>
      </c>
      <c r="P278" s="680">
        <f t="shared" si="75"/>
        <v>7.7403856020610036</v>
      </c>
      <c r="Q278" s="680">
        <f t="shared" si="75"/>
        <v>7.6439175925683926</v>
      </c>
      <c r="R278" s="680">
        <f t="shared" si="75"/>
        <v>7.2281675526766165</v>
      </c>
      <c r="S278" s="192"/>
      <c r="T278" s="52">
        <f t="shared" si="69"/>
        <v>1.0192638222802823</v>
      </c>
      <c r="U278" s="52">
        <f t="shared" si="70"/>
        <v>0.93506270389685575</v>
      </c>
      <c r="V278" s="98"/>
    </row>
    <row r="279" spans="2:22" s="100" customFormat="1" thickBot="1">
      <c r="B279" s="243" t="s">
        <v>507</v>
      </c>
      <c r="C279" s="681">
        <f>C271/C277*100</f>
        <v>8.7385371120947468</v>
      </c>
      <c r="D279" s="681">
        <f>D271/D277*100</f>
        <v>8.920731437270927</v>
      </c>
      <c r="E279" s="681">
        <f>E271/E277*100</f>
        <v>8.3696329529725535</v>
      </c>
      <c r="F279" s="681">
        <f>F271/F277*100</f>
        <v>9.1673188776328747</v>
      </c>
      <c r="G279" s="681"/>
      <c r="H279" s="682">
        <f t="shared" ref="H279:R279" si="76">H271/H277*100</f>
        <v>10.223865195809271</v>
      </c>
      <c r="I279" s="682">
        <f t="shared" si="76"/>
        <v>10.631491783442637</v>
      </c>
      <c r="J279" s="682">
        <f t="shared" si="76"/>
        <v>10.393704071924416</v>
      </c>
      <c r="K279" s="682">
        <f t="shared" si="76"/>
        <v>10.561243818016028</v>
      </c>
      <c r="L279" s="682">
        <f t="shared" si="76"/>
        <v>12.434036661941336</v>
      </c>
      <c r="M279" s="682">
        <f t="shared" si="76"/>
        <v>12.532834775995372</v>
      </c>
      <c r="N279" s="682">
        <f t="shared" si="76"/>
        <v>11.319857867175564</v>
      </c>
      <c r="O279" s="682">
        <f t="shared" si="76"/>
        <v>10.869958580308497</v>
      </c>
      <c r="P279" s="682">
        <f t="shared" si="76"/>
        <v>9.7744998364034643</v>
      </c>
      <c r="Q279" s="682">
        <f t="shared" si="76"/>
        <v>9.7040595800265361</v>
      </c>
      <c r="R279" s="682">
        <f t="shared" si="76"/>
        <v>9.2287368959309788</v>
      </c>
      <c r="S279" s="192"/>
      <c r="T279" s="52">
        <f t="shared" si="69"/>
        <v>1.0415661084685164</v>
      </c>
      <c r="U279" s="52">
        <f t="shared" si="70"/>
        <v>0.94062948947671121</v>
      </c>
      <c r="V279" s="98"/>
    </row>
    <row r="280" spans="2:22" s="100" customFormat="1" ht="12.75">
      <c r="B280" s="251"/>
      <c r="S280" s="192"/>
      <c r="U280" s="61"/>
      <c r="V280" s="98"/>
    </row>
    <row r="281" spans="2:22" s="100" customFormat="1" ht="30">
      <c r="B281" s="314" t="s">
        <v>563</v>
      </c>
      <c r="C281" s="127"/>
      <c r="D281" s="127"/>
      <c r="E281" s="127"/>
      <c r="F281" s="127"/>
      <c r="G281" s="127"/>
      <c r="H281" s="128"/>
      <c r="I281" s="128"/>
      <c r="J281" s="128"/>
      <c r="K281" s="128"/>
      <c r="L281" s="128"/>
      <c r="M281" s="128"/>
      <c r="N281" s="128"/>
      <c r="O281" s="128"/>
      <c r="P281" s="128"/>
      <c r="Q281" s="128"/>
      <c r="R281" s="128"/>
      <c r="S281" s="192"/>
      <c r="U281" s="61"/>
      <c r="V281" s="98"/>
    </row>
    <row r="282" spans="2:22" s="63" customFormat="1">
      <c r="B282" s="662"/>
      <c r="C282" s="663">
        <v>2005</v>
      </c>
      <c r="D282" s="664">
        <v>2006</v>
      </c>
      <c r="E282" s="664">
        <v>2007</v>
      </c>
      <c r="F282" s="664">
        <v>2008</v>
      </c>
      <c r="G282" s="664">
        <v>2009</v>
      </c>
      <c r="H282" s="664">
        <v>2010</v>
      </c>
      <c r="I282" s="665">
        <v>2011</v>
      </c>
      <c r="J282" s="665">
        <v>2012</v>
      </c>
      <c r="K282" s="665">
        <v>2013</v>
      </c>
      <c r="L282" s="665">
        <v>2014</v>
      </c>
      <c r="M282" s="665">
        <v>2015</v>
      </c>
      <c r="N282" s="665">
        <v>2016</v>
      </c>
      <c r="O282" s="665">
        <v>2017</v>
      </c>
      <c r="P282" s="665">
        <v>2018</v>
      </c>
      <c r="Q282" s="665">
        <v>2019</v>
      </c>
      <c r="R282" s="665">
        <v>2020</v>
      </c>
      <c r="S282" s="662" t="s">
        <v>744</v>
      </c>
      <c r="T282" s="247"/>
      <c r="U282" s="247"/>
    </row>
    <row r="283" spans="2:22" s="100" customFormat="1" ht="12.75">
      <c r="B283" s="124" t="s">
        <v>444</v>
      </c>
      <c r="C283" s="683">
        <f>C263/C$271*100</f>
        <v>5.863422803688807</v>
      </c>
      <c r="D283" s="683">
        <f t="shared" ref="D283:R283" si="77">D263/D$271*100</f>
        <v>6.0405311963002539</v>
      </c>
      <c r="E283" s="683">
        <f t="shared" si="77"/>
        <v>6.7856593688136391</v>
      </c>
      <c r="F283" s="683">
        <f t="shared" si="77"/>
        <v>5.4438079449184187</v>
      </c>
      <c r="G283" s="683">
        <f t="shared" si="77"/>
        <v>6.47612636023924</v>
      </c>
      <c r="H283" s="683">
        <f t="shared" si="77"/>
        <v>4.2521626270793877</v>
      </c>
      <c r="I283" s="683">
        <f t="shared" si="77"/>
        <v>5.5267904558930887</v>
      </c>
      <c r="J283" s="683">
        <f t="shared" si="77"/>
        <v>5.7178433273316562</v>
      </c>
      <c r="K283" s="683">
        <f t="shared" si="77"/>
        <v>5.5241504935286176</v>
      </c>
      <c r="L283" s="683">
        <f t="shared" si="77"/>
        <v>4.4775488186301082</v>
      </c>
      <c r="M283" s="683">
        <f t="shared" si="77"/>
        <v>4.2734701864307816</v>
      </c>
      <c r="N283" s="683">
        <f t="shared" si="77"/>
        <v>4.5837475263523668</v>
      </c>
      <c r="O283" s="683">
        <f t="shared" si="77"/>
        <v>4.6583097769278412</v>
      </c>
      <c r="P283" s="683">
        <f t="shared" si="77"/>
        <v>5.0604099893327623</v>
      </c>
      <c r="Q283" s="683">
        <f t="shared" si="77"/>
        <v>4.9940427350358352</v>
      </c>
      <c r="R283" s="683">
        <f t="shared" si="77"/>
        <v>5.1916040255717331</v>
      </c>
      <c r="S283" s="192"/>
      <c r="U283" s="61"/>
      <c r="V283" s="98"/>
    </row>
    <row r="284" spans="2:22" s="94" customFormat="1" ht="12.75">
      <c r="B284" s="125" t="s">
        <v>445</v>
      </c>
      <c r="C284" s="683">
        <f t="shared" ref="C284:R290" si="78">C264/C$271*100</f>
        <v>9.9386697064757552</v>
      </c>
      <c r="D284" s="683">
        <f t="shared" si="78"/>
        <v>11.822335054118154</v>
      </c>
      <c r="E284" s="683">
        <f t="shared" si="78"/>
        <v>14.201003291560305</v>
      </c>
      <c r="F284" s="683">
        <f t="shared" si="78"/>
        <v>25.785049084506827</v>
      </c>
      <c r="G284" s="683">
        <f t="shared" si="78"/>
        <v>30.546957251580569</v>
      </c>
      <c r="H284" s="683">
        <f t="shared" si="78"/>
        <v>29.966274663792454</v>
      </c>
      <c r="I284" s="683">
        <f t="shared" si="78"/>
        <v>32.691794394893449</v>
      </c>
      <c r="J284" s="683">
        <f t="shared" si="78"/>
        <v>34.449514504245045</v>
      </c>
      <c r="K284" s="683">
        <f t="shared" si="78"/>
        <v>36.834004792947972</v>
      </c>
      <c r="L284" s="683">
        <f t="shared" si="78"/>
        <v>51.151040612204369</v>
      </c>
      <c r="M284" s="683">
        <f t="shared" si="78"/>
        <v>52.486554559383372</v>
      </c>
      <c r="N284" s="683">
        <f t="shared" si="78"/>
        <v>51.221521190107921</v>
      </c>
      <c r="O284" s="683">
        <f t="shared" si="78"/>
        <v>51.660619423582375</v>
      </c>
      <c r="P284" s="683">
        <f t="shared" si="78"/>
        <v>50.893980564528107</v>
      </c>
      <c r="Q284" s="683">
        <f t="shared" si="78"/>
        <v>51.576411792936597</v>
      </c>
      <c r="R284" s="683">
        <f t="shared" si="78"/>
        <v>51.015311640768232</v>
      </c>
      <c r="S284" s="93"/>
      <c r="U284" s="68"/>
      <c r="V284" s="126"/>
    </row>
    <row r="285" spans="2:22" s="100" customFormat="1" ht="12.75">
      <c r="B285" s="124" t="s">
        <v>441</v>
      </c>
      <c r="C285" s="683">
        <f t="shared" si="78"/>
        <v>37.895825270992049</v>
      </c>
      <c r="D285" s="683">
        <f t="shared" si="78"/>
        <v>35.079519398799171</v>
      </c>
      <c r="E285" s="683">
        <f t="shared" si="78"/>
        <v>34.353962465997199</v>
      </c>
      <c r="F285" s="683">
        <f t="shared" si="78"/>
        <v>26.499178344465573</v>
      </c>
      <c r="G285" s="683">
        <f t="shared" si="78"/>
        <v>30.29807177331292</v>
      </c>
      <c r="H285" s="683">
        <f t="shared" si="78"/>
        <v>28.51638749341847</v>
      </c>
      <c r="I285" s="683">
        <f t="shared" si="78"/>
        <v>27.647506072061606</v>
      </c>
      <c r="J285" s="683">
        <f t="shared" si="78"/>
        <v>26.40255831764452</v>
      </c>
      <c r="K285" s="683">
        <f t="shared" si="78"/>
        <v>26.25232548785802</v>
      </c>
      <c r="L285" s="683">
        <f t="shared" si="78"/>
        <v>18.500315064885879</v>
      </c>
      <c r="M285" s="683">
        <f t="shared" si="78"/>
        <v>18.831319866440381</v>
      </c>
      <c r="N285" s="683">
        <f t="shared" si="78"/>
        <v>18.219441923707727</v>
      </c>
      <c r="O285" s="683">
        <f t="shared" si="78"/>
        <v>18.129198803441085</v>
      </c>
      <c r="P285" s="683">
        <f t="shared" si="78"/>
        <v>17.370357564782687</v>
      </c>
      <c r="Q285" s="683">
        <f t="shared" si="78"/>
        <v>17.944690602336852</v>
      </c>
      <c r="R285" s="683">
        <f t="shared" si="78"/>
        <v>18.212023113281759</v>
      </c>
      <c r="S285" s="192"/>
      <c r="U285" s="61"/>
      <c r="V285" s="98"/>
    </row>
    <row r="286" spans="2:22" s="100" customFormat="1" ht="12.75">
      <c r="B286" s="235" t="s">
        <v>396</v>
      </c>
      <c r="C286" s="683">
        <f t="shared" si="78"/>
        <v>45.904114017224842</v>
      </c>
      <c r="D286" s="683">
        <f t="shared" si="78"/>
        <v>46.724252935374111</v>
      </c>
      <c r="E286" s="683">
        <f t="shared" si="78"/>
        <v>44.31533602715156</v>
      </c>
      <c r="F286" s="683">
        <f t="shared" si="78"/>
        <v>41.888756605928123</v>
      </c>
      <c r="G286" s="683">
        <f t="shared" si="78"/>
        <v>32.213925838772184</v>
      </c>
      <c r="H286" s="683">
        <f t="shared" si="78"/>
        <v>36.954665262058114</v>
      </c>
      <c r="I286" s="683">
        <f t="shared" si="78"/>
        <v>33.79938069338295</v>
      </c>
      <c r="J286" s="683">
        <f t="shared" si="78"/>
        <v>33.061712025867877</v>
      </c>
      <c r="K286" s="683">
        <f t="shared" si="78"/>
        <v>31.036763037731035</v>
      </c>
      <c r="L286" s="683">
        <f t="shared" si="78"/>
        <v>25.570976345802187</v>
      </c>
      <c r="M286" s="683">
        <f t="shared" si="78"/>
        <v>24.113550774374261</v>
      </c>
      <c r="N286" s="683">
        <f t="shared" si="78"/>
        <v>25.638425670872561</v>
      </c>
      <c r="O286" s="683">
        <f t="shared" si="78"/>
        <v>25.196857748889919</v>
      </c>
      <c r="P286" s="683">
        <f t="shared" si="78"/>
        <v>26.302467054380831</v>
      </c>
      <c r="Q286" s="683">
        <f t="shared" si="78"/>
        <v>25.121993874977612</v>
      </c>
      <c r="R286" s="683">
        <f t="shared" si="78"/>
        <v>25.214590429197198</v>
      </c>
      <c r="S286" s="192"/>
      <c r="U286" s="61"/>
      <c r="V286" s="98"/>
    </row>
    <row r="287" spans="2:22" s="245" customFormat="1" ht="11.25">
      <c r="B287" s="272" t="s">
        <v>580</v>
      </c>
      <c r="C287" s="684">
        <f t="shared" si="78"/>
        <v>1.0890458402096597</v>
      </c>
      <c r="D287" s="684">
        <f t="shared" si="78"/>
        <v>1.4555496858554828</v>
      </c>
      <c r="E287" s="684">
        <f t="shared" si="78"/>
        <v>1.7856998338983261</v>
      </c>
      <c r="F287" s="684">
        <f t="shared" si="78"/>
        <v>4.6816288350975634</v>
      </c>
      <c r="G287" s="684">
        <f t="shared" si="78"/>
        <v>3.6003370908638304</v>
      </c>
      <c r="H287" s="684">
        <f t="shared" si="78"/>
        <v>4.6373331902634156</v>
      </c>
      <c r="I287" s="684">
        <f t="shared" si="78"/>
        <v>4.4553565841163749</v>
      </c>
      <c r="J287" s="684">
        <f t="shared" si="78"/>
        <v>4.5530203329749632</v>
      </c>
      <c r="K287" s="684">
        <f t="shared" si="78"/>
        <v>4.4765983396700699</v>
      </c>
      <c r="L287" s="684">
        <f t="shared" si="78"/>
        <v>3.7987815108037211</v>
      </c>
      <c r="M287" s="684">
        <f t="shared" si="78"/>
        <v>3.7653071220832293</v>
      </c>
      <c r="N287" s="684">
        <f t="shared" si="78"/>
        <v>4.0796070933985522</v>
      </c>
      <c r="O287" s="684">
        <f t="shared" si="78"/>
        <v>4.1575838319929757</v>
      </c>
      <c r="P287" s="684">
        <f t="shared" si="78"/>
        <v>4.5246391870755671</v>
      </c>
      <c r="Q287" s="684">
        <f t="shared" si="78"/>
        <v>4.4599976919516777</v>
      </c>
      <c r="R287" s="684">
        <f t="shared" si="78"/>
        <v>4.5893947612094168</v>
      </c>
      <c r="S287" s="403"/>
      <c r="V287" s="246"/>
    </row>
    <row r="288" spans="2:22" s="245" customFormat="1" ht="11.25">
      <c r="B288" s="272" t="s">
        <v>581</v>
      </c>
      <c r="C288" s="684">
        <f t="shared" si="78"/>
        <v>19.476495806309551</v>
      </c>
      <c r="D288" s="684">
        <f t="shared" si="78"/>
        <v>11.411509537106985</v>
      </c>
      <c r="E288" s="684">
        <f t="shared" si="78"/>
        <v>8.4674639396487912</v>
      </c>
      <c r="F288" s="684">
        <f t="shared" si="78"/>
        <v>7.6659815845741459</v>
      </c>
      <c r="G288" s="684">
        <f t="shared" si="78"/>
        <v>5.8954092280675638</v>
      </c>
      <c r="H288" s="684">
        <f t="shared" si="78"/>
        <v>5.5585223647628981</v>
      </c>
      <c r="I288" s="684">
        <f t="shared" si="78"/>
        <v>5.1601081487398242</v>
      </c>
      <c r="J288" s="684">
        <f t="shared" si="78"/>
        <v>5.095199628056573</v>
      </c>
      <c r="K288" s="684">
        <f t="shared" si="78"/>
        <v>4.8405534788893867</v>
      </c>
      <c r="L288" s="684">
        <f t="shared" si="78"/>
        <v>3.9689578596339965</v>
      </c>
      <c r="M288" s="684">
        <f t="shared" si="78"/>
        <v>3.8011749357948306</v>
      </c>
      <c r="N288" s="684">
        <f t="shared" si="78"/>
        <v>4.0105562460438362</v>
      </c>
      <c r="O288" s="684">
        <f t="shared" si="78"/>
        <v>3.9801194872467014</v>
      </c>
      <c r="P288" s="684">
        <f t="shared" si="78"/>
        <v>4.2180125724599487</v>
      </c>
      <c r="Q288" s="684">
        <f t="shared" si="78"/>
        <v>4.0488097802530625</v>
      </c>
      <c r="R288" s="684">
        <f t="shared" si="78"/>
        <v>4.0571118140480413</v>
      </c>
      <c r="S288" s="403"/>
      <c r="V288" s="246"/>
    </row>
    <row r="289" spans="2:22" s="245" customFormat="1" ht="11.25">
      <c r="B289" s="272" t="s">
        <v>582</v>
      </c>
      <c r="C289" s="684">
        <f t="shared" si="78"/>
        <v>25.338572370705638</v>
      </c>
      <c r="D289" s="684">
        <f t="shared" si="78"/>
        <v>33.857193712411643</v>
      </c>
      <c r="E289" s="684">
        <f t="shared" si="78"/>
        <v>34.062172253604437</v>
      </c>
      <c r="F289" s="684">
        <f t="shared" si="78"/>
        <v>29.541146186256416</v>
      </c>
      <c r="G289" s="684">
        <f t="shared" si="78"/>
        <v>22.718179519840788</v>
      </c>
      <c r="H289" s="684">
        <f t="shared" si="78"/>
        <v>26.758809707031801</v>
      </c>
      <c r="I289" s="684">
        <f t="shared" si="78"/>
        <v>24.345875321957767</v>
      </c>
      <c r="J289" s="684">
        <f t="shared" si="78"/>
        <v>23.560632750971745</v>
      </c>
      <c r="K289" s="684">
        <f t="shared" si="78"/>
        <v>21.937135824098167</v>
      </c>
      <c r="L289" s="684">
        <f t="shared" si="78"/>
        <v>17.628710481398464</v>
      </c>
      <c r="M289" s="684">
        <f t="shared" si="78"/>
        <v>16.547068716496202</v>
      </c>
      <c r="N289" s="684">
        <f t="shared" si="78"/>
        <v>17.236863548515615</v>
      </c>
      <c r="O289" s="684">
        <f t="shared" si="78"/>
        <v>16.888853212228643</v>
      </c>
      <c r="P289" s="684">
        <f t="shared" si="78"/>
        <v>17.671049337276845</v>
      </c>
      <c r="Q289" s="684">
        <f t="shared" si="78"/>
        <v>16.74681649798999</v>
      </c>
      <c r="R289" s="684">
        <f t="shared" si="78"/>
        <v>16.568083853939743</v>
      </c>
      <c r="S289" s="403"/>
      <c r="V289" s="246"/>
    </row>
    <row r="290" spans="2:22" s="100" customFormat="1" ht="12.75">
      <c r="B290" s="230" t="s">
        <v>427</v>
      </c>
      <c r="C290" s="685">
        <f t="shared" si="78"/>
        <v>0.3979682016185494</v>
      </c>
      <c r="D290" s="685">
        <f t="shared" si="78"/>
        <v>0.33336141540830388</v>
      </c>
      <c r="E290" s="685">
        <f t="shared" si="78"/>
        <v>0.34403884647729843</v>
      </c>
      <c r="F290" s="685">
        <f t="shared" si="78"/>
        <v>0.38320802018105304</v>
      </c>
      <c r="G290" s="685">
        <f t="shared" si="78"/>
        <v>0.46491877609508447</v>
      </c>
      <c r="H290" s="685">
        <f t="shared" si="78"/>
        <v>0.31050995365158074</v>
      </c>
      <c r="I290" s="685">
        <f t="shared" si="78"/>
        <v>0.33452838376889693</v>
      </c>
      <c r="J290" s="685">
        <f t="shared" si="78"/>
        <v>0.36837182491091064</v>
      </c>
      <c r="K290" s="685">
        <f t="shared" si="78"/>
        <v>0.35275618793434382</v>
      </c>
      <c r="L290" s="685">
        <f t="shared" si="78"/>
        <v>0.30011915847744286</v>
      </c>
      <c r="M290" s="685">
        <f t="shared" si="78"/>
        <v>0.29510461337119998</v>
      </c>
      <c r="N290" s="685">
        <f t="shared" si="78"/>
        <v>0.33686368895942193</v>
      </c>
      <c r="O290" s="685">
        <f t="shared" si="78"/>
        <v>0.355014247158768</v>
      </c>
      <c r="P290" s="685">
        <f t="shared" si="78"/>
        <v>0.37278482697560517</v>
      </c>
      <c r="Q290" s="685">
        <f t="shared" si="78"/>
        <v>0.36286099471309896</v>
      </c>
      <c r="R290" s="685">
        <f t="shared" si="78"/>
        <v>0.36647079118106451</v>
      </c>
      <c r="S290" s="192"/>
      <c r="U290" s="61"/>
      <c r="V290" s="98"/>
    </row>
    <row r="291" spans="2:22" s="100" customFormat="1" ht="12.75">
      <c r="B291" s="249" t="s">
        <v>760</v>
      </c>
      <c r="C291" s="686">
        <f>C283+C284+C285+C286+C290</f>
        <v>100.00000000000001</v>
      </c>
      <c r="D291" s="686">
        <f t="shared" ref="D291:R291" si="79">D283+D284+D285+D286+D290</f>
        <v>99.999999999999986</v>
      </c>
      <c r="E291" s="686">
        <f t="shared" si="79"/>
        <v>100</v>
      </c>
      <c r="F291" s="686">
        <f t="shared" si="79"/>
        <v>100</v>
      </c>
      <c r="G291" s="686">
        <f t="shared" si="79"/>
        <v>100</v>
      </c>
      <c r="H291" s="686">
        <f t="shared" si="79"/>
        <v>100</v>
      </c>
      <c r="I291" s="686">
        <f t="shared" si="79"/>
        <v>99.999999999999986</v>
      </c>
      <c r="J291" s="686">
        <f t="shared" si="79"/>
        <v>100.00000000000001</v>
      </c>
      <c r="K291" s="686">
        <f t="shared" si="79"/>
        <v>99.999999999999986</v>
      </c>
      <c r="L291" s="686">
        <f t="shared" si="79"/>
        <v>99.999999999999986</v>
      </c>
      <c r="M291" s="686">
        <f t="shared" si="79"/>
        <v>99.999999999999986</v>
      </c>
      <c r="N291" s="686">
        <f t="shared" si="79"/>
        <v>100.00000000000001</v>
      </c>
      <c r="O291" s="686">
        <f t="shared" si="79"/>
        <v>99.999999999999986</v>
      </c>
      <c r="P291" s="686">
        <f t="shared" si="79"/>
        <v>99.999999999999986</v>
      </c>
      <c r="Q291" s="686">
        <f t="shared" si="79"/>
        <v>99.999999999999986</v>
      </c>
      <c r="R291" s="686">
        <f t="shared" si="79"/>
        <v>99.999999999999986</v>
      </c>
      <c r="S291" s="404"/>
      <c r="U291" s="61"/>
      <c r="V291" s="98"/>
    </row>
    <row r="292" spans="2:22" s="100" customFormat="1" ht="12.75">
      <c r="B292" s="127"/>
      <c r="C292" s="127"/>
      <c r="D292" s="127"/>
      <c r="E292" s="127"/>
      <c r="F292" s="127"/>
      <c r="G292" s="127"/>
      <c r="H292" s="128"/>
      <c r="I292" s="128"/>
      <c r="J292" s="128"/>
      <c r="K292" s="128"/>
      <c r="L292" s="128"/>
      <c r="M292" s="128"/>
      <c r="N292" s="128"/>
      <c r="O292" s="128"/>
      <c r="P292" s="128"/>
      <c r="Q292" s="128"/>
      <c r="R292" s="128"/>
      <c r="S292" s="192"/>
      <c r="U292" s="61"/>
      <c r="V292" s="98"/>
    </row>
    <row r="293" spans="2:22" s="100" customFormat="1" ht="30">
      <c r="B293" s="314" t="s">
        <v>659</v>
      </c>
      <c r="C293" s="127"/>
      <c r="D293" s="127"/>
      <c r="E293" s="127"/>
      <c r="F293" s="127"/>
      <c r="G293" s="127"/>
      <c r="H293" s="128"/>
      <c r="I293" s="128"/>
      <c r="J293" s="128"/>
      <c r="K293" s="128"/>
      <c r="L293" s="128"/>
      <c r="M293" s="128"/>
      <c r="N293" s="128"/>
      <c r="O293" s="128"/>
      <c r="P293" s="128"/>
      <c r="Q293" s="128"/>
      <c r="R293" s="128"/>
      <c r="S293" s="192"/>
      <c r="U293" s="61"/>
      <c r="V293" s="98"/>
    </row>
    <row r="294" spans="2:22" s="248" customFormat="1">
      <c r="B294" s="662"/>
      <c r="C294" s="663">
        <v>2005</v>
      </c>
      <c r="D294" s="664">
        <v>2006</v>
      </c>
      <c r="E294" s="664">
        <v>2007</v>
      </c>
      <c r="F294" s="664">
        <v>2008</v>
      </c>
      <c r="G294" s="664">
        <v>2009</v>
      </c>
      <c r="H294" s="664">
        <v>2010</v>
      </c>
      <c r="I294" s="665">
        <v>2011</v>
      </c>
      <c r="J294" s="665">
        <v>2012</v>
      </c>
      <c r="K294" s="665">
        <v>2013</v>
      </c>
      <c r="L294" s="665">
        <v>2014</v>
      </c>
      <c r="M294" s="665">
        <v>2015</v>
      </c>
      <c r="N294" s="665">
        <v>2016</v>
      </c>
      <c r="O294" s="665">
        <v>2017</v>
      </c>
      <c r="P294" s="665">
        <v>2018</v>
      </c>
      <c r="Q294" s="665">
        <v>2019</v>
      </c>
      <c r="R294" s="665">
        <v>2020</v>
      </c>
      <c r="S294" s="662" t="s">
        <v>744</v>
      </c>
      <c r="T294" s="247"/>
      <c r="U294" s="247"/>
    </row>
    <row r="295" spans="2:22" s="100" customFormat="1" ht="12.75">
      <c r="B295" s="124" t="s">
        <v>444</v>
      </c>
      <c r="C295" s="683">
        <f>C263/ECO!B$64*100</f>
        <v>0.16038869360726821</v>
      </c>
      <c r="D295" s="683">
        <f>D263/ECO!C$64*100</f>
        <v>0.17038485422344021</v>
      </c>
      <c r="E295" s="683">
        <f>E263/ECO!D$64*100</f>
        <v>0.18273777452892756</v>
      </c>
      <c r="F295" s="683">
        <f>F263/ECO!E$64*100</f>
        <v>0.15938986073083652</v>
      </c>
      <c r="G295" s="683">
        <f>G263/ECO!F$64*100</f>
        <v>0.15208834107486019</v>
      </c>
      <c r="H295" s="683">
        <f>H263/ECO!G$64*100</f>
        <v>0.13516150514267389</v>
      </c>
      <c r="I295" s="683">
        <f>I263/ECO!H$64*100</f>
        <v>0.16720502336097634</v>
      </c>
      <c r="J295" s="683">
        <f>J263/ECO!I$64*100</f>
        <v>0.16446934570261074</v>
      </c>
      <c r="K295" s="683">
        <f>K263/ECO!J$64*100</f>
        <v>0.15642144208141132</v>
      </c>
      <c r="L295" s="683">
        <f>L263/ECO!K$64*100</f>
        <v>0.14500281467069259</v>
      </c>
      <c r="M295" s="683">
        <f>M263/ECO!L$64*100</f>
        <v>0.13613053221765695</v>
      </c>
      <c r="N295" s="683">
        <f>N263/ECO!M$64*100</f>
        <v>0.13038104065956599</v>
      </c>
      <c r="O295" s="683">
        <f>O263/ECO!N$64*100</f>
        <v>0.12600939774404454</v>
      </c>
      <c r="P295" s="683">
        <f>P263/ECO!O$64*100</f>
        <v>0.12190552275508446</v>
      </c>
      <c r="Q295" s="683">
        <f>Q263/ECO!P$64*100</f>
        <v>0.11825137671963477</v>
      </c>
      <c r="R295" s="683">
        <f>R263/ECO!Q$64*100</f>
        <v>0.11570601198999671</v>
      </c>
      <c r="S295" s="192"/>
      <c r="U295" s="61"/>
      <c r="V295" s="98"/>
    </row>
    <row r="296" spans="2:22" s="100" customFormat="1" ht="12.75">
      <c r="B296" s="125" t="s">
        <v>445</v>
      </c>
      <c r="C296" s="683">
        <f>C264/ECO!B$64*100</f>
        <v>0.27186343263749058</v>
      </c>
      <c r="D296" s="683">
        <f>D264/ECO!C$64*100</f>
        <v>0.33347180393842679</v>
      </c>
      <c r="E296" s="683">
        <f>E264/ECO!D$64*100</f>
        <v>0.38243295110043352</v>
      </c>
      <c r="F296" s="683">
        <f>F264/ECO!E$64*100</f>
        <v>0.75496333156898654</v>
      </c>
      <c r="G296" s="683">
        <f>G264/ECO!F$64*100</f>
        <v>0.71737884575586541</v>
      </c>
      <c r="H296" s="683">
        <f>H264/ECO!G$64*100</f>
        <v>0.95252396069783318</v>
      </c>
      <c r="I296" s="683">
        <f>I264/ECO!H$64*100</f>
        <v>0.98904278878202778</v>
      </c>
      <c r="J296" s="683">
        <f>J264/ECO!I$64*100</f>
        <v>0.99091366900566669</v>
      </c>
      <c r="K296" s="683">
        <f>K264/ECO!J$64*100</f>
        <v>1.0429889906323369</v>
      </c>
      <c r="L296" s="683">
        <f>L264/ECO!K$64*100</f>
        <v>1.6564967044566499</v>
      </c>
      <c r="M296" s="683">
        <f>M264/ECO!L$64*100</f>
        <v>1.6719486259964988</v>
      </c>
      <c r="N296" s="683">
        <f>N264/ECO!M$64*100</f>
        <v>1.4569552966296815</v>
      </c>
      <c r="O296" s="683">
        <f>O264/ECO!N$64*100</f>
        <v>1.3974432470961757</v>
      </c>
      <c r="P296" s="683">
        <f>P264/ECO!O$64*100</f>
        <v>1.2260384670183544</v>
      </c>
      <c r="Q296" s="683">
        <f>Q264/ECO!P$64*100</f>
        <v>1.2212514037947646</v>
      </c>
      <c r="R296" s="683">
        <f>R264/ECO!Q$64*100</f>
        <v>1.136985454072664</v>
      </c>
      <c r="S296" s="192"/>
      <c r="U296" s="61"/>
      <c r="V296" s="98"/>
    </row>
    <row r="297" spans="2:22" s="100" customFormat="1" ht="12.75">
      <c r="B297" s="124" t="s">
        <v>441</v>
      </c>
      <c r="C297" s="683">
        <f>C265/ECO!B$64*100</f>
        <v>1.0366064518765172</v>
      </c>
      <c r="D297" s="683">
        <f>D265/ECO!C$64*100</f>
        <v>0.98948562713384969</v>
      </c>
      <c r="E297" s="683">
        <f>E265/ECO!D$64*100</f>
        <v>0.92515204581868093</v>
      </c>
      <c r="F297" s="683">
        <f>F265/ECO!E$64*100</f>
        <v>0.77587240191833473</v>
      </c>
      <c r="G297" s="683">
        <f>G265/ECO!F$64*100</f>
        <v>0.71153390428904195</v>
      </c>
      <c r="H297" s="683">
        <f>H265/ECO!G$64*100</f>
        <v>0.90643707517120831</v>
      </c>
      <c r="I297" s="683">
        <f>I265/ECO!H$64*100</f>
        <v>0.83643516712717225</v>
      </c>
      <c r="J297" s="683">
        <f>J265/ECO!I$64*100</f>
        <v>0.75944919137973099</v>
      </c>
      <c r="K297" s="683">
        <f>K265/ECO!J$64*100</f>
        <v>0.74335893195015246</v>
      </c>
      <c r="L297" s="683">
        <f>L265/ECO!K$64*100</f>
        <v>0.59912194492249027</v>
      </c>
      <c r="M297" s="683">
        <f>M265/ECO!L$64*100</f>
        <v>0.59986790218385155</v>
      </c>
      <c r="N297" s="683">
        <f>N265/ECO!M$64*100</f>
        <v>0.51823748681461057</v>
      </c>
      <c r="O297" s="683">
        <f>O265/ECO!N$64*100</f>
        <v>0.49040307154288493</v>
      </c>
      <c r="P297" s="683">
        <f>P265/ECO!O$64*100</f>
        <v>0.41845275853958563</v>
      </c>
      <c r="Q297" s="683">
        <f>Q265/ECO!P$64*100</f>
        <v>0.42490312580775269</v>
      </c>
      <c r="R297" s="683">
        <f>R265/ECO!Q$64*100</f>
        <v>0.40589393072508317</v>
      </c>
      <c r="S297" s="192"/>
      <c r="U297" s="61"/>
      <c r="V297" s="98"/>
    </row>
    <row r="298" spans="2:22" s="100" customFormat="1" ht="12.75">
      <c r="B298" s="235" t="s">
        <v>396</v>
      </c>
      <c r="C298" s="683">
        <f>C266/ECO!B$64*100</f>
        <v>1.2556660375557214</v>
      </c>
      <c r="D298" s="683">
        <f>D266/ECO!C$64*100</f>
        <v>1.3179478370989854</v>
      </c>
      <c r="E298" s="683">
        <f>E266/ECO!D$64*100</f>
        <v>1.1934117884433535</v>
      </c>
      <c r="F298" s="683">
        <f>F266/ECO!E$64*100</f>
        <v>1.2264655823942461</v>
      </c>
      <c r="G298" s="683">
        <f>G266/ECO!F$64*100</f>
        <v>0.75652670559480006</v>
      </c>
      <c r="H298" s="683">
        <f>H266/ECO!G$64*100</f>
        <v>1.1746606649177453</v>
      </c>
      <c r="I298" s="683">
        <f>I266/ECO!H$64*100</f>
        <v>1.0225512046322736</v>
      </c>
      <c r="J298" s="683">
        <f>J266/ECO!I$64*100</f>
        <v>0.95099460293190785</v>
      </c>
      <c r="K298" s="683">
        <f>K266/ECO!J$64*100</f>
        <v>0.87883471632212196</v>
      </c>
      <c r="L298" s="683">
        <f>L266/ECO!K$64*100</f>
        <v>0.82810119871645038</v>
      </c>
      <c r="M298" s="683">
        <f>M266/ECO!L$64*100</f>
        <v>0.76813230404555477</v>
      </c>
      <c r="N298" s="683">
        <f>N266/ECO!M$64*100</f>
        <v>0.72926455932039191</v>
      </c>
      <c r="O298" s="683">
        <f>O266/ECO!N$64*100</f>
        <v>0.68158645990132549</v>
      </c>
      <c r="P298" s="683">
        <f>P266/ECO!O$64*100</f>
        <v>0.63362771055541722</v>
      </c>
      <c r="Q298" s="683">
        <f>Q266/ECO!P$64*100</f>
        <v>0.59485080910846833</v>
      </c>
      <c r="R298" s="683">
        <f>R266/ECO!Q$64*100</f>
        <v>0.56196113728112296</v>
      </c>
      <c r="S298" s="192"/>
      <c r="U298" s="61"/>
      <c r="V298" s="98"/>
    </row>
    <row r="299" spans="2:22" s="245" customFormat="1" ht="11.25">
      <c r="B299" s="272" t="s">
        <v>580</v>
      </c>
      <c r="C299" s="684">
        <f>C267/ECO!B$64*100</f>
        <v>2.9789876227204349E-2</v>
      </c>
      <c r="D299" s="684">
        <f>D267/ECO!C$64*100</f>
        <v>4.1056591379142221E-2</v>
      </c>
      <c r="E299" s="684">
        <f>E267/ECO!D$64*100</f>
        <v>4.8088888033928308E-2</v>
      </c>
      <c r="F299" s="684">
        <f>F267/ECO!E$64*100</f>
        <v>0.13707393346163532</v>
      </c>
      <c r="G299" s="684">
        <f>G267/ECO!F$64*100</f>
        <v>8.4551978297029387E-2</v>
      </c>
      <c r="H299" s="684">
        <f>H267/ECO!G$64*100</f>
        <v>0.14740474173129003</v>
      </c>
      <c r="I299" s="684">
        <f>I267/ECO!H$64*100</f>
        <v>0.134790346707342</v>
      </c>
      <c r="J299" s="684">
        <f>J267/ECO!I$64*100</f>
        <v>0.13096411221266047</v>
      </c>
      <c r="K299" s="684">
        <f>K267/ECO!J$64*100</f>
        <v>0.1267590317698169</v>
      </c>
      <c r="L299" s="684">
        <f>L267/ECO!K$64*100</f>
        <v>0.12302133012902616</v>
      </c>
      <c r="M299" s="684">
        <f>M267/ECO!L$64*100</f>
        <v>0.11994310013432605</v>
      </c>
      <c r="N299" s="684">
        <f>N267/ECO!M$64*100</f>
        <v>0.11604116833693195</v>
      </c>
      <c r="O299" s="684">
        <f>O267/ECO!N$64*100</f>
        <v>0.11246453323791632</v>
      </c>
      <c r="P299" s="684">
        <f>P267/ECO!O$64*100</f>
        <v>0.10899877807159959</v>
      </c>
      <c r="Q299" s="684">
        <f>Q267/ECO!P$64*100</f>
        <v>0.10560599803035027</v>
      </c>
      <c r="R299" s="684">
        <f>R267/ECO!Q$64*100</f>
        <v>0.10228448908116512</v>
      </c>
      <c r="S299" s="403"/>
      <c r="V299" s="246"/>
    </row>
    <row r="300" spans="2:22" s="245" customFormat="1" ht="11.25">
      <c r="B300" s="272" t="s">
        <v>581</v>
      </c>
      <c r="C300" s="684">
        <f>C268/ECO!B$64*100</f>
        <v>0.53276214644732256</v>
      </c>
      <c r="D300" s="684">
        <f>D268/ECO!C$64*100</f>
        <v>0.32188367641247501</v>
      </c>
      <c r="E300" s="684">
        <f>E268/ECO!D$64*100</f>
        <v>0.22802876362270005</v>
      </c>
      <c r="F300" s="684">
        <f>F268/ECO!E$64*100</f>
        <v>0.22445313087707425</v>
      </c>
      <c r="G300" s="684">
        <f>G268/ECO!F$64*100</f>
        <v>0.13845051186139842</v>
      </c>
      <c r="H300" s="684">
        <f>H268/ECO!G$64*100</f>
        <v>0.17668615127888465</v>
      </c>
      <c r="I300" s="684">
        <f>I268/ECO!H$64*100</f>
        <v>0.15611158238055278</v>
      </c>
      <c r="J300" s="684">
        <f>J268/ECO!I$64*100</f>
        <v>0.1465594807477387</v>
      </c>
      <c r="K300" s="684">
        <f>K268/ECO!J$64*100</f>
        <v>0.13706475892122574</v>
      </c>
      <c r="L300" s="684">
        <f>L268/ECO!K$64*100</f>
        <v>0.12853239222355872</v>
      </c>
      <c r="M300" s="684">
        <f>M268/ECO!L$64*100</f>
        <v>0.12108566211721941</v>
      </c>
      <c r="N300" s="684">
        <f>N268/ECO!M$64*100</f>
        <v>0.11407707208495163</v>
      </c>
      <c r="O300" s="684">
        <f>O268/ECO!N$64*100</f>
        <v>0.10766404201397985</v>
      </c>
      <c r="P300" s="684">
        <f>P268/ECO!O$64*100</f>
        <v>0.10161212801278344</v>
      </c>
      <c r="Q300" s="684">
        <f>Q268/ECO!P$64*100</f>
        <v>9.5869690347656009E-2</v>
      </c>
      <c r="R300" s="684">
        <f>R268/ECO!Q$64*100</f>
        <v>9.0421423877623849E-2</v>
      </c>
      <c r="S300" s="403"/>
      <c r="V300" s="246"/>
    </row>
    <row r="301" spans="2:22" s="245" customFormat="1" ht="11.25">
      <c r="B301" s="272" t="s">
        <v>582</v>
      </c>
      <c r="C301" s="684">
        <f>C269/ECO!B$64*100</f>
        <v>0.69311401488119428</v>
      </c>
      <c r="D301" s="684">
        <f>D269/ECO!C$64*100</f>
        <v>0.95500756930736819</v>
      </c>
      <c r="E301" s="684">
        <f>E269/ECO!D$64*100</f>
        <v>0.91729413678672511</v>
      </c>
      <c r="F301" s="684">
        <f>F269/ECO!E$64*100</f>
        <v>0.86493851805553645</v>
      </c>
      <c r="G301" s="684">
        <f>G269/ECO!F$64*100</f>
        <v>0.5335242154363723</v>
      </c>
      <c r="H301" s="684">
        <f>H269/ECO!G$64*100</f>
        <v>0.85056977190757044</v>
      </c>
      <c r="I301" s="684">
        <f>I269/ECO!H$64*100</f>
        <v>0.73654912094791225</v>
      </c>
      <c r="J301" s="684">
        <f>J269/ECO!I$64*100</f>
        <v>0.67770339812723945</v>
      </c>
      <c r="K301" s="684">
        <f>K269/ECO!J$64*100</f>
        <v>0.62117033646368891</v>
      </c>
      <c r="L301" s="684">
        <f>L269/ECO!K$64*100</f>
        <v>0.57089553734884402</v>
      </c>
      <c r="M301" s="684">
        <f>M269/ECO!L$64*100</f>
        <v>0.52710354179400931</v>
      </c>
      <c r="N301" s="684">
        <f>N269/ECO!M$64*100</f>
        <v>0.49028882900773518</v>
      </c>
      <c r="O301" s="684">
        <f>O269/ECO!N$64*100</f>
        <v>0.45685115927692183</v>
      </c>
      <c r="P301" s="684">
        <f>P269/ECO!O$64*100</f>
        <v>0.4256964379630559</v>
      </c>
      <c r="Q301" s="684">
        <f>Q269/ECO!P$64*100</f>
        <v>0.3965392792226875</v>
      </c>
      <c r="R301" s="684">
        <f>R269/ECO!Q$64*100</f>
        <v>0.36925522432233404</v>
      </c>
      <c r="S301" s="403"/>
      <c r="V301" s="246"/>
    </row>
    <row r="302" spans="2:22" s="100" customFormat="1" ht="12.75">
      <c r="B302" s="230" t="s">
        <v>427</v>
      </c>
      <c r="C302" s="685">
        <f>C270/ECO!B$64*100</f>
        <v>1.0886064691544411E-2</v>
      </c>
      <c r="D302" s="685">
        <f>D270/ECO!C$64*100</f>
        <v>9.4031028600353311E-3</v>
      </c>
      <c r="E302" s="685">
        <f>E270/ECO!D$64*100</f>
        <v>9.2649644993530629E-3</v>
      </c>
      <c r="F302" s="685">
        <f>F270/ECO!E$64*100</f>
        <v>1.1219990415828855E-2</v>
      </c>
      <c r="G302" s="685">
        <f>G270/ECO!F$64*100</f>
        <v>1.091836716234852E-2</v>
      </c>
      <c r="H302" s="685">
        <f>H270/ECO!G$64*100</f>
        <v>9.8700347042361622E-3</v>
      </c>
      <c r="I302" s="685">
        <f>I270/ECO!H$64*100</f>
        <v>1.0120670698369983E-2</v>
      </c>
      <c r="J302" s="685">
        <f>J270/ECO!I$64*100</f>
        <v>1.0595930939340329E-2</v>
      </c>
      <c r="K302" s="685">
        <f>K270/ECO!J$64*100</f>
        <v>9.988618464408525E-3</v>
      </c>
      <c r="L302" s="685">
        <f>L270/ECO!K$64*100</f>
        <v>9.719184419555495E-3</v>
      </c>
      <c r="M302" s="685">
        <f>M270/ECO!L$64*100</f>
        <v>9.4004980321764613E-3</v>
      </c>
      <c r="N302" s="685">
        <f>N270/ECO!M$64*100</f>
        <v>9.5818188227964514E-3</v>
      </c>
      <c r="O302" s="685">
        <f>O270/ECO!N$64*100</f>
        <v>9.6032968216498878E-3</v>
      </c>
      <c r="P302" s="685">
        <f>P270/ECO!O$64*100</f>
        <v>8.9804046121600752E-3</v>
      </c>
      <c r="Q302" s="685">
        <f>Q270/ECO!P$64*100</f>
        <v>8.5919993999354852E-3</v>
      </c>
      <c r="R302" s="685">
        <f>R270/ECO!Q$64*100</f>
        <v>8.1675862699698391E-3</v>
      </c>
      <c r="S302" s="192"/>
      <c r="U302" s="61"/>
      <c r="V302" s="98"/>
    </row>
    <row r="303" spans="2:22" s="100" customFormat="1" ht="12.75">
      <c r="B303" s="249" t="s">
        <v>760</v>
      </c>
      <c r="C303" s="686">
        <f>C271/ECO!B$64*100</f>
        <v>2.7354106803685418</v>
      </c>
      <c r="D303" s="686">
        <f>D271/ECO!C$64*100</f>
        <v>2.8206932252547374</v>
      </c>
      <c r="E303" s="686">
        <f>E271/ECO!D$64*100</f>
        <v>2.6929995243907481</v>
      </c>
      <c r="F303" s="686">
        <f>F271/ECO!E$64*100</f>
        <v>2.9279111670282325</v>
      </c>
      <c r="G303" s="686">
        <f>G271/ECO!F$64*100</f>
        <v>2.3484461638769161</v>
      </c>
      <c r="H303" s="686">
        <f>H271/ECO!G$64*100</f>
        <v>3.1786532406336971</v>
      </c>
      <c r="I303" s="686">
        <f>I271/ECO!H$64*100</f>
        <v>3.02535485460082</v>
      </c>
      <c r="J303" s="686">
        <f>J271/ECO!I$64*100</f>
        <v>2.8764227399592559</v>
      </c>
      <c r="K303" s="686">
        <f>K271/ECO!J$64*100</f>
        <v>2.8315926994504315</v>
      </c>
      <c r="L303" s="686">
        <f>L271/ECO!K$64*100</f>
        <v>3.2384418471858392</v>
      </c>
      <c r="M303" s="686">
        <f>M271/ECO!L$64*100</f>
        <v>3.1854798624757388</v>
      </c>
      <c r="N303" s="686">
        <f>N271/ECO!M$64*100</f>
        <v>2.8444202022470466</v>
      </c>
      <c r="O303" s="686">
        <f>O271/ECO!N$64*100</f>
        <v>2.7050454731060811</v>
      </c>
      <c r="P303" s="686">
        <f>P271/ECO!O$64*100</f>
        <v>2.4090048634806021</v>
      </c>
      <c r="Q303" s="686">
        <f>Q271/ECO!P$64*100</f>
        <v>2.367848714830556</v>
      </c>
      <c r="R303" s="686">
        <f>R271/ECO!Q$64*100</f>
        <v>2.2287141203388368</v>
      </c>
      <c r="S303" s="404"/>
      <c r="U303" s="61"/>
      <c r="V303" s="98"/>
    </row>
    <row r="304" spans="2:22" s="100" customFormat="1" ht="12.75">
      <c r="B304" s="252"/>
      <c r="C304" s="252"/>
      <c r="D304" s="252"/>
      <c r="E304" s="252"/>
      <c r="F304" s="252"/>
      <c r="G304" s="252"/>
      <c r="H304" s="253"/>
      <c r="I304" s="253"/>
      <c r="J304" s="253"/>
      <c r="K304" s="253"/>
      <c r="L304" s="253"/>
      <c r="M304" s="253"/>
      <c r="N304" s="253"/>
      <c r="O304" s="253"/>
      <c r="P304" s="253"/>
      <c r="Q304" s="253"/>
      <c r="R304" s="253"/>
      <c r="S304" s="192"/>
      <c r="U304" s="61"/>
      <c r="V304" s="98"/>
    </row>
    <row r="305" spans="2:22" s="251" customFormat="1" ht="60">
      <c r="B305" s="314" t="s">
        <v>660</v>
      </c>
      <c r="C305" s="127"/>
      <c r="D305" s="127"/>
      <c r="E305" s="127"/>
      <c r="F305" s="127"/>
      <c r="G305" s="127"/>
      <c r="H305" s="128"/>
      <c r="I305" s="128"/>
      <c r="J305" s="128"/>
      <c r="K305" s="128"/>
      <c r="L305" s="128"/>
      <c r="M305" s="128"/>
      <c r="N305" s="128"/>
      <c r="O305" s="128"/>
      <c r="P305" s="128"/>
      <c r="Q305" s="128"/>
      <c r="R305" s="128"/>
      <c r="S305" s="192"/>
      <c r="U305" s="62"/>
      <c r="V305" s="205"/>
    </row>
    <row r="306" spans="2:22" s="251" customFormat="1">
      <c r="B306" s="662"/>
      <c r="C306" s="663">
        <v>2005</v>
      </c>
      <c r="D306" s="664">
        <v>2006</v>
      </c>
      <c r="E306" s="664">
        <v>2007</v>
      </c>
      <c r="F306" s="664">
        <v>2008</v>
      </c>
      <c r="G306" s="664">
        <v>2009</v>
      </c>
      <c r="H306" s="664">
        <v>2010</v>
      </c>
      <c r="I306" s="665">
        <v>2011</v>
      </c>
      <c r="J306" s="665">
        <v>2012</v>
      </c>
      <c r="K306" s="665">
        <v>2013</v>
      </c>
      <c r="L306" s="665">
        <v>2014</v>
      </c>
      <c r="M306" s="665">
        <v>2015</v>
      </c>
      <c r="N306" s="665">
        <v>2016</v>
      </c>
      <c r="O306" s="665">
        <v>2017</v>
      </c>
      <c r="P306" s="665">
        <v>2018</v>
      </c>
      <c r="Q306" s="665">
        <v>2019</v>
      </c>
      <c r="R306" s="665">
        <v>2020</v>
      </c>
      <c r="S306" s="662" t="s">
        <v>744</v>
      </c>
      <c r="U306" s="62"/>
      <c r="V306" s="205"/>
    </row>
    <row r="307" spans="2:22" s="251" customFormat="1" ht="12.75">
      <c r="B307" s="124" t="s">
        <v>444</v>
      </c>
      <c r="C307" s="683">
        <f>C263/C$190*100</f>
        <v>0.52597133932935458</v>
      </c>
      <c r="D307" s="683">
        <f t="shared" ref="D307:R307" si="80">D263/D$190*100</f>
        <v>0.58976927941563106</v>
      </c>
      <c r="E307" s="683">
        <f t="shared" si="80"/>
        <v>0.58554705315543454</v>
      </c>
      <c r="F307" s="683">
        <f t="shared" si="80"/>
        <v>0.52801021646579693</v>
      </c>
      <c r="G307" s="683">
        <f t="shared" si="80"/>
        <v>0.42642908658321627</v>
      </c>
      <c r="H307" s="683">
        <f t="shared" si="80"/>
        <v>0.39084211440115002</v>
      </c>
      <c r="I307" s="683">
        <f t="shared" si="80"/>
        <v>0.52708603124880771</v>
      </c>
      <c r="J307" s="683">
        <f t="shared" si="80"/>
        <v>0.51631597277682584</v>
      </c>
      <c r="K307" s="683">
        <f t="shared" si="80"/>
        <v>0.49356391617243467</v>
      </c>
      <c r="L307" s="683">
        <f t="shared" si="80"/>
        <v>0.45885002746249065</v>
      </c>
      <c r="M307" s="683">
        <f t="shared" si="80"/>
        <v>0.43212084308182386</v>
      </c>
      <c r="N307" s="683">
        <f t="shared" si="80"/>
        <v>0.41583902636159725</v>
      </c>
      <c r="O307" s="683">
        <f t="shared" si="80"/>
        <v>0.40290012353066551</v>
      </c>
      <c r="P307" s="683">
        <f t="shared" si="80"/>
        <v>0.39169524621956986</v>
      </c>
      <c r="Q307" s="683">
        <f t="shared" si="80"/>
        <v>0.38174051120378799</v>
      </c>
      <c r="R307" s="683">
        <f t="shared" si="80"/>
        <v>0.37525783763982906</v>
      </c>
      <c r="S307" s="192"/>
      <c r="U307" s="62"/>
      <c r="V307" s="205"/>
    </row>
    <row r="308" spans="2:22" s="251" customFormat="1" ht="12.75">
      <c r="B308" s="125" t="s">
        <v>445</v>
      </c>
      <c r="C308" s="683">
        <f t="shared" ref="C308:R315" si="81">C264/C$190*100</f>
        <v>0.89153649526662659</v>
      </c>
      <c r="D308" s="683">
        <f t="shared" si="81"/>
        <v>1.1542776287866792</v>
      </c>
      <c r="E308" s="683">
        <f t="shared" si="81"/>
        <v>1.2254307470016086</v>
      </c>
      <c r="F308" s="683">
        <f t="shared" si="81"/>
        <v>2.5009643041137233</v>
      </c>
      <c r="G308" s="683">
        <f t="shared" si="81"/>
        <v>2.0114047123390053</v>
      </c>
      <c r="H308" s="683">
        <f t="shared" si="81"/>
        <v>2.7543824584072265</v>
      </c>
      <c r="I308" s="683">
        <f t="shared" si="81"/>
        <v>3.11779292150166</v>
      </c>
      <c r="J308" s="683">
        <f t="shared" si="81"/>
        <v>3.1107593501078363</v>
      </c>
      <c r="K308" s="683">
        <f t="shared" si="81"/>
        <v>3.2909921037123988</v>
      </c>
      <c r="L308" s="683">
        <f t="shared" si="81"/>
        <v>5.2418538223388325</v>
      </c>
      <c r="M308" s="683">
        <f t="shared" si="81"/>
        <v>5.3072873372737295</v>
      </c>
      <c r="N308" s="683">
        <f t="shared" si="81"/>
        <v>4.646832614143638</v>
      </c>
      <c r="O308" s="683">
        <f t="shared" si="81"/>
        <v>4.4681592560722603</v>
      </c>
      <c r="P308" s="683">
        <f t="shared" si="81"/>
        <v>3.9393903439324593</v>
      </c>
      <c r="Q308" s="683">
        <f t="shared" si="81"/>
        <v>3.9424584146558002</v>
      </c>
      <c r="R308" s="683">
        <f t="shared" si="81"/>
        <v>3.6874722029148668</v>
      </c>
      <c r="S308" s="192"/>
      <c r="U308" s="62"/>
      <c r="V308" s="205"/>
    </row>
    <row r="309" spans="2:22" s="251" customFormat="1" ht="12.75">
      <c r="B309" s="124" t="s">
        <v>441</v>
      </c>
      <c r="C309" s="683">
        <f t="shared" si="81"/>
        <v>3.3993997431389658</v>
      </c>
      <c r="D309" s="683">
        <f t="shared" si="81"/>
        <v>3.4250005845095326</v>
      </c>
      <c r="E309" s="683">
        <f t="shared" si="81"/>
        <v>2.9644667368108681</v>
      </c>
      <c r="F309" s="683">
        <f t="shared" si="81"/>
        <v>2.5702297060071451</v>
      </c>
      <c r="G309" s="683">
        <f t="shared" si="81"/>
        <v>1.9950165195740972</v>
      </c>
      <c r="H309" s="683">
        <f t="shared" si="81"/>
        <v>2.6211145152426698</v>
      </c>
      <c r="I309" s="683">
        <f t="shared" si="81"/>
        <v>2.636722771696876</v>
      </c>
      <c r="J309" s="683">
        <f t="shared" si="81"/>
        <v>2.3841266367704361</v>
      </c>
      <c r="K309" s="683">
        <f t="shared" si="81"/>
        <v>2.3455553196097045</v>
      </c>
      <c r="L309" s="683">
        <f t="shared" si="81"/>
        <v>1.8958743766829009</v>
      </c>
      <c r="M309" s="683">
        <f t="shared" si="81"/>
        <v>1.904168149544553</v>
      </c>
      <c r="N309" s="683">
        <f t="shared" si="81"/>
        <v>1.6528735378310344</v>
      </c>
      <c r="O309" s="683">
        <f t="shared" si="81"/>
        <v>1.5680057332373394</v>
      </c>
      <c r="P309" s="683">
        <f t="shared" si="81"/>
        <v>1.3445326559709534</v>
      </c>
      <c r="Q309" s="683">
        <f t="shared" si="81"/>
        <v>1.3716773618839939</v>
      </c>
      <c r="R309" s="683">
        <f t="shared" si="81"/>
        <v>1.3163955453601976</v>
      </c>
      <c r="S309" s="192"/>
      <c r="U309" s="62"/>
      <c r="V309" s="205"/>
    </row>
    <row r="310" spans="2:22" s="251" customFormat="1" ht="12.75">
      <c r="B310" s="235" t="s">
        <v>396</v>
      </c>
      <c r="C310" s="683">
        <f t="shared" si="81"/>
        <v>4.117773720015121</v>
      </c>
      <c r="D310" s="683">
        <f t="shared" si="81"/>
        <v>4.561938029855269</v>
      </c>
      <c r="E310" s="683">
        <f t="shared" si="81"/>
        <v>3.8240520205817758</v>
      </c>
      <c r="F310" s="683">
        <f t="shared" si="81"/>
        <v>4.0629081089506816</v>
      </c>
      <c r="G310" s="683">
        <f t="shared" si="81"/>
        <v>2.1211684588222921</v>
      </c>
      <c r="H310" s="683">
        <f t="shared" si="81"/>
        <v>3.3967279181723229</v>
      </c>
      <c r="I310" s="683">
        <f t="shared" si="81"/>
        <v>3.2234226302802704</v>
      </c>
      <c r="J310" s="683">
        <f t="shared" si="81"/>
        <v>2.9854420677646374</v>
      </c>
      <c r="K310" s="683">
        <f t="shared" si="81"/>
        <v>2.7730284191503705</v>
      </c>
      <c r="L310" s="683">
        <f t="shared" si="81"/>
        <v>2.6204612554294346</v>
      </c>
      <c r="M310" s="683">
        <f t="shared" si="81"/>
        <v>2.438291935065954</v>
      </c>
      <c r="N310" s="683">
        <f t="shared" si="81"/>
        <v>2.3259260915061684</v>
      </c>
      <c r="O310" s="683">
        <f t="shared" si="81"/>
        <v>2.1792919719279564</v>
      </c>
      <c r="P310" s="683">
        <f t="shared" si="81"/>
        <v>2.0359123728641326</v>
      </c>
      <c r="Q310" s="683">
        <f t="shared" si="81"/>
        <v>1.9203045094133679</v>
      </c>
      <c r="R310" s="683">
        <f t="shared" si="81"/>
        <v>1.8225528439435354</v>
      </c>
      <c r="S310" s="192"/>
      <c r="U310" s="62"/>
      <c r="V310" s="205"/>
    </row>
    <row r="311" spans="2:22" s="251" customFormat="1" ht="12.75">
      <c r="B311" s="272" t="s">
        <v>580</v>
      </c>
      <c r="C311" s="683">
        <f t="shared" si="81"/>
        <v>9.7691556339033161E-2</v>
      </c>
      <c r="D311" s="683">
        <f t="shared" si="81"/>
        <v>0.14211307937726048</v>
      </c>
      <c r="E311" s="683">
        <f t="shared" si="81"/>
        <v>0.15409132977774592</v>
      </c>
      <c r="F311" s="683">
        <f t="shared" si="81"/>
        <v>0.45408432473078841</v>
      </c>
      <c r="G311" s="683">
        <f t="shared" si="81"/>
        <v>0.23706894702901082</v>
      </c>
      <c r="H311" s="683">
        <f t="shared" si="81"/>
        <v>0.42624548217481556</v>
      </c>
      <c r="I311" s="683">
        <f t="shared" si="81"/>
        <v>0.42490415340718174</v>
      </c>
      <c r="J311" s="683">
        <f t="shared" si="81"/>
        <v>0.41113353194825664</v>
      </c>
      <c r="K311" s="683">
        <f t="shared" si="81"/>
        <v>0.39996872102722919</v>
      </c>
      <c r="L311" s="683">
        <f t="shared" si="81"/>
        <v>0.3892913446981861</v>
      </c>
      <c r="M311" s="683">
        <f t="shared" si="81"/>
        <v>0.38073687590541822</v>
      </c>
      <c r="N311" s="683">
        <f t="shared" si="81"/>
        <v>0.37010324672195039</v>
      </c>
      <c r="O311" s="683">
        <f t="shared" si="81"/>
        <v>0.35959202365536785</v>
      </c>
      <c r="P311" s="683">
        <f t="shared" si="81"/>
        <v>0.35022452018160721</v>
      </c>
      <c r="Q311" s="683">
        <f t="shared" si="81"/>
        <v>0.34091854820323864</v>
      </c>
      <c r="R311" s="683">
        <f t="shared" si="81"/>
        <v>0.33172914299397949</v>
      </c>
      <c r="S311" s="403"/>
      <c r="U311" s="62"/>
      <c r="V311" s="205"/>
    </row>
    <row r="312" spans="2:22" s="251" customFormat="1" ht="12.75">
      <c r="B312" s="272" t="s">
        <v>581</v>
      </c>
      <c r="C312" s="683">
        <f t="shared" si="81"/>
        <v>1.747115793567269</v>
      </c>
      <c r="D312" s="683">
        <f t="shared" si="81"/>
        <v>1.1141665423177223</v>
      </c>
      <c r="E312" s="683">
        <f t="shared" si="81"/>
        <v>0.730673069200657</v>
      </c>
      <c r="F312" s="683">
        <f t="shared" si="81"/>
        <v>0.74354507669069991</v>
      </c>
      <c r="G312" s="683">
        <f t="shared" si="81"/>
        <v>0.38819100065648571</v>
      </c>
      <c r="H312" s="683">
        <f t="shared" si="81"/>
        <v>0.51091757877619182</v>
      </c>
      <c r="I312" s="683">
        <f t="shared" si="81"/>
        <v>0.49211580331109245</v>
      </c>
      <c r="J312" s="683">
        <f t="shared" si="81"/>
        <v>0.46009182166238782</v>
      </c>
      <c r="K312" s="683">
        <f t="shared" si="81"/>
        <v>0.43248686549751608</v>
      </c>
      <c r="L312" s="683">
        <f t="shared" si="81"/>
        <v>0.4067306681979862</v>
      </c>
      <c r="M312" s="683">
        <f t="shared" si="81"/>
        <v>0.38436372463125523</v>
      </c>
      <c r="N312" s="683">
        <f t="shared" si="81"/>
        <v>0.36383893199511419</v>
      </c>
      <c r="O312" s="683">
        <f t="shared" si="81"/>
        <v>0.3442430215828356</v>
      </c>
      <c r="P312" s="683">
        <f t="shared" si="81"/>
        <v>0.32649043785181281</v>
      </c>
      <c r="Q312" s="683">
        <f t="shared" si="81"/>
        <v>0.30948768308239355</v>
      </c>
      <c r="R312" s="683">
        <f t="shared" si="81"/>
        <v>0.29325483971883021</v>
      </c>
      <c r="S312" s="403"/>
      <c r="U312" s="62"/>
      <c r="V312" s="205"/>
    </row>
    <row r="313" spans="2:22" s="251" customFormat="1" ht="12.75">
      <c r="B313" s="272" t="s">
        <v>582</v>
      </c>
      <c r="C313" s="683">
        <f t="shared" si="81"/>
        <v>2.272966370108819</v>
      </c>
      <c r="D313" s="683">
        <f t="shared" si="81"/>
        <v>3.3056584081602862</v>
      </c>
      <c r="E313" s="683">
        <f t="shared" si="81"/>
        <v>2.9392876216033725</v>
      </c>
      <c r="F313" s="683">
        <f t="shared" si="81"/>
        <v>2.8652787075291934</v>
      </c>
      <c r="G313" s="683">
        <f t="shared" si="81"/>
        <v>1.4959085111367958</v>
      </c>
      <c r="H313" s="683">
        <f t="shared" si="81"/>
        <v>2.4595648572213151</v>
      </c>
      <c r="I313" s="683">
        <f t="shared" si="81"/>
        <v>2.3218486213904037</v>
      </c>
      <c r="J313" s="683">
        <f t="shared" si="81"/>
        <v>2.1275033822468217</v>
      </c>
      <c r="K313" s="683">
        <f t="shared" si="81"/>
        <v>1.9600079106520469</v>
      </c>
      <c r="L313" s="683">
        <f t="shared" si="81"/>
        <v>1.8065541250743451</v>
      </c>
      <c r="M313" s="683">
        <f t="shared" si="81"/>
        <v>1.6731913345292806</v>
      </c>
      <c r="N313" s="683">
        <f t="shared" si="81"/>
        <v>1.5637337166443734</v>
      </c>
      <c r="O313" s="683">
        <f t="shared" si="81"/>
        <v>1.4607274679756879</v>
      </c>
      <c r="P313" s="683">
        <f t="shared" si="81"/>
        <v>1.3678073586356734</v>
      </c>
      <c r="Q313" s="683">
        <f t="shared" si="81"/>
        <v>1.2801128524850029</v>
      </c>
      <c r="R313" s="683">
        <f t="shared" si="81"/>
        <v>1.1975688612307258</v>
      </c>
      <c r="S313" s="403"/>
      <c r="U313" s="62"/>
      <c r="V313" s="205"/>
    </row>
    <row r="314" spans="2:22" s="251" customFormat="1" ht="12.75">
      <c r="B314" s="230" t="s">
        <v>427</v>
      </c>
      <c r="C314" s="685">
        <f t="shared" si="81"/>
        <v>3.5699262192744365E-2</v>
      </c>
      <c r="D314" s="685">
        <f t="shared" si="81"/>
        <v>3.2547853054835478E-2</v>
      </c>
      <c r="E314" s="685">
        <f t="shared" si="81"/>
        <v>2.9687746138809999E-2</v>
      </c>
      <c r="F314" s="685">
        <f t="shared" si="81"/>
        <v>3.7168421761848092E-2</v>
      </c>
      <c r="G314" s="685">
        <f t="shared" si="81"/>
        <v>3.0613190354471374E-2</v>
      </c>
      <c r="H314" s="685">
        <f t="shared" si="81"/>
        <v>2.8540857316913987E-2</v>
      </c>
      <c r="I314" s="685">
        <f t="shared" si="81"/>
        <v>3.1903731387683501E-2</v>
      </c>
      <c r="J314" s="685">
        <f t="shared" si="81"/>
        <v>3.3263635646206172E-2</v>
      </c>
      <c r="K314" s="685">
        <f t="shared" si="81"/>
        <v>3.1517556550078832E-2</v>
      </c>
      <c r="L314" s="685">
        <f t="shared" si="81"/>
        <v>3.0755596351381847E-2</v>
      </c>
      <c r="M314" s="685">
        <f t="shared" si="81"/>
        <v>2.9840117928564395E-2</v>
      </c>
      <c r="N314" s="685">
        <f t="shared" si="81"/>
        <v>3.0560380480845337E-2</v>
      </c>
      <c r="O314" s="685">
        <f t="shared" si="81"/>
        <v>3.0705404081079753E-2</v>
      </c>
      <c r="P314" s="685">
        <f t="shared" si="81"/>
        <v>2.8854983073887761E-2</v>
      </c>
      <c r="Q314" s="685">
        <f t="shared" si="81"/>
        <v>2.7736795411443235E-2</v>
      </c>
      <c r="R314" s="685">
        <f t="shared" si="81"/>
        <v>2.6489122818186984E-2</v>
      </c>
      <c r="S314" s="192"/>
      <c r="U314" s="62"/>
      <c r="V314" s="205"/>
    </row>
    <row r="315" spans="2:22" s="251" customFormat="1" ht="12.75">
      <c r="B315" s="249" t="s">
        <v>760</v>
      </c>
      <c r="C315" s="686">
        <f t="shared" si="81"/>
        <v>8.9703805599428108</v>
      </c>
      <c r="D315" s="686">
        <f t="shared" si="81"/>
        <v>9.7635333756219485</v>
      </c>
      <c r="E315" s="686">
        <f t="shared" si="81"/>
        <v>8.629184303688497</v>
      </c>
      <c r="F315" s="686">
        <f t="shared" si="81"/>
        <v>9.6992807572991939</v>
      </c>
      <c r="G315" s="686">
        <f t="shared" si="81"/>
        <v>6.5846319676730829</v>
      </c>
      <c r="H315" s="686">
        <f t="shared" si="81"/>
        <v>9.1916078635402823</v>
      </c>
      <c r="I315" s="686">
        <f t="shared" si="81"/>
        <v>9.5369280861152976</v>
      </c>
      <c r="J315" s="686">
        <f t="shared" si="81"/>
        <v>9.0299076630659414</v>
      </c>
      <c r="K315" s="686">
        <f t="shared" si="81"/>
        <v>8.934657315194988</v>
      </c>
      <c r="L315" s="686">
        <f t="shared" si="81"/>
        <v>10.247795078265041</v>
      </c>
      <c r="M315" s="686">
        <f t="shared" si="81"/>
        <v>10.111708382894626</v>
      </c>
      <c r="N315" s="686">
        <f t="shared" si="81"/>
        <v>9.0720316503232823</v>
      </c>
      <c r="O315" s="686">
        <f t="shared" si="81"/>
        <v>8.6490624888493013</v>
      </c>
      <c r="P315" s="686">
        <f t="shared" si="81"/>
        <v>7.7403856020610036</v>
      </c>
      <c r="Q315" s="686">
        <f t="shared" si="81"/>
        <v>7.6439175925683926</v>
      </c>
      <c r="R315" s="686">
        <f t="shared" si="81"/>
        <v>7.2281675526766165</v>
      </c>
      <c r="S315" s="404"/>
      <c r="U315" s="62"/>
      <c r="V315" s="205"/>
    </row>
    <row r="316" spans="2:22" s="251" customFormat="1" ht="12.75">
      <c r="B316" s="252"/>
      <c r="C316" s="252"/>
      <c r="D316" s="252"/>
      <c r="E316" s="252"/>
      <c r="F316" s="252"/>
      <c r="G316" s="252"/>
      <c r="H316" s="253"/>
      <c r="I316" s="253"/>
      <c r="J316" s="253"/>
      <c r="K316" s="253"/>
      <c r="L316" s="253"/>
      <c r="M316" s="253"/>
      <c r="N316" s="253"/>
      <c r="O316" s="253"/>
      <c r="P316" s="253"/>
      <c r="Q316" s="253"/>
      <c r="R316" s="253"/>
      <c r="S316" s="322"/>
      <c r="U316" s="62"/>
      <c r="V316" s="205"/>
    </row>
    <row r="317" spans="2:22" s="251" customFormat="1" ht="12.75">
      <c r="B317" s="252"/>
      <c r="C317" s="252"/>
      <c r="D317" s="252"/>
      <c r="E317" s="252"/>
      <c r="F317" s="252"/>
      <c r="G317" s="252"/>
      <c r="H317" s="253"/>
      <c r="I317" s="253"/>
      <c r="J317" s="253"/>
      <c r="K317" s="253"/>
      <c r="L317" s="253"/>
      <c r="M317" s="253"/>
      <c r="N317" s="253"/>
      <c r="O317" s="253"/>
      <c r="P317" s="253"/>
      <c r="Q317" s="253"/>
      <c r="R317" s="253"/>
      <c r="S317" s="322"/>
      <c r="U317" s="62"/>
      <c r="V317" s="205"/>
    </row>
    <row r="318" spans="2:22" s="100" customFormat="1" ht="31.5">
      <c r="B318" s="381" t="s">
        <v>620</v>
      </c>
      <c r="C318" s="127"/>
      <c r="D318" s="127"/>
      <c r="E318" s="127"/>
      <c r="F318" s="127"/>
      <c r="G318" s="127"/>
      <c r="H318" s="128"/>
      <c r="I318" s="128"/>
      <c r="J318" s="128"/>
      <c r="K318" s="128"/>
      <c r="L318" s="128"/>
      <c r="M318" s="128"/>
      <c r="N318" s="128"/>
      <c r="O318" s="128"/>
      <c r="P318" s="128"/>
      <c r="Q318" s="128"/>
      <c r="R318" s="128"/>
      <c r="S318" s="192"/>
      <c r="U318" s="61"/>
      <c r="V318" s="98"/>
    </row>
    <row r="319" spans="2:22" s="100" customFormat="1" ht="12.75">
      <c r="B319" s="252"/>
      <c r="C319" s="252"/>
      <c r="D319" s="252"/>
      <c r="E319" s="252"/>
      <c r="F319" s="252"/>
      <c r="G319" s="252"/>
      <c r="H319" s="253"/>
      <c r="I319" s="253"/>
      <c r="J319" s="253"/>
      <c r="K319" s="253"/>
      <c r="L319" s="253"/>
      <c r="M319" s="253"/>
      <c r="N319" s="253"/>
      <c r="O319" s="253"/>
      <c r="P319" s="253"/>
      <c r="Q319" s="253"/>
      <c r="R319" s="253"/>
      <c r="S319" s="192"/>
      <c r="U319" s="61"/>
      <c r="V319" s="98"/>
    </row>
    <row r="320" spans="2:22" s="248" customFormat="1">
      <c r="B320" s="662"/>
      <c r="C320" s="663">
        <v>2005</v>
      </c>
      <c r="D320" s="664">
        <v>2006</v>
      </c>
      <c r="E320" s="664">
        <v>2007</v>
      </c>
      <c r="F320" s="664">
        <v>2008</v>
      </c>
      <c r="G320" s="664">
        <v>2009</v>
      </c>
      <c r="H320" s="664">
        <v>2010</v>
      </c>
      <c r="I320" s="665">
        <v>2011</v>
      </c>
      <c r="J320" s="665">
        <v>2012</v>
      </c>
      <c r="K320" s="665">
        <v>2013</v>
      </c>
      <c r="L320" s="665">
        <v>2014</v>
      </c>
      <c r="M320" s="665">
        <v>2015</v>
      </c>
      <c r="N320" s="665">
        <v>2016</v>
      </c>
      <c r="O320" s="665">
        <v>2017</v>
      </c>
      <c r="P320" s="665">
        <v>2018</v>
      </c>
      <c r="Q320" s="665">
        <v>2019</v>
      </c>
      <c r="R320" s="665">
        <v>2020</v>
      </c>
      <c r="S320" s="662" t="s">
        <v>744</v>
      </c>
      <c r="T320" s="247"/>
      <c r="U320" s="247"/>
    </row>
    <row r="321" spans="2:22" s="100" customFormat="1" ht="12.75">
      <c r="B321" s="124" t="s">
        <v>444</v>
      </c>
      <c r="C321" s="687">
        <v>1346000</v>
      </c>
      <c r="D321" s="687">
        <v>1660000</v>
      </c>
      <c r="E321" s="687">
        <v>2090000</v>
      </c>
      <c r="F321" s="687">
        <v>2367000</v>
      </c>
      <c r="G321" s="687">
        <v>2522216.3186679631</v>
      </c>
      <c r="H321" s="687">
        <v>2677432.6373359263</v>
      </c>
      <c r="I321" s="687">
        <v>4025896.7386713047</v>
      </c>
      <c r="J321" s="687">
        <v>4530017.454655475</v>
      </c>
      <c r="K321" s="687">
        <v>4947430.4672634797</v>
      </c>
      <c r="L321" s="687">
        <v>5252347.5301963659</v>
      </c>
      <c r="M321" s="687">
        <v>5621249.0330140423</v>
      </c>
      <c r="N321" s="687">
        <v>6112398.895697996</v>
      </c>
      <c r="O321" s="687">
        <v>6695044.5935450876</v>
      </c>
      <c r="P321" s="687">
        <v>7340483.3889486352</v>
      </c>
      <c r="Q321" s="687">
        <v>8072300.3749502599</v>
      </c>
      <c r="R321" s="687">
        <v>8957413.5110518802</v>
      </c>
      <c r="S321" s="192"/>
      <c r="U321" s="61"/>
      <c r="V321" s="98"/>
    </row>
    <row r="322" spans="2:22" s="100" customFormat="1" ht="12.75">
      <c r="B322" s="124" t="s">
        <v>445</v>
      </c>
      <c r="C322" s="657">
        <v>5954622.2783171432</v>
      </c>
      <c r="D322" s="657">
        <v>8010335.6706407135</v>
      </c>
      <c r="E322" s="657">
        <v>10242699.812206786</v>
      </c>
      <c r="F322" s="657">
        <v>26966674.164692309</v>
      </c>
      <c r="G322" s="657">
        <v>24026250.037031334</v>
      </c>
      <c r="H322" s="657">
        <v>42116690.729634427</v>
      </c>
      <c r="I322" s="657">
        <v>51866122.732543446</v>
      </c>
      <c r="J322" s="657">
        <v>57082409.737335384</v>
      </c>
      <c r="K322" s="657">
        <v>67494050.637220815</v>
      </c>
      <c r="L322" s="657">
        <v>118281261.11425336</v>
      </c>
      <c r="M322" s="657">
        <v>132384765.75190812</v>
      </c>
      <c r="N322" s="657">
        <v>134003977.97773229</v>
      </c>
      <c r="O322" s="657">
        <v>148769923.58272913</v>
      </c>
      <c r="P322" s="657">
        <v>150225992.24147487</v>
      </c>
      <c r="Q322" s="657">
        <v>174475222.09233132</v>
      </c>
      <c r="R322" s="657">
        <v>188466542.58107615</v>
      </c>
      <c r="S322" s="192"/>
      <c r="U322" s="61"/>
      <c r="V322" s="98"/>
    </row>
    <row r="323" spans="2:22" s="100" customFormat="1" ht="12.75">
      <c r="B323" s="124" t="s">
        <v>441</v>
      </c>
      <c r="C323" s="657">
        <v>23309758.217793401</v>
      </c>
      <c r="D323" s="657">
        <v>25622812.145195603</v>
      </c>
      <c r="E323" s="657">
        <v>27951706.072597802</v>
      </c>
      <c r="F323" s="657">
        <v>30256840</v>
      </c>
      <c r="G323" s="657">
        <v>30534840</v>
      </c>
      <c r="H323" s="657">
        <v>65159260.184131965</v>
      </c>
      <c r="I323" s="657">
        <v>84309366.334606886</v>
      </c>
      <c r="J323" s="657">
        <v>102445445.78181715</v>
      </c>
      <c r="K323" s="657">
        <v>127190996.00121681</v>
      </c>
      <c r="L323" s="657">
        <v>141396974.68749571</v>
      </c>
      <c r="M323" s="657">
        <v>176876847.72421321</v>
      </c>
      <c r="N323" s="657">
        <v>206693026.84500778</v>
      </c>
      <c r="O323" s="657">
        <v>229136571.52095878</v>
      </c>
      <c r="P323" s="657">
        <v>246736275.9505699</v>
      </c>
      <c r="Q323" s="657">
        <v>305462409.74032164</v>
      </c>
      <c r="R323" s="657">
        <v>366551867.77203518</v>
      </c>
      <c r="S323" s="192"/>
      <c r="U323" s="61"/>
      <c r="V323" s="98"/>
    </row>
    <row r="324" spans="2:22" s="100" customFormat="1" ht="12.75">
      <c r="B324" s="124" t="s">
        <v>396</v>
      </c>
      <c r="C324" s="687">
        <v>13043229.150791541</v>
      </c>
      <c r="D324" s="687">
        <v>15858365.394134918</v>
      </c>
      <c r="E324" s="687">
        <v>16933080.751813158</v>
      </c>
      <c r="F324" s="687">
        <v>22603175.946571037</v>
      </c>
      <c r="G324" s="687">
        <v>26262995.692409147</v>
      </c>
      <c r="H324" s="687">
        <v>29922815.438247252</v>
      </c>
      <c r="I324" s="687">
        <v>31544702.500709213</v>
      </c>
      <c r="J324" s="687">
        <v>33432158.732030351</v>
      </c>
      <c r="K324" s="687">
        <v>35355838.637196332</v>
      </c>
      <c r="L324" s="687">
        <v>37994958.820976026</v>
      </c>
      <c r="M324" s="687">
        <v>40062258.930472642</v>
      </c>
      <c r="N324" s="687">
        <v>43026417.931735702</v>
      </c>
      <c r="O324" s="687">
        <v>45456299.213475823</v>
      </c>
      <c r="P324" s="687">
        <v>47784311.447027728</v>
      </c>
      <c r="Q324" s="687">
        <v>50728204.703684755</v>
      </c>
      <c r="R324" s="687">
        <v>54205255.687525027</v>
      </c>
      <c r="S324" s="192"/>
      <c r="U324" s="61"/>
      <c r="V324" s="98"/>
    </row>
    <row r="325" spans="2:22" s="100" customFormat="1" ht="12.75">
      <c r="B325" s="230" t="s">
        <v>427</v>
      </c>
      <c r="C325" s="688">
        <v>91357.082256044843</v>
      </c>
      <c r="D325" s="688">
        <v>91611.140079323231</v>
      </c>
      <c r="E325" s="688">
        <v>105964.82229010947</v>
      </c>
      <c r="F325" s="688">
        <v>166621.12127141652</v>
      </c>
      <c r="G325" s="688">
        <v>181068.99052617521</v>
      </c>
      <c r="H325" s="688">
        <v>195516.85978093391</v>
      </c>
      <c r="I325" s="688">
        <v>243681.52546332707</v>
      </c>
      <c r="J325" s="688">
        <v>291846.19114572025</v>
      </c>
      <c r="K325" s="688">
        <v>315928.52398691687</v>
      </c>
      <c r="L325" s="688">
        <v>352052.02324871178</v>
      </c>
      <c r="M325" s="688">
        <v>388175.52251050662</v>
      </c>
      <c r="N325" s="689">
        <v>449205.63983044273</v>
      </c>
      <c r="O325" s="689">
        <v>510235.75715037883</v>
      </c>
      <c r="P325" s="689">
        <v>540750.81581034698</v>
      </c>
      <c r="Q325" s="690">
        <v>586523.40380029904</v>
      </c>
      <c r="R325" s="689">
        <v>632295.99179025122</v>
      </c>
      <c r="S325" s="192"/>
    </row>
    <row r="326" spans="2:22" s="94" customFormat="1" ht="12.75">
      <c r="B326" s="316" t="s">
        <v>446</v>
      </c>
      <c r="C326" s="691">
        <f t="shared" ref="C326:R326" si="82">C325+C324+C323+C322+C321</f>
        <v>43744966.729158133</v>
      </c>
      <c r="D326" s="691">
        <f t="shared" si="82"/>
        <v>51243124.350050561</v>
      </c>
      <c r="E326" s="691">
        <f t="shared" si="82"/>
        <v>57323451.458907858</v>
      </c>
      <c r="F326" s="691">
        <f t="shared" si="82"/>
        <v>82360311.232534766</v>
      </c>
      <c r="G326" s="691">
        <f t="shared" si="82"/>
        <v>83527371.038634628</v>
      </c>
      <c r="H326" s="691">
        <f t="shared" si="82"/>
        <v>140071715.84913051</v>
      </c>
      <c r="I326" s="691">
        <f t="shared" si="82"/>
        <v>171989769.83199418</v>
      </c>
      <c r="J326" s="691">
        <f t="shared" si="82"/>
        <v>197781877.89698407</v>
      </c>
      <c r="K326" s="691">
        <f t="shared" si="82"/>
        <v>235304244.26688436</v>
      </c>
      <c r="L326" s="691">
        <f t="shared" si="82"/>
        <v>303277594.17617017</v>
      </c>
      <c r="M326" s="691">
        <f t="shared" si="82"/>
        <v>355333296.96211851</v>
      </c>
      <c r="N326" s="691">
        <f t="shared" si="82"/>
        <v>390285027.29000419</v>
      </c>
      <c r="O326" s="691">
        <f t="shared" si="82"/>
        <v>430568074.6678592</v>
      </c>
      <c r="P326" s="691">
        <f t="shared" si="82"/>
        <v>452627813.84383148</v>
      </c>
      <c r="Q326" s="691">
        <f t="shared" si="82"/>
        <v>539324660.31508827</v>
      </c>
      <c r="R326" s="691">
        <f t="shared" si="82"/>
        <v>618813375.54347849</v>
      </c>
      <c r="S326" s="93"/>
      <c r="U326" s="239"/>
      <c r="V326" s="240"/>
    </row>
    <row r="327" spans="2:22" s="297" customFormat="1" ht="12.75">
      <c r="B327" s="317" t="s">
        <v>442</v>
      </c>
      <c r="C327" s="692">
        <f>ECO!B$64</f>
        <v>839211274.6400001</v>
      </c>
      <c r="D327" s="692">
        <f>ECO!C$64</f>
        <v>974265000.00000012</v>
      </c>
      <c r="E327" s="692">
        <f>ECO!D$64</f>
        <v>1143715362.29317</v>
      </c>
      <c r="F327" s="692">
        <f>ECO!E$64</f>
        <v>1485038000</v>
      </c>
      <c r="G327" s="692">
        <f>ECO!F$64</f>
        <v>1658389000</v>
      </c>
      <c r="H327" s="692">
        <f>ECO!G$64</f>
        <v>1980913600</v>
      </c>
      <c r="I327" s="692">
        <f>ECO!H$64</f>
        <v>2407760638.8534503</v>
      </c>
      <c r="J327" s="692">
        <f t="shared" ref="J327:R327" si="83">J272</f>
        <v>2754323266.3225503</v>
      </c>
      <c r="K327" s="692">
        <f t="shared" si="83"/>
        <v>3162885088.7901502</v>
      </c>
      <c r="L327" s="692">
        <f t="shared" si="83"/>
        <v>3622238328.3556705</v>
      </c>
      <c r="M327" s="692">
        <f t="shared" si="83"/>
        <v>4129308055.61409</v>
      </c>
      <c r="N327" s="692">
        <f t="shared" si="83"/>
        <v>4688104086.8955002</v>
      </c>
      <c r="O327" s="692">
        <f t="shared" si="83"/>
        <v>5313131173.8703308</v>
      </c>
      <c r="P327" s="692">
        <f t="shared" si="83"/>
        <v>6021452698.0013103</v>
      </c>
      <c r="Q327" s="692">
        <f t="shared" si="83"/>
        <v>6826390185.7896204</v>
      </c>
      <c r="R327" s="692">
        <f t="shared" si="83"/>
        <v>7741528168.671381</v>
      </c>
      <c r="S327" s="405"/>
      <c r="U327" s="98"/>
      <c r="V327" s="98"/>
    </row>
    <row r="328" spans="2:22" s="100" customFormat="1" ht="12.75">
      <c r="B328" s="124" t="s">
        <v>447</v>
      </c>
      <c r="C328" s="687">
        <f t="shared" ref="C328:H328" si="84">C326/C327*100</f>
        <v>5.2126285776991725</v>
      </c>
      <c r="D328" s="687">
        <f t="shared" si="84"/>
        <v>5.2596700435764969</v>
      </c>
      <c r="E328" s="687">
        <f t="shared" si="84"/>
        <v>5.0120382525922622</v>
      </c>
      <c r="F328" s="687">
        <f t="shared" si="84"/>
        <v>5.5460069865238975</v>
      </c>
      <c r="G328" s="687">
        <f t="shared" si="84"/>
        <v>5.0366573245863684</v>
      </c>
      <c r="H328" s="687">
        <f t="shared" si="84"/>
        <v>7.0710663932606916</v>
      </c>
      <c r="I328" s="693">
        <f t="shared" ref="I328:R328" si="85">I326/I327*100</f>
        <v>7.143142347982474</v>
      </c>
      <c r="J328" s="693">
        <f t="shared" si="85"/>
        <v>7.1807794065165647</v>
      </c>
      <c r="K328" s="693">
        <f t="shared" si="85"/>
        <v>7.439544519048324</v>
      </c>
      <c r="L328" s="693">
        <f t="shared" si="85"/>
        <v>8.3726570889067986</v>
      </c>
      <c r="M328" s="693">
        <f t="shared" si="85"/>
        <v>8.6051535069905345</v>
      </c>
      <c r="N328" s="693">
        <f t="shared" si="85"/>
        <v>8.3250077228650881</v>
      </c>
      <c r="O328" s="693">
        <f t="shared" si="85"/>
        <v>8.1038480055860056</v>
      </c>
      <c r="P328" s="693">
        <f t="shared" si="85"/>
        <v>7.5169205264050545</v>
      </c>
      <c r="Q328" s="693">
        <f t="shared" si="85"/>
        <v>7.9005835534832327</v>
      </c>
      <c r="R328" s="693">
        <f t="shared" si="85"/>
        <v>7.9934266473085849</v>
      </c>
      <c r="S328" s="322"/>
      <c r="U328" s="61"/>
      <c r="V328" s="98"/>
    </row>
    <row r="329" spans="2:22" s="100" customFormat="1" ht="12.75">
      <c r="B329" s="124" t="s">
        <v>455</v>
      </c>
      <c r="C329" s="657">
        <f>C$190</f>
        <v>255907479.99999997</v>
      </c>
      <c r="D329" s="657">
        <f t="shared" ref="D329:J329" si="86">D$190</f>
        <v>281466000</v>
      </c>
      <c r="E329" s="657">
        <f t="shared" si="86"/>
        <v>356931178.92700005</v>
      </c>
      <c r="F329" s="657">
        <f t="shared" si="86"/>
        <v>448286780.48000002</v>
      </c>
      <c r="G329" s="657">
        <f t="shared" si="86"/>
        <v>591473799.05000007</v>
      </c>
      <c r="H329" s="657">
        <f t="shared" si="86"/>
        <v>685042000</v>
      </c>
      <c r="I329" s="657">
        <f t="shared" si="86"/>
        <v>763802586.29371738</v>
      </c>
      <c r="J329" s="657">
        <f t="shared" si="86"/>
        <v>877373099.71108425</v>
      </c>
      <c r="K329" s="657">
        <f t="shared" ref="I329:R330" si="87">K276</f>
        <v>1002389012.8821763</v>
      </c>
      <c r="L329" s="657">
        <f t="shared" si="87"/>
        <v>1144676302.8963153</v>
      </c>
      <c r="M329" s="657">
        <f t="shared" si="87"/>
        <v>1300851167.6789532</v>
      </c>
      <c r="N329" s="657">
        <f t="shared" si="87"/>
        <v>1469895442.276958</v>
      </c>
      <c r="O329" s="657">
        <f t="shared" si="87"/>
        <v>1661713214.4005201</v>
      </c>
      <c r="P329" s="657">
        <f t="shared" si="87"/>
        <v>1874029225.4743962</v>
      </c>
      <c r="Q329" s="657">
        <f t="shared" si="87"/>
        <v>2114604066.9078875</v>
      </c>
      <c r="R329" s="657">
        <f t="shared" si="87"/>
        <v>2387002378.7881999</v>
      </c>
      <c r="S329" s="322"/>
      <c r="U329" s="61"/>
      <c r="V329" s="98"/>
    </row>
    <row r="330" spans="2:22" s="100" customFormat="1" ht="12.75">
      <c r="B330" s="124" t="s">
        <v>456</v>
      </c>
      <c r="C330" s="687">
        <v>262697000</v>
      </c>
      <c r="D330" s="687">
        <v>308058000</v>
      </c>
      <c r="E330" s="687">
        <v>368000000</v>
      </c>
      <c r="F330" s="687">
        <v>474300000</v>
      </c>
      <c r="G330" s="687">
        <f>F330*F330/E330</f>
        <v>611305679.34782612</v>
      </c>
      <c r="H330" s="657">
        <v>615876414.00400448</v>
      </c>
      <c r="I330" s="657">
        <f t="shared" si="87"/>
        <v>685165401.60587716</v>
      </c>
      <c r="J330" s="657">
        <f t="shared" si="87"/>
        <v>762249725.56700397</v>
      </c>
      <c r="K330" s="657">
        <f t="shared" si="87"/>
        <v>848006397.82040751</v>
      </c>
      <c r="L330" s="657">
        <f t="shared" si="87"/>
        <v>943411098.25841594</v>
      </c>
      <c r="M330" s="657">
        <f t="shared" si="87"/>
        <v>1049549275.3412479</v>
      </c>
      <c r="N330" s="657">
        <f t="shared" si="87"/>
        <v>1178012845.3441195</v>
      </c>
      <c r="O330" s="657">
        <f t="shared" si="87"/>
        <v>1322200201.9338734</v>
      </c>
      <c r="P330" s="657">
        <f t="shared" si="87"/>
        <v>1484035917.6926374</v>
      </c>
      <c r="Q330" s="657">
        <f t="shared" si="87"/>
        <v>1665680130.5737317</v>
      </c>
      <c r="R330" s="657">
        <f t="shared" si="87"/>
        <v>1869557376.8200104</v>
      </c>
      <c r="S330" s="322"/>
      <c r="U330" s="61"/>
      <c r="V330" s="98"/>
    </row>
    <row r="331" spans="2:22" s="100" customFormat="1" ht="12.75">
      <c r="B331" s="130" t="s">
        <v>508</v>
      </c>
      <c r="C331" s="694">
        <f>C$326/C329*100</f>
        <v>17.094055527082734</v>
      </c>
      <c r="D331" s="694">
        <f t="shared" ref="D331:J331" si="88">D$326/D329*100</f>
        <v>18.205795495743914</v>
      </c>
      <c r="E331" s="694">
        <f t="shared" si="88"/>
        <v>16.060085205005784</v>
      </c>
      <c r="F331" s="694">
        <f t="shared" si="88"/>
        <v>18.372237330832736</v>
      </c>
      <c r="G331" s="694">
        <f t="shared" si="88"/>
        <v>14.121905513446704</v>
      </c>
      <c r="H331" s="694">
        <f t="shared" si="88"/>
        <v>20.447171976189857</v>
      </c>
      <c r="I331" s="694">
        <f t="shared" si="88"/>
        <v>22.517568402924489</v>
      </c>
      <c r="J331" s="694">
        <f t="shared" si="88"/>
        <v>22.542505344888387</v>
      </c>
      <c r="K331" s="694">
        <f>K$326/K329*100</f>
        <v>23.474343916670872</v>
      </c>
      <c r="L331" s="694">
        <f t="shared" ref="L331:R331" si="89">L$326/L329*100</f>
        <v>26.494616286613304</v>
      </c>
      <c r="M331" s="694">
        <f t="shared" si="89"/>
        <v>27.315445901172751</v>
      </c>
      <c r="N331" s="694">
        <f t="shared" si="89"/>
        <v>26.551890431432916</v>
      </c>
      <c r="O331" s="694">
        <f t="shared" si="89"/>
        <v>25.911094100746563</v>
      </c>
      <c r="P331" s="694">
        <f t="shared" si="89"/>
        <v>24.152655022189006</v>
      </c>
      <c r="Q331" s="694">
        <f t="shared" si="89"/>
        <v>25.504758491442992</v>
      </c>
      <c r="R331" s="694">
        <f t="shared" si="89"/>
        <v>25.924288180124439</v>
      </c>
      <c r="S331" s="406"/>
      <c r="U331" s="61"/>
      <c r="V331" s="98"/>
    </row>
    <row r="332" spans="2:22" s="100" customFormat="1" ht="12.75">
      <c r="B332" s="130" t="s">
        <v>616</v>
      </c>
      <c r="C332" s="694">
        <f>C$326/C330*100</f>
        <v>16.652252111428044</v>
      </c>
      <c r="D332" s="694">
        <f t="shared" ref="D332:J332" si="90">D$326/D330*100</f>
        <v>16.634245612855551</v>
      </c>
      <c r="E332" s="694">
        <f t="shared" si="90"/>
        <v>15.577024852964092</v>
      </c>
      <c r="F332" s="694">
        <f t="shared" si="90"/>
        <v>17.36460283207564</v>
      </c>
      <c r="G332" s="694">
        <f t="shared" si="90"/>
        <v>13.66376493144087</v>
      </c>
      <c r="H332" s="694">
        <f t="shared" si="90"/>
        <v>22.743477857591692</v>
      </c>
      <c r="I332" s="694">
        <f t="shared" si="90"/>
        <v>25.101934427641552</v>
      </c>
      <c r="J332" s="694">
        <f t="shared" si="90"/>
        <v>25.947123529610046</v>
      </c>
      <c r="K332" s="694">
        <f>K$326/K330*100</f>
        <v>27.747932665564338</v>
      </c>
      <c r="L332" s="694">
        <f t="shared" ref="L332:R332" si="91">L$326/L330*100</f>
        <v>32.146918213707238</v>
      </c>
      <c r="M332" s="694">
        <f t="shared" si="91"/>
        <v>33.855799371266897</v>
      </c>
      <c r="N332" s="694">
        <f t="shared" si="91"/>
        <v>33.130795545442005</v>
      </c>
      <c r="O332" s="694">
        <f t="shared" si="91"/>
        <v>32.564514363112536</v>
      </c>
      <c r="P332" s="694">
        <f t="shared" si="91"/>
        <v>30.499788343908289</v>
      </c>
      <c r="Q332" s="694">
        <f t="shared" si="91"/>
        <v>32.378645240207177</v>
      </c>
      <c r="R332" s="694">
        <f t="shared" si="91"/>
        <v>33.099458899519732</v>
      </c>
      <c r="S332" s="322"/>
      <c r="U332" s="61"/>
      <c r="V332" s="98"/>
    </row>
    <row r="333" spans="2:22" s="251" customFormat="1" ht="12.75">
      <c r="B333" s="252"/>
      <c r="C333" s="252"/>
      <c r="D333" s="252"/>
      <c r="E333" s="252"/>
      <c r="F333" s="252"/>
      <c r="G333" s="252"/>
      <c r="H333" s="253"/>
      <c r="I333" s="253"/>
      <c r="J333" s="253"/>
      <c r="K333" s="253"/>
      <c r="L333" s="253"/>
      <c r="M333" s="253"/>
      <c r="N333" s="253"/>
      <c r="O333" s="253"/>
      <c r="P333" s="253"/>
      <c r="Q333" s="253"/>
      <c r="R333" s="253"/>
      <c r="S333" s="322"/>
      <c r="U333" s="62"/>
      <c r="V333" s="205"/>
    </row>
    <row r="334" spans="2:22" s="251" customFormat="1" ht="12.75">
      <c r="B334" s="252"/>
      <c r="C334" s="252"/>
      <c r="D334" s="252"/>
      <c r="E334" s="252"/>
      <c r="F334" s="252"/>
      <c r="G334" s="252"/>
      <c r="H334" s="253"/>
      <c r="I334" s="253"/>
      <c r="J334" s="253"/>
      <c r="K334" s="253"/>
      <c r="L334" s="253"/>
      <c r="M334" s="253"/>
      <c r="N334" s="253"/>
      <c r="O334" s="253"/>
      <c r="P334" s="253"/>
      <c r="Q334" s="253"/>
      <c r="R334" s="253"/>
      <c r="S334" s="322"/>
      <c r="U334" s="62"/>
      <c r="V334" s="205"/>
    </row>
    <row r="335" spans="2:22" s="251" customFormat="1" ht="47.25">
      <c r="B335" s="315" t="s">
        <v>619</v>
      </c>
      <c r="C335" s="124"/>
      <c r="D335" s="124"/>
      <c r="E335" s="124"/>
      <c r="F335" s="124"/>
      <c r="G335" s="124"/>
      <c r="H335" s="110"/>
      <c r="I335" s="110"/>
      <c r="J335" s="110"/>
      <c r="K335" s="110"/>
      <c r="L335" s="110"/>
      <c r="M335" s="110"/>
      <c r="N335" s="110"/>
      <c r="O335" s="110"/>
      <c r="P335" s="110"/>
      <c r="Q335" s="110"/>
      <c r="R335" s="110"/>
      <c r="S335" s="192"/>
      <c r="U335" s="62"/>
      <c r="V335" s="205"/>
    </row>
    <row r="336" spans="2:22" s="251" customFormat="1" ht="12.75">
      <c r="B336" s="252"/>
      <c r="C336" s="252"/>
      <c r="D336" s="252"/>
      <c r="E336" s="252"/>
      <c r="F336" s="252"/>
      <c r="G336" s="252"/>
      <c r="H336" s="253"/>
      <c r="I336" s="253"/>
      <c r="J336" s="253"/>
      <c r="K336" s="253"/>
      <c r="L336" s="253"/>
      <c r="M336" s="253"/>
      <c r="N336" s="253"/>
      <c r="O336" s="253"/>
      <c r="P336" s="253"/>
      <c r="Q336" s="253"/>
      <c r="R336" s="253"/>
      <c r="S336" s="192"/>
      <c r="U336" s="62"/>
      <c r="V336" s="205"/>
    </row>
    <row r="337" spans="1:22" s="251" customFormat="1">
      <c r="B337" s="662"/>
      <c r="C337" s="663">
        <v>2005</v>
      </c>
      <c r="D337" s="664">
        <v>2006</v>
      </c>
      <c r="E337" s="664">
        <v>2007</v>
      </c>
      <c r="F337" s="664">
        <v>2008</v>
      </c>
      <c r="G337" s="664">
        <v>2009</v>
      </c>
      <c r="H337" s="664">
        <v>2010</v>
      </c>
      <c r="I337" s="665">
        <v>2011</v>
      </c>
      <c r="J337" s="665">
        <v>2012</v>
      </c>
      <c r="K337" s="665">
        <v>2013</v>
      </c>
      <c r="L337" s="665">
        <v>2014</v>
      </c>
      <c r="M337" s="665">
        <v>2015</v>
      </c>
      <c r="N337" s="665">
        <v>2016</v>
      </c>
      <c r="O337" s="665">
        <v>2017</v>
      </c>
      <c r="P337" s="665">
        <v>2018</v>
      </c>
      <c r="Q337" s="665">
        <v>2019</v>
      </c>
      <c r="R337" s="665">
        <v>2020</v>
      </c>
      <c r="S337" s="662" t="s">
        <v>744</v>
      </c>
      <c r="U337" s="62"/>
      <c r="V337" s="205"/>
    </row>
    <row r="338" spans="1:22" s="251" customFormat="1" ht="12.75">
      <c r="B338" s="124" t="s">
        <v>444</v>
      </c>
      <c r="C338" s="693">
        <f>C321/C$327*100</f>
        <v>0.16038869360726821</v>
      </c>
      <c r="D338" s="693">
        <f t="shared" ref="D338:R338" si="92">D321/D$327*100</f>
        <v>0.17038485422344021</v>
      </c>
      <c r="E338" s="693">
        <f t="shared" si="92"/>
        <v>0.18273777452892756</v>
      </c>
      <c r="F338" s="693">
        <f t="shared" si="92"/>
        <v>0.15938986073083652</v>
      </c>
      <c r="G338" s="693">
        <f t="shared" si="92"/>
        <v>0.15208834107486019</v>
      </c>
      <c r="H338" s="693">
        <f t="shared" si="92"/>
        <v>0.13516150514267389</v>
      </c>
      <c r="I338" s="693">
        <f t="shared" si="92"/>
        <v>0.16720502336097634</v>
      </c>
      <c r="J338" s="693">
        <f t="shared" si="92"/>
        <v>0.16446934570261074</v>
      </c>
      <c r="K338" s="693">
        <f t="shared" si="92"/>
        <v>0.15642144208141132</v>
      </c>
      <c r="L338" s="693">
        <f t="shared" si="92"/>
        <v>0.14500281467069259</v>
      </c>
      <c r="M338" s="693">
        <f t="shared" si="92"/>
        <v>0.13613053221765695</v>
      </c>
      <c r="N338" s="693">
        <f t="shared" si="92"/>
        <v>0.13038104065956599</v>
      </c>
      <c r="O338" s="693">
        <f t="shared" si="92"/>
        <v>0.12600939774404454</v>
      </c>
      <c r="P338" s="693">
        <f t="shared" si="92"/>
        <v>0.12190552275508446</v>
      </c>
      <c r="Q338" s="693">
        <f t="shared" si="92"/>
        <v>0.11825137671963477</v>
      </c>
      <c r="R338" s="693">
        <f t="shared" si="92"/>
        <v>0.11570601198999671</v>
      </c>
      <c r="S338" s="192"/>
      <c r="U338" s="62"/>
      <c r="V338" s="205"/>
    </row>
    <row r="339" spans="1:22" s="251" customFormat="1" ht="12.75">
      <c r="B339" s="124" t="s">
        <v>445</v>
      </c>
      <c r="C339" s="693">
        <f t="shared" ref="C339:R342" si="93">C322/C$327*100</f>
        <v>0.70954984260328513</v>
      </c>
      <c r="D339" s="693">
        <f t="shared" si="93"/>
        <v>0.82219269609815726</v>
      </c>
      <c r="E339" s="693">
        <f t="shared" si="93"/>
        <v>0.89556371715336469</v>
      </c>
      <c r="F339" s="693">
        <f t="shared" si="93"/>
        <v>1.8158911869388061</v>
      </c>
      <c r="G339" s="693">
        <f t="shared" si="93"/>
        <v>1.4487704656164104</v>
      </c>
      <c r="H339" s="693">
        <f t="shared" si="93"/>
        <v>2.126124568463482</v>
      </c>
      <c r="I339" s="693">
        <f t="shared" si="93"/>
        <v>2.1541228764849953</v>
      </c>
      <c r="J339" s="693">
        <f t="shared" si="93"/>
        <v>2.0724658733885395</v>
      </c>
      <c r="K339" s="693">
        <f t="shared" si="93"/>
        <v>2.1339393857978659</v>
      </c>
      <c r="L339" s="693">
        <f t="shared" si="93"/>
        <v>3.2654190694279253</v>
      </c>
      <c r="M339" s="693">
        <f t="shared" si="93"/>
        <v>3.2059794030605575</v>
      </c>
      <c r="N339" s="693">
        <f t="shared" si="93"/>
        <v>2.8583831650049984</v>
      </c>
      <c r="O339" s="693">
        <f t="shared" si="93"/>
        <v>2.8000423613550316</v>
      </c>
      <c r="P339" s="693">
        <f t="shared" si="93"/>
        <v>2.4948463398431926</v>
      </c>
      <c r="Q339" s="693">
        <f t="shared" si="93"/>
        <v>2.5558929001089536</v>
      </c>
      <c r="R339" s="693">
        <f t="shared" si="93"/>
        <v>2.4344875904962473</v>
      </c>
      <c r="S339" s="192"/>
      <c r="U339" s="62"/>
      <c r="V339" s="205"/>
    </row>
    <row r="340" spans="1:22" s="251" customFormat="1" ht="12.75">
      <c r="B340" s="124" t="s">
        <v>441</v>
      </c>
      <c r="C340" s="693">
        <f t="shared" si="93"/>
        <v>2.7775792487764996</v>
      </c>
      <c r="D340" s="693">
        <f t="shared" si="93"/>
        <v>2.6299633205745456</v>
      </c>
      <c r="E340" s="693">
        <f t="shared" si="93"/>
        <v>2.4439390248771447</v>
      </c>
      <c r="F340" s="693">
        <f t="shared" si="93"/>
        <v>2.037445506444953</v>
      </c>
      <c r="G340" s="693">
        <f t="shared" si="93"/>
        <v>1.8412350781390856</v>
      </c>
      <c r="H340" s="693">
        <f t="shared" si="93"/>
        <v>3.2893539720324987</v>
      </c>
      <c r="I340" s="693">
        <f t="shared" si="93"/>
        <v>3.5015675966342772</v>
      </c>
      <c r="J340" s="693">
        <f t="shared" si="93"/>
        <v>3.7194416150939955</v>
      </c>
      <c r="K340" s="693">
        <f t="shared" si="93"/>
        <v>4.0213600061540404</v>
      </c>
      <c r="L340" s="693">
        <f t="shared" si="93"/>
        <v>3.9035801035124997</v>
      </c>
      <c r="M340" s="693">
        <f t="shared" si="93"/>
        <v>4.2834500439785907</v>
      </c>
      <c r="N340" s="693">
        <f t="shared" si="93"/>
        <v>4.4088830583512397</v>
      </c>
      <c r="O340" s="693">
        <f t="shared" si="93"/>
        <v>4.3126466112457207</v>
      </c>
      <c r="P340" s="693">
        <f t="shared" si="93"/>
        <v>4.0976204302405073</v>
      </c>
      <c r="Q340" s="693">
        <f t="shared" si="93"/>
        <v>4.47472824474929</v>
      </c>
      <c r="R340" s="693">
        <f t="shared" si="93"/>
        <v>4.7348774012785606</v>
      </c>
      <c r="S340" s="192"/>
      <c r="U340" s="62"/>
      <c r="V340" s="205"/>
    </row>
    <row r="341" spans="1:22" s="251" customFormat="1" ht="12.75">
      <c r="B341" s="124" t="s">
        <v>396</v>
      </c>
      <c r="C341" s="693">
        <f t="shared" si="93"/>
        <v>1.5542247280205748</v>
      </c>
      <c r="D341" s="693">
        <f t="shared" si="93"/>
        <v>1.6277260698203173</v>
      </c>
      <c r="E341" s="693">
        <f t="shared" si="93"/>
        <v>1.480532771533472</v>
      </c>
      <c r="F341" s="693">
        <f t="shared" si="93"/>
        <v>1.5220604419934733</v>
      </c>
      <c r="G341" s="693">
        <f t="shared" si="93"/>
        <v>1.5836450731649299</v>
      </c>
      <c r="H341" s="693">
        <f t="shared" si="93"/>
        <v>1.5105563129177997</v>
      </c>
      <c r="I341" s="693">
        <f t="shared" si="93"/>
        <v>1.3101261808038551</v>
      </c>
      <c r="J341" s="693">
        <f t="shared" si="93"/>
        <v>1.2138066413920787</v>
      </c>
      <c r="K341" s="693">
        <f t="shared" si="93"/>
        <v>1.1178350665505985</v>
      </c>
      <c r="L341" s="693">
        <f t="shared" si="93"/>
        <v>1.0489359168761263</v>
      </c>
      <c r="M341" s="693">
        <f t="shared" si="93"/>
        <v>0.9701930297015533</v>
      </c>
      <c r="N341" s="693">
        <f t="shared" si="93"/>
        <v>0.91777864002648757</v>
      </c>
      <c r="O341" s="693">
        <f t="shared" si="93"/>
        <v>0.85554633841956029</v>
      </c>
      <c r="P341" s="693">
        <f t="shared" si="93"/>
        <v>0.79356782895411082</v>
      </c>
      <c r="Q341" s="693">
        <f t="shared" si="93"/>
        <v>0.74311903250541977</v>
      </c>
      <c r="R341" s="693">
        <f t="shared" si="93"/>
        <v>0.70018805727381161</v>
      </c>
      <c r="S341" s="192"/>
      <c r="U341" s="62"/>
      <c r="V341" s="205"/>
    </row>
    <row r="342" spans="1:22" s="251" customFormat="1" ht="12.75">
      <c r="B342" s="230" t="s">
        <v>427</v>
      </c>
      <c r="C342" s="693">
        <f t="shared" si="93"/>
        <v>1.0886064691544411E-2</v>
      </c>
      <c r="D342" s="693">
        <f t="shared" si="93"/>
        <v>9.4031028600353311E-3</v>
      </c>
      <c r="E342" s="693">
        <f t="shared" si="93"/>
        <v>9.2649644993530629E-3</v>
      </c>
      <c r="F342" s="693">
        <f t="shared" si="93"/>
        <v>1.1219990415828855E-2</v>
      </c>
      <c r="G342" s="693">
        <f t="shared" si="93"/>
        <v>1.091836659108178E-2</v>
      </c>
      <c r="H342" s="693">
        <f t="shared" si="93"/>
        <v>9.8700347042361622E-3</v>
      </c>
      <c r="I342" s="693">
        <f t="shared" si="93"/>
        <v>1.0120670698369983E-2</v>
      </c>
      <c r="J342" s="693">
        <f t="shared" si="93"/>
        <v>1.0595930939340329E-2</v>
      </c>
      <c r="K342" s="693">
        <f t="shared" si="93"/>
        <v>9.988618464408525E-3</v>
      </c>
      <c r="L342" s="693">
        <f t="shared" si="93"/>
        <v>9.719184419555495E-3</v>
      </c>
      <c r="M342" s="693">
        <f t="shared" si="93"/>
        <v>9.4004980321764613E-3</v>
      </c>
      <c r="N342" s="693">
        <f t="shared" si="93"/>
        <v>9.5818188227964514E-3</v>
      </c>
      <c r="O342" s="693">
        <f t="shared" si="93"/>
        <v>9.6032968216498878E-3</v>
      </c>
      <c r="P342" s="693">
        <f t="shared" si="93"/>
        <v>8.9804046121600752E-3</v>
      </c>
      <c r="Q342" s="693">
        <f t="shared" si="93"/>
        <v>8.5919993999354852E-3</v>
      </c>
      <c r="R342" s="693">
        <f t="shared" si="93"/>
        <v>8.1675862699698391E-3</v>
      </c>
      <c r="S342" s="192"/>
      <c r="U342" s="62"/>
      <c r="V342" s="205"/>
    </row>
    <row r="343" spans="1:22" s="251" customFormat="1" ht="12.75">
      <c r="B343" s="249" t="s">
        <v>446</v>
      </c>
      <c r="C343" s="695">
        <f t="shared" ref="C343:R343" si="94">C342+C341+C340+C339+C338</f>
        <v>5.2126285776991717</v>
      </c>
      <c r="D343" s="695">
        <f t="shared" si="94"/>
        <v>5.2596700435764951</v>
      </c>
      <c r="E343" s="695">
        <f t="shared" si="94"/>
        <v>5.0120382525922613</v>
      </c>
      <c r="F343" s="695">
        <f t="shared" si="94"/>
        <v>5.5460069865238983</v>
      </c>
      <c r="G343" s="695">
        <f t="shared" si="94"/>
        <v>5.0366573245863675</v>
      </c>
      <c r="H343" s="695">
        <f t="shared" si="94"/>
        <v>7.0710663932606908</v>
      </c>
      <c r="I343" s="695">
        <f t="shared" si="94"/>
        <v>7.143142347982474</v>
      </c>
      <c r="J343" s="695">
        <f t="shared" si="94"/>
        <v>7.1807794065165647</v>
      </c>
      <c r="K343" s="695">
        <f t="shared" si="94"/>
        <v>7.439544519048324</v>
      </c>
      <c r="L343" s="695">
        <f t="shared" si="94"/>
        <v>8.3726570889068004</v>
      </c>
      <c r="M343" s="695">
        <f t="shared" si="94"/>
        <v>8.6051535069905345</v>
      </c>
      <c r="N343" s="695">
        <f t="shared" si="94"/>
        <v>8.3250077228650881</v>
      </c>
      <c r="O343" s="695">
        <f t="shared" si="94"/>
        <v>8.1038480055860074</v>
      </c>
      <c r="P343" s="695">
        <f t="shared" si="94"/>
        <v>7.5169205264050554</v>
      </c>
      <c r="Q343" s="695">
        <f t="shared" si="94"/>
        <v>7.9005835534832336</v>
      </c>
      <c r="R343" s="695">
        <f t="shared" si="94"/>
        <v>7.9934266473085867</v>
      </c>
      <c r="S343" s="407"/>
      <c r="U343" s="62"/>
      <c r="V343" s="205"/>
    </row>
    <row r="344" spans="1:22" s="251" customFormat="1" ht="12.75">
      <c r="B344" s="252"/>
      <c r="C344" s="252"/>
      <c r="D344" s="252"/>
      <c r="E344" s="252"/>
      <c r="F344" s="252"/>
      <c r="G344" s="252"/>
      <c r="H344" s="253"/>
      <c r="I344" s="253"/>
      <c r="J344" s="253"/>
      <c r="K344" s="253"/>
      <c r="L344" s="253"/>
      <c r="M344" s="253"/>
      <c r="N344" s="253"/>
      <c r="O344" s="253"/>
      <c r="P344" s="253"/>
      <c r="Q344" s="253"/>
      <c r="R344" s="253"/>
      <c r="S344" s="322"/>
      <c r="U344" s="62"/>
      <c r="V344" s="205"/>
    </row>
    <row r="345" spans="1:22" s="251" customFormat="1" ht="12.75">
      <c r="B345" s="252"/>
      <c r="C345" s="252"/>
      <c r="D345" s="252"/>
      <c r="E345" s="252"/>
      <c r="F345" s="252"/>
      <c r="G345" s="252"/>
      <c r="H345" s="253"/>
      <c r="I345" s="253"/>
      <c r="J345" s="253"/>
      <c r="K345" s="253"/>
      <c r="L345" s="253"/>
      <c r="M345" s="253"/>
      <c r="N345" s="253"/>
      <c r="O345" s="253"/>
      <c r="P345" s="253"/>
      <c r="Q345" s="253"/>
      <c r="R345" s="253"/>
      <c r="S345" s="322"/>
      <c r="U345" s="62"/>
      <c r="V345" s="205"/>
    </row>
    <row r="346" spans="1:22" s="100" customFormat="1" ht="56.25" customHeight="1">
      <c r="A346" s="714" t="s">
        <v>670</v>
      </c>
      <c r="B346" s="318" t="s">
        <v>621</v>
      </c>
      <c r="C346" s="127"/>
      <c r="D346" s="127"/>
      <c r="E346" s="127"/>
      <c r="F346" s="127"/>
      <c r="G346" s="127"/>
      <c r="H346" s="128"/>
      <c r="I346" s="128"/>
      <c r="J346" s="128"/>
      <c r="K346" s="128"/>
      <c r="L346" s="128"/>
      <c r="M346" s="128"/>
      <c r="N346" s="128"/>
      <c r="O346" s="128"/>
      <c r="P346" s="128"/>
      <c r="Q346" s="128"/>
      <c r="R346" s="128"/>
      <c r="S346" s="192"/>
      <c r="U346" s="61"/>
      <c r="V346" s="98"/>
    </row>
    <row r="347" spans="1:22" s="100" customFormat="1" ht="12.75">
      <c r="B347" s="656" t="str">
        <f>'Social Budget'!B11</f>
        <v>Non-State budget</v>
      </c>
      <c r="C347" s="656"/>
      <c r="D347" s="656"/>
      <c r="E347" s="656"/>
      <c r="F347" s="656"/>
      <c r="G347" s="656"/>
      <c r="H347" s="657">
        <f>'Social Budget'!D11</f>
        <v>17933170.12888984</v>
      </c>
      <c r="I347" s="657">
        <f t="shared" ref="I347:R347" si="95">I261-I262</f>
        <v>95892615.194117308</v>
      </c>
      <c r="J347" s="657">
        <f t="shared" si="95"/>
        <v>124039967.98662023</v>
      </c>
      <c r="K347" s="657">
        <f t="shared" si="95"/>
        <v>155302162.99579215</v>
      </c>
      <c r="L347" s="657">
        <f t="shared" si="95"/>
        <v>177666574.24558276</v>
      </c>
      <c r="M347" s="657">
        <f t="shared" si="95"/>
        <v>223795020.39094317</v>
      </c>
      <c r="N347" s="657">
        <f t="shared" si="95"/>
        <v>278392077.82594413</v>
      </c>
      <c r="O347" s="657">
        <f t="shared" si="95"/>
        <v>333381640.59684402</v>
      </c>
      <c r="P347" s="657">
        <f t="shared" si="95"/>
        <v>407786123.94398892</v>
      </c>
      <c r="Q347" s="657">
        <f t="shared" si="95"/>
        <v>478966923.68068707</v>
      </c>
      <c r="R347" s="657">
        <f t="shared" si="95"/>
        <v>446276844.11829084</v>
      </c>
      <c r="S347" s="192"/>
      <c r="V347" s="98">
        <f t="shared" ref="V347:V393" si="96">SUM(I347:M347)</f>
        <v>776696340.81305563</v>
      </c>
    </row>
    <row r="348" spans="1:22" s="61" customFormat="1" ht="12.75">
      <c r="B348" s="101" t="str">
        <f>'Social Budget'!B12</f>
        <v>BREAK-DOWN OF TOTAL BUDGET FOR SOCIAL SECURITY</v>
      </c>
      <c r="C348" s="101"/>
      <c r="D348" s="101"/>
      <c r="E348" s="101"/>
      <c r="F348" s="101"/>
      <c r="G348" s="101"/>
      <c r="H348" s="102">
        <f>'Social Budget'!D12</f>
        <v>0</v>
      </c>
      <c r="I348" s="102">
        <f>'Social Budget'!$F12</f>
        <v>0</v>
      </c>
      <c r="J348" s="102">
        <f>'Social Budget'!$F12</f>
        <v>0</v>
      </c>
      <c r="K348" s="102">
        <f>'Social Budget'!$F12</f>
        <v>0</v>
      </c>
      <c r="L348" s="102">
        <f>'Social Budget'!$F12</f>
        <v>0</v>
      </c>
      <c r="M348" s="102">
        <f>'Social Budget'!$F12</f>
        <v>0</v>
      </c>
      <c r="N348" s="102">
        <f>'Social Budget'!$H12</f>
        <v>0</v>
      </c>
      <c r="O348" s="102">
        <f>'Social Budget'!$H12</f>
        <v>0</v>
      </c>
      <c r="P348" s="102">
        <f>'Social Budget'!$H12</f>
        <v>0</v>
      </c>
      <c r="Q348" s="102">
        <f>'Social Budget'!$H12</f>
        <v>0</v>
      </c>
      <c r="R348" s="103">
        <f>'Social Budget'!$H12</f>
        <v>0</v>
      </c>
      <c r="S348" s="402" t="s">
        <v>549</v>
      </c>
      <c r="V348" s="98">
        <f t="shared" si="96"/>
        <v>0</v>
      </c>
    </row>
    <row r="349" spans="1:22" s="61" customFormat="1" ht="12.75">
      <c r="B349" s="101" t="str">
        <f>'Social Budget'!B13</f>
        <v>Labour market development</v>
      </c>
      <c r="C349" s="101"/>
      <c r="D349" s="101"/>
      <c r="E349" s="101"/>
      <c r="F349" s="101"/>
      <c r="G349" s="101"/>
      <c r="H349" s="102">
        <f>'Social Budget'!D13</f>
        <v>1183790</v>
      </c>
      <c r="I349" s="102">
        <f>'Social Budget'!$F13</f>
        <v>3741291.0174364769</v>
      </c>
      <c r="J349" s="102">
        <f>'Social Budget'!$F13</f>
        <v>3741291.0174364769</v>
      </c>
      <c r="K349" s="102">
        <f>'Social Budget'!$F13</f>
        <v>3741291.0174364769</v>
      </c>
      <c r="L349" s="102">
        <f>'Social Budget'!$F13</f>
        <v>3741291.0174364769</v>
      </c>
      <c r="M349" s="102">
        <f>'Social Budget'!$F13</f>
        <v>3741291.0174364769</v>
      </c>
      <c r="N349" s="102">
        <f>'Social Budget'!$H13</f>
        <v>6204304.688280426</v>
      </c>
      <c r="O349" s="102">
        <f>'Social Budget'!$H13</f>
        <v>6204304.688280426</v>
      </c>
      <c r="P349" s="102">
        <f>'Social Budget'!$H13</f>
        <v>6204304.688280426</v>
      </c>
      <c r="Q349" s="102">
        <f>'Social Budget'!$H13</f>
        <v>6204304.688280426</v>
      </c>
      <c r="R349" s="103">
        <f>'Social Budget'!$H13</f>
        <v>6204304.688280426</v>
      </c>
      <c r="S349" s="74"/>
      <c r="V349" s="98">
        <f t="shared" si="96"/>
        <v>18706455.087182384</v>
      </c>
    </row>
    <row r="350" spans="1:22" s="61" customFormat="1" ht="12.75" hidden="1">
      <c r="B350" s="101" t="str">
        <f>'Social Budget'!B14</f>
        <v>Vocational training projects</v>
      </c>
      <c r="C350" s="101"/>
      <c r="D350" s="101"/>
      <c r="E350" s="101"/>
      <c r="F350" s="101"/>
      <c r="G350" s="101"/>
      <c r="H350" s="102">
        <f>'Social Budget'!D14</f>
        <v>388500</v>
      </c>
      <c r="I350" s="102">
        <f>'Social Budget'!$F14</f>
        <v>1947764.7058823532</v>
      </c>
      <c r="J350" s="102">
        <f>'Social Budget'!$F14</f>
        <v>1947764.7058823532</v>
      </c>
      <c r="K350" s="102">
        <f>'Social Budget'!$F14</f>
        <v>1947764.7058823532</v>
      </c>
      <c r="L350" s="102">
        <f>'Social Budget'!$F14</f>
        <v>1947764.7058823532</v>
      </c>
      <c r="M350" s="102">
        <f>'Social Budget'!$F14</f>
        <v>1947764.7058823532</v>
      </c>
      <c r="N350" s="102">
        <f>'Social Budget'!$H14</f>
        <v>2921552.9411764704</v>
      </c>
      <c r="O350" s="102">
        <f>'Social Budget'!$H14</f>
        <v>2921552.9411764704</v>
      </c>
      <c r="P350" s="102">
        <f>'Social Budget'!$H14</f>
        <v>2921552.9411764704</v>
      </c>
      <c r="Q350" s="102">
        <f>'Social Budget'!$H14</f>
        <v>2921552.9411764704</v>
      </c>
      <c r="R350" s="103">
        <f>'Social Budget'!$H14</f>
        <v>2921552.9411764704</v>
      </c>
      <c r="S350" s="74"/>
      <c r="V350" s="98">
        <f t="shared" si="96"/>
        <v>9738823.5294117667</v>
      </c>
    </row>
    <row r="351" spans="1:22" s="107" customFormat="1" ht="25.5" hidden="1">
      <c r="B351" s="319" t="str">
        <f>'Social Budget'!B15</f>
        <v>Of which, budget for vocational training under Master Plan on vocational training in rural areas</v>
      </c>
      <c r="C351" s="104"/>
      <c r="D351" s="104"/>
      <c r="E351" s="104"/>
      <c r="F351" s="104"/>
      <c r="G351" s="104"/>
      <c r="H351" s="105">
        <f>'Social Budget'!D15</f>
        <v>280700</v>
      </c>
      <c r="I351" s="105">
        <f>'Social Budget'!$F15</f>
        <v>1485600</v>
      </c>
      <c r="J351" s="105">
        <f>'Social Budget'!$F15</f>
        <v>1485600</v>
      </c>
      <c r="K351" s="105">
        <f>'Social Budget'!$F15</f>
        <v>1485600</v>
      </c>
      <c r="L351" s="105">
        <f>'Social Budget'!$F15</f>
        <v>1485600</v>
      </c>
      <c r="M351" s="105">
        <f>'Social Budget'!$F15</f>
        <v>1485600</v>
      </c>
      <c r="N351" s="105">
        <f>'Social Budget'!$H15</f>
        <v>2483320</v>
      </c>
      <c r="O351" s="105">
        <f>'Social Budget'!$H15</f>
        <v>2483320</v>
      </c>
      <c r="P351" s="105">
        <f>'Social Budget'!$H15</f>
        <v>2483320</v>
      </c>
      <c r="Q351" s="105">
        <f>'Social Budget'!$H15</f>
        <v>2483320</v>
      </c>
      <c r="R351" s="106">
        <f>'Social Budget'!$H15</f>
        <v>2483320</v>
      </c>
      <c r="S351" s="73"/>
      <c r="V351" s="98">
        <f t="shared" si="96"/>
        <v>7428000</v>
      </c>
    </row>
    <row r="352" spans="1:22" s="107" customFormat="1" ht="27" hidden="1" customHeight="1">
      <c r="B352" s="319" t="str">
        <f>'Social Budget'!B16</f>
        <v>Including:</v>
      </c>
      <c r="C352" s="104"/>
      <c r="D352" s="104"/>
      <c r="E352" s="104"/>
      <c r="F352" s="104"/>
      <c r="G352" s="104"/>
      <c r="H352" s="105">
        <f>'Social Budget'!D16</f>
        <v>0</v>
      </c>
      <c r="I352" s="105">
        <f>'Social Budget'!$F16</f>
        <v>0</v>
      </c>
      <c r="J352" s="105">
        <f>'Social Budget'!$F16</f>
        <v>0</v>
      </c>
      <c r="K352" s="105">
        <f>'Social Budget'!$F16</f>
        <v>0</v>
      </c>
      <c r="L352" s="105">
        <f>'Social Budget'!$F16</f>
        <v>0</v>
      </c>
      <c r="M352" s="105">
        <f>'Social Budget'!$F16</f>
        <v>0</v>
      </c>
      <c r="N352" s="105">
        <f>'Social Budget'!$H16</f>
        <v>0</v>
      </c>
      <c r="O352" s="105">
        <f>'Social Budget'!$H16</f>
        <v>0</v>
      </c>
      <c r="P352" s="105">
        <f>'Social Budget'!$H16</f>
        <v>0</v>
      </c>
      <c r="Q352" s="105">
        <f>'Social Budget'!$H16</f>
        <v>0</v>
      </c>
      <c r="R352" s="106">
        <f>'Social Budget'!$H16</f>
        <v>0</v>
      </c>
      <c r="S352" s="73"/>
      <c r="V352" s="98">
        <f t="shared" si="96"/>
        <v>0</v>
      </c>
    </row>
    <row r="353" spans="2:22" s="107" customFormat="1" ht="25.9" hidden="1" customHeight="1">
      <c r="B353" s="319" t="str">
        <f>'Social Budget'!B17</f>
        <v>Vocational and professional training for labour force in rural areas, ethnic minority areas and mountaneous areas</v>
      </c>
      <c r="C353" s="104"/>
      <c r="D353" s="104"/>
      <c r="E353" s="104"/>
      <c r="F353" s="104"/>
      <c r="G353" s="104"/>
      <c r="H353" s="105">
        <f>'Social Budget'!D17</f>
        <v>0</v>
      </c>
      <c r="I353" s="105">
        <f>'Social Budget'!$F17</f>
        <v>733760</v>
      </c>
      <c r="J353" s="105">
        <f>'Social Budget'!$F17</f>
        <v>733760</v>
      </c>
      <c r="K353" s="105">
        <f>'Social Budget'!$F17</f>
        <v>733760</v>
      </c>
      <c r="L353" s="105">
        <f>'Social Budget'!$F17</f>
        <v>733760</v>
      </c>
      <c r="M353" s="105">
        <f>'Social Budget'!$F17</f>
        <v>733760</v>
      </c>
      <c r="N353" s="105">
        <f>'Social Budget'!$H17</f>
        <v>1244460</v>
      </c>
      <c r="O353" s="105">
        <f>'Social Budget'!$H17</f>
        <v>1244460</v>
      </c>
      <c r="P353" s="105">
        <f>'Social Budget'!$H17</f>
        <v>1244460</v>
      </c>
      <c r="Q353" s="105">
        <f>'Social Budget'!$H17</f>
        <v>1244460</v>
      </c>
      <c r="R353" s="106">
        <f>'Social Budget'!$H17</f>
        <v>1244460</v>
      </c>
      <c r="S353" s="73"/>
      <c r="V353" s="98">
        <f t="shared" si="96"/>
        <v>3668800</v>
      </c>
    </row>
    <row r="354" spans="2:22" s="107" customFormat="1" ht="12.75" hidden="1">
      <c r="B354" s="319" t="str">
        <f>'Social Budget'!B18</f>
        <v>Support for workers to change job</v>
      </c>
      <c r="C354" s="108"/>
      <c r="D354" s="108"/>
      <c r="E354" s="108"/>
      <c r="F354" s="108"/>
      <c r="G354" s="108"/>
      <c r="H354" s="105">
        <f>'Social Budget'!D18</f>
        <v>0</v>
      </c>
      <c r="I354" s="105">
        <f>'Social Budget'!$F18</f>
        <v>231000</v>
      </c>
      <c r="J354" s="105">
        <f>'Social Budget'!$F18</f>
        <v>231000</v>
      </c>
      <c r="K354" s="105">
        <f>'Social Budget'!$F18</f>
        <v>231000</v>
      </c>
      <c r="L354" s="105">
        <f>'Social Budget'!$F18</f>
        <v>231000</v>
      </c>
      <c r="M354" s="105">
        <f>'Social Budget'!$F18</f>
        <v>231000</v>
      </c>
      <c r="N354" s="105">
        <f>'Social Budget'!$H18</f>
        <v>414000</v>
      </c>
      <c r="O354" s="105">
        <f>'Social Budget'!$H18</f>
        <v>414000</v>
      </c>
      <c r="P354" s="105">
        <f>'Social Budget'!$H18</f>
        <v>414000</v>
      </c>
      <c r="Q354" s="105">
        <f>'Social Budget'!$H18</f>
        <v>414000</v>
      </c>
      <c r="R354" s="106">
        <f>'Social Budget'!$H18</f>
        <v>414000</v>
      </c>
      <c r="S354" s="73"/>
      <c r="V354" s="98">
        <f t="shared" si="96"/>
        <v>1155000</v>
      </c>
    </row>
    <row r="355" spans="2:22" s="107" customFormat="1" ht="12.75" hidden="1">
      <c r="B355" s="319" t="str">
        <f>'Social Budget'!B19</f>
        <v>Support for poor districts in labour export</v>
      </c>
      <c r="C355" s="104"/>
      <c r="D355" s="104"/>
      <c r="E355" s="104"/>
      <c r="F355" s="104"/>
      <c r="G355" s="104"/>
      <c r="H355" s="105">
        <f>'Social Budget'!D19</f>
        <v>0</v>
      </c>
      <c r="I355" s="105">
        <f>'Social Budget'!$F19</f>
        <v>201035.45454545651</v>
      </c>
      <c r="J355" s="105">
        <f>'Social Budget'!$F19</f>
        <v>201035.45454545651</v>
      </c>
      <c r="K355" s="105">
        <f>'Social Budget'!$F19</f>
        <v>201035.45454545651</v>
      </c>
      <c r="L355" s="105">
        <f>'Social Budget'!$F19</f>
        <v>201035.45454545651</v>
      </c>
      <c r="M355" s="105">
        <f>'Social Budget'!$F19</f>
        <v>201035.45454545651</v>
      </c>
      <c r="N355" s="105">
        <f>'Social Budget'!$H19</f>
        <v>446756.81818180071</v>
      </c>
      <c r="O355" s="105">
        <f>'Social Budget'!$H19</f>
        <v>446756.81818180071</v>
      </c>
      <c r="P355" s="105">
        <f>'Social Budget'!$H19</f>
        <v>446756.81818180071</v>
      </c>
      <c r="Q355" s="105">
        <f>'Social Budget'!$H19</f>
        <v>446756.81818180071</v>
      </c>
      <c r="R355" s="106">
        <f>'Social Budget'!$H19</f>
        <v>446756.81818180071</v>
      </c>
      <c r="S355" s="73"/>
      <c r="V355" s="98">
        <f t="shared" si="96"/>
        <v>1005177.2727272825</v>
      </c>
    </row>
    <row r="356" spans="2:22" s="107" customFormat="1" ht="12" hidden="1" customHeight="1">
      <c r="B356" s="319" t="str">
        <f>'Social Budget'!B20</f>
        <v>National Targeted Program on Employment</v>
      </c>
      <c r="C356" s="104"/>
      <c r="D356" s="104"/>
      <c r="E356" s="104"/>
      <c r="F356" s="104"/>
      <c r="G356" s="104"/>
      <c r="H356" s="105">
        <f>'Social Budget'!D20</f>
        <v>180165.00000000003</v>
      </c>
      <c r="I356" s="105">
        <f>'Social Budget'!$F20</f>
        <v>396800.07389400009</v>
      </c>
      <c r="J356" s="105">
        <f>'Social Budget'!$F20</f>
        <v>396800.07389400009</v>
      </c>
      <c r="K356" s="105">
        <f>'Social Budget'!$F20</f>
        <v>396800.07389400009</v>
      </c>
      <c r="L356" s="105">
        <f>'Social Budget'!$F20</f>
        <v>396800.07389400009</v>
      </c>
      <c r="M356" s="105">
        <f>'Social Budget'!$F20</f>
        <v>396800.07389400009</v>
      </c>
      <c r="N356" s="105">
        <f>'Social Budget'!$H20</f>
        <v>602217.52964293887</v>
      </c>
      <c r="O356" s="105">
        <f>'Social Budget'!$H20</f>
        <v>602217.52964293887</v>
      </c>
      <c r="P356" s="105">
        <f>'Social Budget'!$H20</f>
        <v>602217.52964293887</v>
      </c>
      <c r="Q356" s="105">
        <f>'Social Budget'!$H20</f>
        <v>602217.52964293887</v>
      </c>
      <c r="R356" s="106">
        <f>'Social Budget'!$H20</f>
        <v>602217.52964293887</v>
      </c>
      <c r="S356" s="73"/>
      <c r="V356" s="98">
        <f t="shared" si="96"/>
        <v>1984000.3694700005</v>
      </c>
    </row>
    <row r="357" spans="2:22" s="107" customFormat="1" ht="12.75" hidden="1">
      <c r="B357" s="319" t="str">
        <f>'Social Budget'!B21</f>
        <v>Of which, National Targeted Program on Employment in rural areas</v>
      </c>
      <c r="C357" s="108"/>
      <c r="D357" s="108"/>
      <c r="E357" s="108"/>
      <c r="F357" s="108"/>
      <c r="G357" s="108"/>
      <c r="H357" s="105">
        <f>'Social Budget'!D21</f>
        <v>0</v>
      </c>
      <c r="I357" s="105">
        <f>'Social Budget'!$F21</f>
        <v>1485600</v>
      </c>
      <c r="J357" s="105">
        <f>'Social Budget'!$F21</f>
        <v>1485600</v>
      </c>
      <c r="K357" s="105">
        <f>'Social Budget'!$F21</f>
        <v>1485600</v>
      </c>
      <c r="L357" s="105">
        <f>'Social Budget'!$F21</f>
        <v>1485600</v>
      </c>
      <c r="M357" s="105">
        <f>'Social Budget'!$F21</f>
        <v>1485600</v>
      </c>
      <c r="N357" s="105">
        <f>'Social Budget'!$H21</f>
        <v>2483320</v>
      </c>
      <c r="O357" s="105">
        <f>'Social Budget'!$H21</f>
        <v>2483320</v>
      </c>
      <c r="P357" s="105">
        <f>'Social Budget'!$H21</f>
        <v>2483320</v>
      </c>
      <c r="Q357" s="105">
        <f>'Social Budget'!$H21</f>
        <v>2483320</v>
      </c>
      <c r="R357" s="106">
        <f>'Social Budget'!$H21</f>
        <v>2483320</v>
      </c>
      <c r="S357" s="73"/>
      <c r="V357" s="98">
        <f t="shared" si="96"/>
        <v>7428000</v>
      </c>
    </row>
    <row r="358" spans="2:22" s="107" customFormat="1" ht="12.75" hidden="1">
      <c r="B358" s="319" t="str">
        <f>'Social Budget'!B22</f>
        <v>Agriculture, forestry and aquaculture extension programs</v>
      </c>
      <c r="C358" s="104"/>
      <c r="D358" s="104"/>
      <c r="E358" s="104"/>
      <c r="F358" s="104"/>
      <c r="G358" s="104"/>
      <c r="H358" s="105">
        <f>'Social Budget'!D22</f>
        <v>102500</v>
      </c>
      <c r="I358" s="105">
        <f>'Social Budget'!$F22</f>
        <v>148683.5</v>
      </c>
      <c r="J358" s="105">
        <f>'Social Budget'!$F22</f>
        <v>148683.5</v>
      </c>
      <c r="K358" s="105">
        <f>'Social Budget'!$F22</f>
        <v>148683.5</v>
      </c>
      <c r="L358" s="105">
        <f>'Social Budget'!$F22</f>
        <v>148683.5</v>
      </c>
      <c r="M358" s="105">
        <f>'Social Budget'!$F22</f>
        <v>148683.5</v>
      </c>
      <c r="N358" s="105">
        <f>'Social Budget'!$H22</f>
        <v>188060.30094796876</v>
      </c>
      <c r="O358" s="105">
        <f>'Social Budget'!$H22</f>
        <v>188060.30094796876</v>
      </c>
      <c r="P358" s="105">
        <f>'Social Budget'!$H22</f>
        <v>188060.30094796876</v>
      </c>
      <c r="Q358" s="105">
        <f>'Social Budget'!$H22</f>
        <v>188060.30094796876</v>
      </c>
      <c r="R358" s="106">
        <f>'Social Budget'!$H22</f>
        <v>188060.30094796876</v>
      </c>
      <c r="S358" s="73"/>
      <c r="V358" s="98">
        <f t="shared" si="96"/>
        <v>743417.5</v>
      </c>
    </row>
    <row r="359" spans="2:22" s="107" customFormat="1" ht="12.75" hidden="1">
      <c r="B359" s="319" t="str">
        <f>'Social Budget'!B23</f>
        <v>Compensation for interest gap of Bank for Social Policies</v>
      </c>
      <c r="C359" s="104"/>
      <c r="D359" s="104"/>
      <c r="E359" s="104"/>
      <c r="F359" s="104"/>
      <c r="G359" s="104"/>
      <c r="H359" s="105">
        <f>'Social Budget'!D23</f>
        <v>512625</v>
      </c>
      <c r="I359" s="105">
        <f>'Social Budget'!$F23</f>
        <v>1248042.7376601237</v>
      </c>
      <c r="J359" s="105">
        <f>'Social Budget'!$F23</f>
        <v>1248042.7376601237</v>
      </c>
      <c r="K359" s="105">
        <f>'Social Budget'!$F23</f>
        <v>1248042.7376601237</v>
      </c>
      <c r="L359" s="105">
        <f>'Social Budget'!$F23</f>
        <v>1248042.7376601237</v>
      </c>
      <c r="M359" s="105">
        <f>'Social Budget'!$F23</f>
        <v>1248042.7376601237</v>
      </c>
      <c r="N359" s="105">
        <f>'Social Budget'!$H23</f>
        <v>2492473.9165130476</v>
      </c>
      <c r="O359" s="105">
        <f>'Social Budget'!$H23</f>
        <v>2492473.9165130476</v>
      </c>
      <c r="P359" s="105">
        <f>'Social Budget'!$H23</f>
        <v>2492473.9165130476</v>
      </c>
      <c r="Q359" s="105">
        <f>'Social Budget'!$H23</f>
        <v>2492473.9165130476</v>
      </c>
      <c r="R359" s="106">
        <f>'Social Budget'!$H23</f>
        <v>2492473.9165130476</v>
      </c>
      <c r="S359" s="73"/>
      <c r="V359" s="98">
        <f t="shared" si="96"/>
        <v>6240213.6883006189</v>
      </c>
    </row>
    <row r="360" spans="2:22" s="107" customFormat="1" ht="12.75" hidden="1">
      <c r="B360" s="319" t="str">
        <f>'Social Budget'!B24</f>
        <v>Of which:</v>
      </c>
      <c r="C360" s="108"/>
      <c r="D360" s="108"/>
      <c r="E360" s="108"/>
      <c r="F360" s="108"/>
      <c r="G360" s="108"/>
      <c r="H360" s="105">
        <f>'Social Budget'!D24</f>
        <v>0</v>
      </c>
      <c r="I360" s="105">
        <f>'Social Budget'!$F24</f>
        <v>0</v>
      </c>
      <c r="J360" s="105">
        <f>'Social Budget'!$F24</f>
        <v>0</v>
      </c>
      <c r="K360" s="105">
        <f>'Social Budget'!$F24</f>
        <v>0</v>
      </c>
      <c r="L360" s="105">
        <f>'Social Budget'!$F24</f>
        <v>0</v>
      </c>
      <c r="M360" s="105">
        <f>'Social Budget'!$F24</f>
        <v>0</v>
      </c>
      <c r="N360" s="105">
        <f>'Social Budget'!$H24</f>
        <v>0</v>
      </c>
      <c r="O360" s="105">
        <f>'Social Budget'!$H24</f>
        <v>0</v>
      </c>
      <c r="P360" s="105">
        <f>'Social Budget'!$H24</f>
        <v>0</v>
      </c>
      <c r="Q360" s="105">
        <f>'Social Budget'!$H24</f>
        <v>0</v>
      </c>
      <c r="R360" s="106">
        <f>'Social Budget'!$H24</f>
        <v>0</v>
      </c>
      <c r="S360" s="73"/>
      <c r="V360" s="98">
        <f t="shared" si="96"/>
        <v>0</v>
      </c>
    </row>
    <row r="361" spans="2:22" s="109" customFormat="1" ht="25.5" hidden="1">
      <c r="B361" s="319" t="str">
        <f>'Social Budget'!B25</f>
        <v>Compensation for interest gap of credits for rural households to develop production and business</v>
      </c>
      <c r="C361" s="104"/>
      <c r="D361" s="104"/>
      <c r="E361" s="104"/>
      <c r="F361" s="104"/>
      <c r="G361" s="104"/>
      <c r="H361" s="105">
        <f>'Social Budget'!D25</f>
        <v>0</v>
      </c>
      <c r="I361" s="105">
        <f>'Social Budget'!$F25</f>
        <v>322929.2257407541</v>
      </c>
      <c r="J361" s="105">
        <f>'Social Budget'!$F25</f>
        <v>322929.2257407541</v>
      </c>
      <c r="K361" s="105">
        <f>'Social Budget'!$F25</f>
        <v>322929.2257407541</v>
      </c>
      <c r="L361" s="105">
        <f>'Social Budget'!$F25</f>
        <v>322929.2257407541</v>
      </c>
      <c r="M361" s="105">
        <f>'Social Budget'!$F25</f>
        <v>322929.2257407541</v>
      </c>
      <c r="N361" s="105">
        <f>'Social Budget'!$H25</f>
        <v>772666.91411904467</v>
      </c>
      <c r="O361" s="105">
        <f>'Social Budget'!$H25</f>
        <v>772666.91411904467</v>
      </c>
      <c r="P361" s="105">
        <f>'Social Budget'!$H25</f>
        <v>772666.91411904467</v>
      </c>
      <c r="Q361" s="105">
        <f>'Social Budget'!$H25</f>
        <v>772666.91411904467</v>
      </c>
      <c r="R361" s="106">
        <f>'Social Budget'!$H25</f>
        <v>772666.91411904467</v>
      </c>
      <c r="S361" s="73"/>
      <c r="V361" s="98">
        <f t="shared" si="96"/>
        <v>1614646.1287037705</v>
      </c>
    </row>
    <row r="362" spans="2:22" s="109" customFormat="1" ht="25.5" hidden="1">
      <c r="B362" s="319" t="str">
        <f>'Social Budget'!B26</f>
        <v>Compensation for interest gap of credits for youth to participate in vocational training</v>
      </c>
      <c r="C362" s="104"/>
      <c r="D362" s="104"/>
      <c r="E362" s="104"/>
      <c r="F362" s="104"/>
      <c r="G362" s="104"/>
      <c r="H362" s="105">
        <f>'Social Budget'!D26</f>
        <v>0</v>
      </c>
      <c r="I362" s="105">
        <f>'Social Budget'!$F26</f>
        <v>104170.71798088841</v>
      </c>
      <c r="J362" s="105">
        <f>'Social Budget'!$F26</f>
        <v>104170.71798088841</v>
      </c>
      <c r="K362" s="105">
        <f>'Social Budget'!$F26</f>
        <v>104170.71798088841</v>
      </c>
      <c r="L362" s="105">
        <f>'Social Budget'!$F26</f>
        <v>104170.71798088841</v>
      </c>
      <c r="M362" s="105">
        <f>'Social Budget'!$F26</f>
        <v>104170.71798088841</v>
      </c>
      <c r="N362" s="105">
        <f>'Social Budget'!$H26</f>
        <v>249247.39165130473</v>
      </c>
      <c r="O362" s="105">
        <f>'Social Budget'!$H26</f>
        <v>249247.39165130473</v>
      </c>
      <c r="P362" s="105">
        <f>'Social Budget'!$H26</f>
        <v>249247.39165130473</v>
      </c>
      <c r="Q362" s="105">
        <f>'Social Budget'!$H26</f>
        <v>249247.39165130473</v>
      </c>
      <c r="R362" s="106">
        <f>'Social Budget'!$H26</f>
        <v>249247.39165130473</v>
      </c>
      <c r="S362" s="73"/>
      <c r="V362" s="98">
        <f t="shared" si="96"/>
        <v>520853.58990444208</v>
      </c>
    </row>
    <row r="363" spans="2:22" s="61" customFormat="1" ht="12.75">
      <c r="B363" s="101" t="str">
        <f>'Social Budget'!B27</f>
        <v>Health insurance and health care</v>
      </c>
      <c r="C363" s="101"/>
      <c r="D363" s="101"/>
      <c r="E363" s="101"/>
      <c r="F363" s="101"/>
      <c r="G363" s="101"/>
      <c r="H363" s="102">
        <f>'Social Budget'!D27</f>
        <v>7576262.7064247085</v>
      </c>
      <c r="I363" s="102">
        <f>'Social Budget'!$F27</f>
        <v>48517104.774753086</v>
      </c>
      <c r="J363" s="102">
        <f>'Social Budget'!$F27</f>
        <v>48517104.774753086</v>
      </c>
      <c r="K363" s="102">
        <f>'Social Budget'!$F27</f>
        <v>48517104.774753086</v>
      </c>
      <c r="L363" s="102">
        <f>'Social Budget'!$F27</f>
        <v>48517104.774753086</v>
      </c>
      <c r="M363" s="102">
        <f>'Social Budget'!$F27</f>
        <v>48517104.774753086</v>
      </c>
      <c r="N363" s="102">
        <f>'Social Budget'!$H27</f>
        <v>136733184.13361955</v>
      </c>
      <c r="O363" s="102">
        <f>'Social Budget'!$H27</f>
        <v>136733184.13361955</v>
      </c>
      <c r="P363" s="102">
        <f>'Social Budget'!$H27</f>
        <v>136733184.13361955</v>
      </c>
      <c r="Q363" s="102">
        <f>'Social Budget'!$H27</f>
        <v>136733184.13361955</v>
      </c>
      <c r="R363" s="103">
        <f>'Social Budget'!$H27</f>
        <v>136733184.13361955</v>
      </c>
      <c r="S363" s="74"/>
      <c r="V363" s="98">
        <f t="shared" si="96"/>
        <v>242585523.87376544</v>
      </c>
    </row>
    <row r="364" spans="2:22" s="61" customFormat="1" ht="12.75">
      <c r="B364" s="319" t="str">
        <f>'Social Budget'!B28</f>
        <v>State budget for supporting health insurance payment</v>
      </c>
      <c r="C364" s="108"/>
      <c r="D364" s="108"/>
      <c r="E364" s="108"/>
      <c r="F364" s="108"/>
      <c r="G364" s="108"/>
      <c r="H364" s="110">
        <f>'Social Budget'!D28</f>
        <v>3144344.8808213505</v>
      </c>
      <c r="I364" s="110">
        <f>'Social Budget'!$F28</f>
        <v>22972180.102760594</v>
      </c>
      <c r="J364" s="110">
        <f>'Social Budget'!$F28</f>
        <v>22972180.102760594</v>
      </c>
      <c r="K364" s="110">
        <f>'Social Budget'!$F28</f>
        <v>22972180.102760594</v>
      </c>
      <c r="L364" s="110">
        <f>'Social Budget'!$F28</f>
        <v>22972180.102760594</v>
      </c>
      <c r="M364" s="110">
        <f>'Social Budget'!$F28</f>
        <v>22972180.102760594</v>
      </c>
      <c r="N364" s="110">
        <f>'Social Budget'!$H28</f>
        <v>69083813.558147937</v>
      </c>
      <c r="O364" s="110">
        <f>'Social Budget'!$H28</f>
        <v>69083813.558147937</v>
      </c>
      <c r="P364" s="110">
        <f>'Social Budget'!$H28</f>
        <v>69083813.558147937</v>
      </c>
      <c r="Q364" s="110">
        <f>'Social Budget'!$H28</f>
        <v>69083813.558147937</v>
      </c>
      <c r="R364" s="111">
        <f>'Social Budget'!$H28</f>
        <v>69083813.558147937</v>
      </c>
      <c r="S364" s="74"/>
      <c r="V364" s="98">
        <f t="shared" si="96"/>
        <v>114860900.51380298</v>
      </c>
    </row>
    <row r="365" spans="2:22" s="61" customFormat="1" ht="12.75">
      <c r="B365" s="319" t="str">
        <f>'Social Budget'!B29</f>
        <v>Supporting 50% of health insurance premiums for near-poor people</v>
      </c>
      <c r="C365" s="108"/>
      <c r="D365" s="108"/>
      <c r="E365" s="108"/>
      <c r="F365" s="108"/>
      <c r="G365" s="108"/>
      <c r="H365" s="110">
        <f>'Social Budget'!D29</f>
        <v>0</v>
      </c>
      <c r="I365" s="110">
        <f>'Social Budget'!$F29</f>
        <v>0</v>
      </c>
      <c r="J365" s="110">
        <f>'Social Budget'!$F29</f>
        <v>0</v>
      </c>
      <c r="K365" s="110">
        <f>'Social Budget'!$F29</f>
        <v>0</v>
      </c>
      <c r="L365" s="110">
        <f>'Social Budget'!$F29</f>
        <v>0</v>
      </c>
      <c r="M365" s="110">
        <f>'Social Budget'!$F29</f>
        <v>0</v>
      </c>
      <c r="N365" s="110">
        <f>'Social Budget'!$H29</f>
        <v>29082861.163449205</v>
      </c>
      <c r="O365" s="110">
        <f>'Social Budget'!$H29</f>
        <v>29082861.163449205</v>
      </c>
      <c r="P365" s="110">
        <f>'Social Budget'!$H29</f>
        <v>29082861.163449205</v>
      </c>
      <c r="Q365" s="110">
        <f>'Social Budget'!$H29</f>
        <v>29082861.163449205</v>
      </c>
      <c r="R365" s="111">
        <f>'Social Budget'!$H29</f>
        <v>29082861.163449205</v>
      </c>
      <c r="S365" s="74"/>
      <c r="V365" s="98">
        <f t="shared" si="96"/>
        <v>0</v>
      </c>
    </row>
    <row r="366" spans="2:22" s="61" customFormat="1" ht="12.75">
      <c r="B366" s="319" t="str">
        <f>'Social Budget'!B30</f>
        <v>100% of premiums financed by community and society</v>
      </c>
      <c r="C366" s="112"/>
      <c r="D366" s="112"/>
      <c r="E366" s="112"/>
      <c r="F366" s="112"/>
      <c r="G366" s="112"/>
      <c r="H366" s="110">
        <f>'Social Budget'!D30</f>
        <v>4431917.8256033575</v>
      </c>
      <c r="I366" s="110">
        <f>'Social Budget'!$F30</f>
        <v>25544924.671992484</v>
      </c>
      <c r="J366" s="110">
        <f>'Social Budget'!$F30</f>
        <v>25544924.671992484</v>
      </c>
      <c r="K366" s="110">
        <f>'Social Budget'!$F30</f>
        <v>25544924.671992484</v>
      </c>
      <c r="L366" s="110">
        <f>'Social Budget'!$F30</f>
        <v>25544924.671992484</v>
      </c>
      <c r="M366" s="110">
        <f>'Social Budget'!$F30</f>
        <v>25544924.671992484</v>
      </c>
      <c r="N366" s="110">
        <f>'Social Budget'!$H30</f>
        <v>38566509.412022389</v>
      </c>
      <c r="O366" s="110">
        <f>'Social Budget'!$H30</f>
        <v>38566509.412022389</v>
      </c>
      <c r="P366" s="110">
        <f>'Social Budget'!$H30</f>
        <v>38566509.412022389</v>
      </c>
      <c r="Q366" s="110">
        <f>'Social Budget'!$H30</f>
        <v>38566509.412022389</v>
      </c>
      <c r="R366" s="111">
        <f>'Social Budget'!$H30</f>
        <v>38566509.412022389</v>
      </c>
      <c r="S366" s="74"/>
      <c r="V366" s="98">
        <f t="shared" si="96"/>
        <v>127724623.35996242</v>
      </c>
    </row>
    <row r="367" spans="2:22" s="61" customFormat="1" ht="12.75">
      <c r="B367" s="101" t="str">
        <f>'Social Budget'!B31</f>
        <v>Compulsory social insurance</v>
      </c>
      <c r="C367" s="113"/>
      <c r="D367" s="113"/>
      <c r="E367" s="113"/>
      <c r="F367" s="113"/>
      <c r="G367" s="113"/>
      <c r="H367" s="102">
        <f>'Social Budget'!D31</f>
        <v>18288073.886120874</v>
      </c>
      <c r="I367" s="102">
        <f>'Social Budget'!$F31</f>
        <v>73864082.994131342</v>
      </c>
      <c r="J367" s="102">
        <f>'Social Budget'!$F31</f>
        <v>73864082.994131342</v>
      </c>
      <c r="K367" s="102">
        <f>'Social Budget'!$F31</f>
        <v>73864082.994131342</v>
      </c>
      <c r="L367" s="102">
        <f>'Social Budget'!$F31</f>
        <v>73864082.994131342</v>
      </c>
      <c r="M367" s="102">
        <f>'Social Budget'!$F31</f>
        <v>73864082.994131342</v>
      </c>
      <c r="N367" s="102">
        <f>'Social Budget'!$H31</f>
        <v>169346177.59715381</v>
      </c>
      <c r="O367" s="102">
        <f>'Social Budget'!$H31</f>
        <v>169346177.59715381</v>
      </c>
      <c r="P367" s="102">
        <f>'Social Budget'!$H31</f>
        <v>169346177.59715381</v>
      </c>
      <c r="Q367" s="102">
        <f>'Social Budget'!$H31</f>
        <v>169346177.59715381</v>
      </c>
      <c r="R367" s="103">
        <f>'Social Budget'!$H31</f>
        <v>169346177.59715381</v>
      </c>
      <c r="S367" s="74"/>
      <c r="V367" s="98">
        <f t="shared" si="96"/>
        <v>369320414.97065669</v>
      </c>
    </row>
    <row r="368" spans="2:22" s="61" customFormat="1" ht="12.75">
      <c r="B368" s="319" t="str">
        <f>'Social Budget'!B32</f>
        <v>Contributions of enterprises and employees</v>
      </c>
      <c r="C368" s="113"/>
      <c r="D368" s="113"/>
      <c r="E368" s="113"/>
      <c r="F368" s="113"/>
      <c r="G368" s="113"/>
      <c r="H368" s="110">
        <f>'Social Budget'!D32</f>
        <v>11410750</v>
      </c>
      <c r="I368" s="110">
        <f>'Social Budget'!$F32</f>
        <v>57407807.894198492</v>
      </c>
      <c r="J368" s="110">
        <f>'Social Budget'!$F32</f>
        <v>57407807.894198492</v>
      </c>
      <c r="K368" s="110">
        <f>'Social Budget'!$F32</f>
        <v>57407807.894198492</v>
      </c>
      <c r="L368" s="110">
        <f>'Social Budget'!$F32</f>
        <v>57407807.894198492</v>
      </c>
      <c r="M368" s="110">
        <f>'Social Budget'!$F32</f>
        <v>57407807.894198492</v>
      </c>
      <c r="N368" s="110">
        <f>'Social Budget'!$H32</f>
        <v>153955100.77590975</v>
      </c>
      <c r="O368" s="110">
        <f>'Social Budget'!$H32</f>
        <v>153955100.77590975</v>
      </c>
      <c r="P368" s="110">
        <f>'Social Budget'!$H32</f>
        <v>153955100.77590975</v>
      </c>
      <c r="Q368" s="110">
        <f>'Social Budget'!$H32</f>
        <v>153955100.77590975</v>
      </c>
      <c r="R368" s="111">
        <f>'Social Budget'!$H32</f>
        <v>153955100.77590975</v>
      </c>
      <c r="S368" s="74"/>
      <c r="V368" s="98">
        <f t="shared" si="96"/>
        <v>287039039.47099245</v>
      </c>
    </row>
    <row r="369" spans="2:22" s="61" customFormat="1" ht="25.15" customHeight="1">
      <c r="B369" s="319" t="str">
        <f>'Social Budget'!B33</f>
        <v>Retirement pension paid by State budget</v>
      </c>
      <c r="C369" s="113"/>
      <c r="D369" s="113"/>
      <c r="E369" s="113"/>
      <c r="F369" s="113"/>
      <c r="G369" s="113"/>
      <c r="H369" s="110">
        <f>'Social Budget'!D33</f>
        <v>6877323.8861208754</v>
      </c>
      <c r="I369" s="110">
        <f>'Social Budget'!$F33</f>
        <v>16456275.099932857</v>
      </c>
      <c r="J369" s="110">
        <f>'Social Budget'!$F33</f>
        <v>16456275.099932857</v>
      </c>
      <c r="K369" s="110">
        <f>'Social Budget'!$F33</f>
        <v>16456275.099932857</v>
      </c>
      <c r="L369" s="110">
        <f>'Social Budget'!$F33</f>
        <v>16456275.099932857</v>
      </c>
      <c r="M369" s="110">
        <f>'Social Budget'!$F33</f>
        <v>16456275.099932857</v>
      </c>
      <c r="N369" s="110">
        <f>'Social Budget'!$H33</f>
        <v>15391076.82124407</v>
      </c>
      <c r="O369" s="110">
        <f>'Social Budget'!$H33</f>
        <v>15391076.82124407</v>
      </c>
      <c r="P369" s="110">
        <f>'Social Budget'!$H33</f>
        <v>15391076.82124407</v>
      </c>
      <c r="Q369" s="110">
        <f>'Social Budget'!$H33</f>
        <v>15391076.82124407</v>
      </c>
      <c r="R369" s="111">
        <f>'Social Budget'!$H33</f>
        <v>15391076.82124407</v>
      </c>
      <c r="S369" s="74"/>
      <c r="V369" s="98">
        <f t="shared" si="96"/>
        <v>82281375.499664277</v>
      </c>
    </row>
    <row r="370" spans="2:22" s="61" customFormat="1" ht="12.75">
      <c r="B370" s="101" t="str">
        <f>'Social Budget'!B34</f>
        <v>Unemployment insurance</v>
      </c>
      <c r="C370" s="113"/>
      <c r="D370" s="113"/>
      <c r="E370" s="113"/>
      <c r="F370" s="113"/>
      <c r="G370" s="113"/>
      <c r="H370" s="102">
        <f>'Social Budget'!D34</f>
        <v>0</v>
      </c>
      <c r="I370" s="102">
        <f>'Social Budget'!$F34</f>
        <v>5965434.6662232205</v>
      </c>
      <c r="J370" s="102">
        <f>'Social Budget'!$F34</f>
        <v>5965434.6662232205</v>
      </c>
      <c r="K370" s="102">
        <f>'Social Budget'!$F34</f>
        <v>5965434.6662232205</v>
      </c>
      <c r="L370" s="102">
        <f>'Social Budget'!$F34</f>
        <v>5965434.6662232205</v>
      </c>
      <c r="M370" s="102">
        <f>'Social Budget'!$F34</f>
        <v>5965434.6662232205</v>
      </c>
      <c r="N370" s="102">
        <f>'Social Budget'!$H34</f>
        <v>15690331.748495264</v>
      </c>
      <c r="O370" s="102">
        <f>'Social Budget'!$H34</f>
        <v>15690331.748495264</v>
      </c>
      <c r="P370" s="102">
        <f>'Social Budget'!$H34</f>
        <v>15690331.748495264</v>
      </c>
      <c r="Q370" s="102">
        <f>'Social Budget'!$H34</f>
        <v>15690331.748495264</v>
      </c>
      <c r="R370" s="103">
        <f>'Social Budget'!$H34</f>
        <v>15690331.748495264</v>
      </c>
      <c r="S370" s="74"/>
      <c r="V370" s="98">
        <f t="shared" si="96"/>
        <v>29827173.331116103</v>
      </c>
    </row>
    <row r="371" spans="2:22" s="61" customFormat="1" ht="12.75">
      <c r="B371" s="319" t="str">
        <f>'Social Budget'!B35</f>
        <v>Contributions of enterprises and employees</v>
      </c>
      <c r="C371" s="113"/>
      <c r="D371" s="113"/>
      <c r="E371" s="113"/>
      <c r="F371" s="113"/>
      <c r="G371" s="113"/>
      <c r="H371" s="110">
        <f>'Social Budget'!D35</f>
        <v>0</v>
      </c>
      <c r="I371" s="110">
        <f>'Social Budget'!$F35</f>
        <v>3976956.4441488138</v>
      </c>
      <c r="J371" s="110">
        <f>'Social Budget'!$F35</f>
        <v>3976956.4441488138</v>
      </c>
      <c r="K371" s="110">
        <f>'Social Budget'!$F35</f>
        <v>3976956.4441488138</v>
      </c>
      <c r="L371" s="110">
        <f>'Social Budget'!$F35</f>
        <v>3976956.4441488138</v>
      </c>
      <c r="M371" s="110">
        <f>'Social Budget'!$F35</f>
        <v>3976956.4441488138</v>
      </c>
      <c r="N371" s="110">
        <f>'Social Budget'!$H35</f>
        <v>10460221.165663511</v>
      </c>
      <c r="O371" s="110">
        <f>'Social Budget'!$H35</f>
        <v>10460221.165663511</v>
      </c>
      <c r="P371" s="110">
        <f>'Social Budget'!$H35</f>
        <v>10460221.165663511</v>
      </c>
      <c r="Q371" s="110">
        <f>'Social Budget'!$H35</f>
        <v>10460221.165663511</v>
      </c>
      <c r="R371" s="111">
        <f>'Social Budget'!$H35</f>
        <v>10460221.165663511</v>
      </c>
      <c r="S371" s="74"/>
      <c r="V371" s="98">
        <f t="shared" si="96"/>
        <v>19884782.22074407</v>
      </c>
    </row>
    <row r="372" spans="2:22" s="61" customFormat="1" ht="12.75">
      <c r="B372" s="319" t="str">
        <f>'Social Budget'!B36</f>
        <v>Support from the State budget</v>
      </c>
      <c r="C372" s="113"/>
      <c r="D372" s="113"/>
      <c r="E372" s="113"/>
      <c r="F372" s="113"/>
      <c r="G372" s="113"/>
      <c r="H372" s="110">
        <f>'Social Budget'!D36</f>
        <v>0</v>
      </c>
      <c r="I372" s="110">
        <f>'Social Budget'!$F36</f>
        <v>1988478.2220744069</v>
      </c>
      <c r="J372" s="110">
        <f>'Social Budget'!$F36</f>
        <v>1988478.2220744069</v>
      </c>
      <c r="K372" s="110">
        <f>'Social Budget'!$F36</f>
        <v>1988478.2220744069</v>
      </c>
      <c r="L372" s="110">
        <f>'Social Budget'!$F36</f>
        <v>1988478.2220744069</v>
      </c>
      <c r="M372" s="110">
        <f>'Social Budget'!$F36</f>
        <v>1988478.2220744069</v>
      </c>
      <c r="N372" s="110">
        <f>'Social Budget'!$H36</f>
        <v>5230110.5828317553</v>
      </c>
      <c r="O372" s="110">
        <f>'Social Budget'!$H36</f>
        <v>5230110.5828317553</v>
      </c>
      <c r="P372" s="110">
        <f>'Social Budget'!$H36</f>
        <v>5230110.5828317553</v>
      </c>
      <c r="Q372" s="110">
        <f>'Social Budget'!$H36</f>
        <v>5230110.5828317553</v>
      </c>
      <c r="R372" s="111">
        <f>'Social Budget'!$H36</f>
        <v>5230110.5828317553</v>
      </c>
      <c r="S372" s="74"/>
      <c r="V372" s="98">
        <f t="shared" si="96"/>
        <v>9942391.1103720348</v>
      </c>
    </row>
    <row r="373" spans="2:22" s="61" customFormat="1" ht="12.75">
      <c r="B373" s="101" t="str">
        <f>'Social Budget'!B37</f>
        <v>Voluntary social insurance</v>
      </c>
      <c r="C373" s="113"/>
      <c r="D373" s="113"/>
      <c r="E373" s="113"/>
      <c r="F373" s="113"/>
      <c r="G373" s="113"/>
      <c r="H373" s="102">
        <f>'Social Budget'!D37</f>
        <v>17385</v>
      </c>
      <c r="I373" s="102">
        <f>'Social Budget'!$F37</f>
        <v>2518584</v>
      </c>
      <c r="J373" s="102">
        <f>'Social Budget'!$F37</f>
        <v>2518584</v>
      </c>
      <c r="K373" s="102">
        <f>'Social Budget'!$F37</f>
        <v>2518584</v>
      </c>
      <c r="L373" s="102">
        <f>'Social Budget'!$F37</f>
        <v>2518584</v>
      </c>
      <c r="M373" s="102">
        <f>'Social Budget'!$F37</f>
        <v>2518584</v>
      </c>
      <c r="N373" s="102">
        <f>'Social Budget'!$H37</f>
        <v>18914287.5</v>
      </c>
      <c r="O373" s="102">
        <f>'Social Budget'!$H37</f>
        <v>18914287.5</v>
      </c>
      <c r="P373" s="102">
        <f>'Social Budget'!$H37</f>
        <v>18914287.5</v>
      </c>
      <c r="Q373" s="102">
        <f>'Social Budget'!$H37</f>
        <v>18914287.5</v>
      </c>
      <c r="R373" s="103">
        <f>'Social Budget'!$H37</f>
        <v>18914287.5</v>
      </c>
      <c r="S373" s="74"/>
      <c r="V373" s="98">
        <f t="shared" si="96"/>
        <v>12592920</v>
      </c>
    </row>
    <row r="374" spans="2:22" s="61" customFormat="1" ht="12.75">
      <c r="B374" s="319" t="str">
        <f>'Social Budget'!B38</f>
        <v>Contributions of employees</v>
      </c>
      <c r="C374" s="113"/>
      <c r="D374" s="113"/>
      <c r="E374" s="113"/>
      <c r="F374" s="113"/>
      <c r="G374" s="113"/>
      <c r="H374" s="110">
        <f>'Social Budget'!D38</f>
        <v>17385</v>
      </c>
      <c r="I374" s="110">
        <f>'Social Budget'!$F38</f>
        <v>2098464</v>
      </c>
      <c r="J374" s="110">
        <f>'Social Budget'!$F38</f>
        <v>2098464</v>
      </c>
      <c r="K374" s="110">
        <f>'Social Budget'!$F38</f>
        <v>2098464</v>
      </c>
      <c r="L374" s="110">
        <f>'Social Budget'!$F38</f>
        <v>2098464</v>
      </c>
      <c r="M374" s="110">
        <f>'Social Budget'!$F38</f>
        <v>2098464</v>
      </c>
      <c r="N374" s="110">
        <f>'Social Budget'!$H38</f>
        <v>15131429.999999998</v>
      </c>
      <c r="O374" s="110">
        <f>'Social Budget'!$H38</f>
        <v>15131429.999999998</v>
      </c>
      <c r="P374" s="110">
        <f>'Social Budget'!$H38</f>
        <v>15131429.999999998</v>
      </c>
      <c r="Q374" s="110">
        <f>'Social Budget'!$H38</f>
        <v>15131429.999999998</v>
      </c>
      <c r="R374" s="111">
        <f>'Social Budget'!$H38</f>
        <v>15131429.999999998</v>
      </c>
      <c r="S374" s="74"/>
      <c r="V374" s="98">
        <f t="shared" si="96"/>
        <v>10492320</v>
      </c>
    </row>
    <row r="375" spans="2:22" s="61" customFormat="1" ht="12.75">
      <c r="B375" s="319" t="str">
        <f>'Social Budget'!B39</f>
        <v>Support from the State budget</v>
      </c>
      <c r="C375" s="113"/>
      <c r="D375" s="113"/>
      <c r="E375" s="113"/>
      <c r="F375" s="113"/>
      <c r="G375" s="113"/>
      <c r="H375" s="110">
        <f>'Social Budget'!D39</f>
        <v>0</v>
      </c>
      <c r="I375" s="110">
        <f>'Social Budget'!$F39</f>
        <v>420120.00000000006</v>
      </c>
      <c r="J375" s="110">
        <f>'Social Budget'!$F39</f>
        <v>420120.00000000006</v>
      </c>
      <c r="K375" s="110">
        <f>'Social Budget'!$F39</f>
        <v>420120.00000000006</v>
      </c>
      <c r="L375" s="110">
        <f>'Social Budget'!$F39</f>
        <v>420120.00000000006</v>
      </c>
      <c r="M375" s="110">
        <f>'Social Budget'!$F39</f>
        <v>420120.00000000006</v>
      </c>
      <c r="N375" s="110">
        <f>'Social Budget'!$H39</f>
        <v>3782857.4999999995</v>
      </c>
      <c r="O375" s="110">
        <f>'Social Budget'!$H39</f>
        <v>3782857.4999999995</v>
      </c>
      <c r="P375" s="110">
        <f>'Social Budget'!$H39</f>
        <v>3782857.4999999995</v>
      </c>
      <c r="Q375" s="110">
        <f>'Social Budget'!$H39</f>
        <v>3782857.4999999995</v>
      </c>
      <c r="R375" s="111">
        <f>'Social Budget'!$H39</f>
        <v>3782857.4999999995</v>
      </c>
      <c r="S375" s="74"/>
      <c r="V375" s="98">
        <f t="shared" si="96"/>
        <v>2100600.0000000005</v>
      </c>
    </row>
    <row r="376" spans="2:22" s="61" customFormat="1" ht="12.75">
      <c r="B376" s="101" t="str">
        <f>'Social Budget'!B40</f>
        <v>Social assistance</v>
      </c>
      <c r="C376" s="113"/>
      <c r="D376" s="113"/>
      <c r="E376" s="113"/>
      <c r="F376" s="113"/>
      <c r="G376" s="113"/>
      <c r="H376" s="102">
        <f>'Social Budget'!D40</f>
        <v>10728078.819718882</v>
      </c>
      <c r="I376" s="102">
        <f>'Social Budget'!$F40</f>
        <v>34472030.818146564</v>
      </c>
      <c r="J376" s="102">
        <f>'Social Budget'!$F40</f>
        <v>34472030.818146564</v>
      </c>
      <c r="K376" s="102">
        <f>'Social Budget'!$F40</f>
        <v>34472030.818146564</v>
      </c>
      <c r="L376" s="102">
        <f>'Social Budget'!$F40</f>
        <v>34472030.818146564</v>
      </c>
      <c r="M376" s="102">
        <f>'Social Budget'!$F40</f>
        <v>34472030.818146564</v>
      </c>
      <c r="N376" s="102">
        <f>'Social Budget'!$H40</f>
        <v>46550796.507179514</v>
      </c>
      <c r="O376" s="102">
        <f>'Social Budget'!$H40</f>
        <v>46550796.507179514</v>
      </c>
      <c r="P376" s="102">
        <f>'Social Budget'!$H40</f>
        <v>46550796.507179514</v>
      </c>
      <c r="Q376" s="102">
        <f>'Social Budget'!$H40</f>
        <v>46550796.507179514</v>
      </c>
      <c r="R376" s="103">
        <f>'Social Budget'!$H40</f>
        <v>46550796.507179514</v>
      </c>
      <c r="S376" s="74"/>
      <c r="V376" s="98">
        <f t="shared" si="96"/>
        <v>172360154.09073281</v>
      </c>
    </row>
    <row r="377" spans="2:22" s="100" customFormat="1" ht="12.75">
      <c r="B377" s="124" t="str">
        <f>'Social Budget'!B41</f>
        <v>State budget</v>
      </c>
      <c r="C377" s="114"/>
      <c r="D377" s="114"/>
      <c r="E377" s="114"/>
      <c r="F377" s="114"/>
      <c r="G377" s="114"/>
      <c r="H377" s="115">
        <f>'Social Budget'!D41</f>
        <v>8654961.5164324027</v>
      </c>
      <c r="I377" s="115">
        <f>'Social Budget'!$F41</f>
        <v>27692497.118126828</v>
      </c>
      <c r="J377" s="115">
        <f>'Social Budget'!$F41</f>
        <v>27692497.118126828</v>
      </c>
      <c r="K377" s="115">
        <f>'Social Budget'!$F41</f>
        <v>27692497.118126828</v>
      </c>
      <c r="L377" s="115">
        <f>'Social Budget'!$F41</f>
        <v>27692497.118126828</v>
      </c>
      <c r="M377" s="115">
        <f>'Social Budget'!$F41</f>
        <v>27692497.118126828</v>
      </c>
      <c r="N377" s="115">
        <f>'Social Budget'!$H41</f>
        <v>37739988.295723245</v>
      </c>
      <c r="O377" s="115">
        <f>'Social Budget'!$H41</f>
        <v>37739988.295723245</v>
      </c>
      <c r="P377" s="115">
        <f>'Social Budget'!$H41</f>
        <v>37739988.295723245</v>
      </c>
      <c r="Q377" s="115">
        <f>'Social Budget'!$H41</f>
        <v>37739988.295723245</v>
      </c>
      <c r="R377" s="116">
        <f>'Social Budget'!$H41</f>
        <v>37739988.295723245</v>
      </c>
      <c r="S377" s="192"/>
      <c r="V377" s="98">
        <f t="shared" si="96"/>
        <v>138462485.59063414</v>
      </c>
    </row>
    <row r="378" spans="2:22" s="61" customFormat="1" ht="12.75" hidden="1">
      <c r="B378" s="319" t="str">
        <f>'Social Budget'!B42</f>
        <v>Regular social assistance in accordance with Decree No. 13/2010</v>
      </c>
      <c r="C378" s="113"/>
      <c r="D378" s="113"/>
      <c r="E378" s="113"/>
      <c r="F378" s="113"/>
      <c r="G378" s="113"/>
      <c r="H378" s="110">
        <f>'Social Budget'!D42</f>
        <v>450700</v>
      </c>
      <c r="I378" s="110">
        <f>'Social Budget'!$F42</f>
        <v>3250448.8818279998</v>
      </c>
      <c r="J378" s="110">
        <f>'Social Budget'!$F42</f>
        <v>3250448.8818279998</v>
      </c>
      <c r="K378" s="110">
        <f>'Social Budget'!$F42</f>
        <v>3250448.8818279998</v>
      </c>
      <c r="L378" s="110">
        <f>'Social Budget'!$F42</f>
        <v>3250448.8818279998</v>
      </c>
      <c r="M378" s="110">
        <f>'Social Budget'!$F42</f>
        <v>3250448.8818279998</v>
      </c>
      <c r="N378" s="110">
        <f>'Social Budget'!$H42</f>
        <v>5382226.8051884994</v>
      </c>
      <c r="O378" s="110">
        <f>'Social Budget'!$H42</f>
        <v>5382226.8051884994</v>
      </c>
      <c r="P378" s="110">
        <f>'Social Budget'!$H42</f>
        <v>5382226.8051884994</v>
      </c>
      <c r="Q378" s="110">
        <f>'Social Budget'!$H42</f>
        <v>5382226.8051884994</v>
      </c>
      <c r="R378" s="111">
        <f>'Social Budget'!$H42</f>
        <v>5382226.8051884994</v>
      </c>
      <c r="S378" s="74"/>
      <c r="V378" s="98">
        <f t="shared" si="96"/>
        <v>16252244.409139998</v>
      </c>
    </row>
    <row r="379" spans="2:22" s="61" customFormat="1" ht="12.75" hidden="1">
      <c r="B379" s="319" t="str">
        <f>'Social Budget'!B43</f>
        <v>Emergency social relief in accordance with Decree No. 13/2010</v>
      </c>
      <c r="C379" s="113"/>
      <c r="D379" s="113"/>
      <c r="E379" s="113"/>
      <c r="F379" s="113"/>
      <c r="G379" s="113"/>
      <c r="H379" s="110">
        <f>'Social Budget'!D43</f>
        <v>2241964.2857142859</v>
      </c>
      <c r="I379" s="110">
        <f>'Social Budget'!$F43</f>
        <v>3802071.4285714291</v>
      </c>
      <c r="J379" s="110">
        <f>'Social Budget'!$F43</f>
        <v>3802071.4285714291</v>
      </c>
      <c r="K379" s="110">
        <f>'Social Budget'!$F43</f>
        <v>3802071.4285714291</v>
      </c>
      <c r="L379" s="110">
        <f>'Social Budget'!$F43</f>
        <v>3802071.4285714291</v>
      </c>
      <c r="M379" s="110">
        <f>'Social Budget'!$F43</f>
        <v>3802071.4285714291</v>
      </c>
      <c r="N379" s="110">
        <f>'Social Budget'!$H43</f>
        <v>5350000</v>
      </c>
      <c r="O379" s="110">
        <f>'Social Budget'!$H43</f>
        <v>5350000</v>
      </c>
      <c r="P379" s="110">
        <f>'Social Budget'!$H43</f>
        <v>5350000</v>
      </c>
      <c r="Q379" s="110">
        <f>'Social Budget'!$H43</f>
        <v>5350000</v>
      </c>
      <c r="R379" s="111">
        <f>'Social Budget'!$H43</f>
        <v>5350000</v>
      </c>
      <c r="S379" s="74"/>
      <c r="V379" s="98">
        <f t="shared" si="96"/>
        <v>19010357.142857146</v>
      </c>
    </row>
    <row r="380" spans="2:22" s="61" customFormat="1" ht="12.75" hidden="1">
      <c r="B380" s="319" t="str">
        <f>'Social Budget'!B44</f>
        <v>Grant of 15 kilograms of rice for the poor in border areas</v>
      </c>
      <c r="C380" s="113"/>
      <c r="D380" s="113"/>
      <c r="E380" s="113"/>
      <c r="F380" s="113"/>
      <c r="G380" s="113"/>
      <c r="H380" s="110">
        <f>'Social Budget'!D44</f>
        <v>3482.01186620625</v>
      </c>
      <c r="I380" s="110">
        <f>'Social Budget'!$F44</f>
        <v>5839.0770895031255</v>
      </c>
      <c r="J380" s="110">
        <f>'Social Budget'!$F44</f>
        <v>5839.0770895031255</v>
      </c>
      <c r="K380" s="110">
        <f>'Social Budget'!$F44</f>
        <v>5839.0770895031255</v>
      </c>
      <c r="L380" s="110">
        <f>'Social Budget'!$F44</f>
        <v>5839.0770895031255</v>
      </c>
      <c r="M380" s="110">
        <f>'Social Budget'!$F44</f>
        <v>5839.0770895031255</v>
      </c>
      <c r="N380" s="110">
        <f>'Social Budget'!$H44</f>
        <v>6615.4205812499995</v>
      </c>
      <c r="O380" s="110">
        <f>'Social Budget'!$H44</f>
        <v>6615.4205812499995</v>
      </c>
      <c r="P380" s="110">
        <f>'Social Budget'!$H44</f>
        <v>6615.4205812499995</v>
      </c>
      <c r="Q380" s="110">
        <f>'Social Budget'!$H44</f>
        <v>6615.4205812499995</v>
      </c>
      <c r="R380" s="111">
        <f>'Social Budget'!$H44</f>
        <v>6615.4205812499995</v>
      </c>
      <c r="S380" s="74"/>
      <c r="V380" s="98">
        <f t="shared" si="96"/>
        <v>29195.385447515626</v>
      </c>
    </row>
    <row r="381" spans="2:22" s="61" customFormat="1" ht="12.75" hidden="1">
      <c r="B381" s="319" t="str">
        <f>'Social Budget'!B45</f>
        <v>National Targeted Program on Poverty Reduction</v>
      </c>
      <c r="C381" s="113"/>
      <c r="D381" s="113"/>
      <c r="E381" s="113"/>
      <c r="F381" s="113"/>
      <c r="G381" s="113"/>
      <c r="H381" s="110">
        <f>'Social Budget'!D45</f>
        <v>290687.5</v>
      </c>
      <c r="I381" s="110">
        <f>'Social Budget'!$F45</f>
        <v>1235508.5163271362</v>
      </c>
      <c r="J381" s="110">
        <f>'Social Budget'!$F45</f>
        <v>1235508.5163271362</v>
      </c>
      <c r="K381" s="110">
        <f>'Social Budget'!$F45</f>
        <v>1235508.5163271362</v>
      </c>
      <c r="L381" s="110">
        <f>'Social Budget'!$F45</f>
        <v>1235508.5163271362</v>
      </c>
      <c r="M381" s="110">
        <f>'Social Budget'!$F45</f>
        <v>1235508.5163271362</v>
      </c>
      <c r="N381" s="110">
        <f>'Social Budget'!$H45</f>
        <v>3796171.3246189202</v>
      </c>
      <c r="O381" s="110">
        <f>'Social Budget'!$H45</f>
        <v>3796171.3246189202</v>
      </c>
      <c r="P381" s="110">
        <f>'Social Budget'!$H45</f>
        <v>3796171.3246189202</v>
      </c>
      <c r="Q381" s="110">
        <f>'Social Budget'!$H45</f>
        <v>3796171.3246189202</v>
      </c>
      <c r="R381" s="111">
        <f>'Social Budget'!$H45</f>
        <v>3796171.3246189202</v>
      </c>
      <c r="S381" s="74"/>
      <c r="V381" s="98">
        <f t="shared" si="96"/>
        <v>6177542.581635681</v>
      </c>
    </row>
    <row r="382" spans="2:22" s="61" customFormat="1" ht="12.75" hidden="1">
      <c r="B382" s="319" t="str">
        <f>'Social Budget'!B46</f>
        <v>Project on building houses for poor households</v>
      </c>
      <c r="C382" s="113"/>
      <c r="D382" s="113"/>
      <c r="E382" s="113"/>
      <c r="F382" s="113"/>
      <c r="G382" s="113"/>
      <c r="H382" s="110">
        <f>'Social Budget'!D46</f>
        <v>0</v>
      </c>
      <c r="I382" s="110">
        <f>'Social Budget'!$F46</f>
        <v>2700000</v>
      </c>
      <c r="J382" s="110">
        <f>'Social Budget'!$F46</f>
        <v>2700000</v>
      </c>
      <c r="K382" s="110">
        <f>'Social Budget'!$F46</f>
        <v>2700000</v>
      </c>
      <c r="L382" s="110">
        <f>'Social Budget'!$F46</f>
        <v>2700000</v>
      </c>
      <c r="M382" s="110">
        <f>'Social Budget'!$F46</f>
        <v>2700000</v>
      </c>
      <c r="N382" s="110">
        <f>'Social Budget'!$H46</f>
        <v>3000000</v>
      </c>
      <c r="O382" s="110">
        <f>'Social Budget'!$H46</f>
        <v>3000000</v>
      </c>
      <c r="P382" s="110">
        <f>'Social Budget'!$H46</f>
        <v>3000000</v>
      </c>
      <c r="Q382" s="110">
        <f>'Social Budget'!$H46</f>
        <v>3000000</v>
      </c>
      <c r="R382" s="111">
        <f>'Social Budget'!$H46</f>
        <v>3000000</v>
      </c>
      <c r="S382" s="74"/>
      <c r="V382" s="98">
        <f t="shared" si="96"/>
        <v>13500000</v>
      </c>
    </row>
    <row r="383" spans="2:22" s="61" customFormat="1" ht="12.75" hidden="1">
      <c r="B383" s="319" t="str">
        <f>'Social Budget'!B47</f>
        <v>School fee exemption and reduction for poor pupils</v>
      </c>
      <c r="C383" s="113"/>
      <c r="D383" s="113"/>
      <c r="E383" s="113"/>
      <c r="F383" s="113"/>
      <c r="G383" s="113"/>
      <c r="H383" s="110">
        <f>'Social Budget'!D47</f>
        <v>1022212.6086181918</v>
      </c>
      <c r="I383" s="110">
        <f>'Social Budget'!$F47</f>
        <v>2209869.722079352</v>
      </c>
      <c r="J383" s="110">
        <f>'Social Budget'!$F47</f>
        <v>2209869.722079352</v>
      </c>
      <c r="K383" s="110">
        <f>'Social Budget'!$F47</f>
        <v>2209869.722079352</v>
      </c>
      <c r="L383" s="110">
        <f>'Social Budget'!$F47</f>
        <v>2209869.722079352</v>
      </c>
      <c r="M383" s="110">
        <f>'Social Budget'!$F47</f>
        <v>2209869.722079352</v>
      </c>
      <c r="N383" s="110">
        <f>'Social Budget'!$H47</f>
        <v>3138472.8245434253</v>
      </c>
      <c r="O383" s="110">
        <f>'Social Budget'!$H47</f>
        <v>3138472.8245434253</v>
      </c>
      <c r="P383" s="110">
        <f>'Social Budget'!$H47</f>
        <v>3138472.8245434253</v>
      </c>
      <c r="Q383" s="110">
        <f>'Social Budget'!$H47</f>
        <v>3138472.8245434253</v>
      </c>
      <c r="R383" s="111">
        <f>'Social Budget'!$H47</f>
        <v>3138472.8245434253</v>
      </c>
      <c r="S383" s="74"/>
      <c r="V383" s="98">
        <f t="shared" si="96"/>
        <v>11049348.61039676</v>
      </c>
    </row>
    <row r="384" spans="2:22" s="61" customFormat="1" ht="25.5" hidden="1">
      <c r="B384" s="319" t="str">
        <f>'Social Budget'!B48</f>
        <v>Government's support for poor households to send their children to school</v>
      </c>
      <c r="C384" s="113"/>
      <c r="D384" s="113"/>
      <c r="E384" s="113"/>
      <c r="F384" s="113"/>
      <c r="G384" s="113"/>
      <c r="H384" s="110">
        <f>'Social Budget'!D48</f>
        <v>356015.11023371975</v>
      </c>
      <c r="I384" s="110">
        <f>'Social Budget'!$F48</f>
        <v>1240244.5849760801</v>
      </c>
      <c r="J384" s="110">
        <f>'Social Budget'!$F48</f>
        <v>1240244.5849760801</v>
      </c>
      <c r="K384" s="110">
        <f>'Social Budget'!$F48</f>
        <v>1240244.5849760801</v>
      </c>
      <c r="L384" s="110">
        <f>'Social Budget'!$F48</f>
        <v>1240244.5849760801</v>
      </c>
      <c r="M384" s="110">
        <f>'Social Budget'!$F48</f>
        <v>1240244.5849760801</v>
      </c>
      <c r="N384" s="110">
        <f>'Social Budget'!$H48</f>
        <v>2691735.9146268475</v>
      </c>
      <c r="O384" s="110">
        <f>'Social Budget'!$H48</f>
        <v>2691735.9146268475</v>
      </c>
      <c r="P384" s="110">
        <f>'Social Budget'!$H48</f>
        <v>2691735.9146268475</v>
      </c>
      <c r="Q384" s="110">
        <f>'Social Budget'!$H48</f>
        <v>2691735.9146268475</v>
      </c>
      <c r="R384" s="111">
        <f>'Social Budget'!$H48</f>
        <v>2691735.9146268475</v>
      </c>
      <c r="S384" s="74"/>
      <c r="V384" s="98">
        <f t="shared" si="96"/>
        <v>6201222.9248804003</v>
      </c>
    </row>
    <row r="385" spans="2:27" s="61" customFormat="1" ht="12.75" hidden="1">
      <c r="B385" s="319" t="str">
        <f>'Social Budget'!B49</f>
        <v>Health care programs</v>
      </c>
      <c r="C385" s="113"/>
      <c r="D385" s="113"/>
      <c r="E385" s="113"/>
      <c r="F385" s="113"/>
      <c r="G385" s="113"/>
      <c r="H385" s="110">
        <f>'Social Budget'!D49</f>
        <v>814562.5</v>
      </c>
      <c r="I385" s="110">
        <f>'Social Budget'!$F49</f>
        <v>2268328.6180281155</v>
      </c>
      <c r="J385" s="110">
        <f>'Social Budget'!$F49</f>
        <v>2268328.6180281155</v>
      </c>
      <c r="K385" s="110">
        <f>'Social Budget'!$F49</f>
        <v>2268328.6180281155</v>
      </c>
      <c r="L385" s="110">
        <f>'Social Budget'!$F49</f>
        <v>2268328.6180281155</v>
      </c>
      <c r="M385" s="110">
        <f>'Social Budget'!$F49</f>
        <v>2268328.6180281155</v>
      </c>
      <c r="N385" s="110">
        <f>'Social Budget'!$H49</f>
        <v>2750232.952727641</v>
      </c>
      <c r="O385" s="110">
        <f>'Social Budget'!$H49</f>
        <v>2750232.952727641</v>
      </c>
      <c r="P385" s="110">
        <f>'Social Budget'!$H49</f>
        <v>2750232.952727641</v>
      </c>
      <c r="Q385" s="110">
        <f>'Social Budget'!$H49</f>
        <v>2750232.952727641</v>
      </c>
      <c r="R385" s="111">
        <f>'Social Budget'!$H49</f>
        <v>2750232.952727641</v>
      </c>
      <c r="S385" s="74"/>
      <c r="V385" s="98">
        <f t="shared" si="96"/>
        <v>11341643.090140577</v>
      </c>
    </row>
    <row r="386" spans="2:27" s="61" customFormat="1" ht="12.75" hidden="1">
      <c r="B386" s="319" t="str">
        <f>'Social Budget'!B50</f>
        <v>Social houses for migrant workers</v>
      </c>
      <c r="C386" s="113"/>
      <c r="D386" s="113"/>
      <c r="E386" s="113"/>
      <c r="F386" s="113"/>
      <c r="G386" s="113"/>
      <c r="H386" s="110">
        <f>'Social Budget'!D50</f>
        <v>0</v>
      </c>
      <c r="I386" s="110">
        <f>'Social Budget'!$F50</f>
        <v>2268328.6180281155</v>
      </c>
      <c r="J386" s="110">
        <f>'Social Budget'!$F50</f>
        <v>2268328.6180281155</v>
      </c>
      <c r="K386" s="110">
        <f>'Social Budget'!$F50</f>
        <v>2268328.6180281155</v>
      </c>
      <c r="L386" s="110">
        <f>'Social Budget'!$F50</f>
        <v>2268328.6180281155</v>
      </c>
      <c r="M386" s="110">
        <f>'Social Budget'!$F50</f>
        <v>2268328.6180281155</v>
      </c>
      <c r="N386" s="110">
        <f>'Social Budget'!$H50</f>
        <v>2750232.952727641</v>
      </c>
      <c r="O386" s="110">
        <f>'Social Budget'!$H50</f>
        <v>2750232.952727641</v>
      </c>
      <c r="P386" s="110">
        <f>'Social Budget'!$H50</f>
        <v>2750232.952727641</v>
      </c>
      <c r="Q386" s="110">
        <f>'Social Budget'!$H50</f>
        <v>2750232.952727641</v>
      </c>
      <c r="R386" s="111">
        <f>'Social Budget'!$H50</f>
        <v>2750232.952727641</v>
      </c>
      <c r="S386" s="74"/>
      <c r="V386" s="98">
        <f t="shared" si="96"/>
        <v>11341643.090140577</v>
      </c>
    </row>
    <row r="387" spans="2:27" s="61" customFormat="1" ht="12.75" hidden="1">
      <c r="B387" s="319" t="str">
        <f>'Social Budget'!B51</f>
        <v>135 Program</v>
      </c>
      <c r="C387" s="113"/>
      <c r="D387" s="113"/>
      <c r="E387" s="113"/>
      <c r="F387" s="113"/>
      <c r="G387" s="113"/>
      <c r="H387" s="110">
        <f>'Social Budget'!D51</f>
        <v>1211000</v>
      </c>
      <c r="I387" s="110">
        <f>'Social Budget'!$F51</f>
        <v>1633997.9558225309</v>
      </c>
      <c r="J387" s="110">
        <f>'Social Budget'!$F51</f>
        <v>1633997.9558225309</v>
      </c>
      <c r="K387" s="110">
        <f>'Social Budget'!$F51</f>
        <v>1633997.9558225309</v>
      </c>
      <c r="L387" s="110">
        <f>'Social Budget'!$F51</f>
        <v>1633997.9558225309</v>
      </c>
      <c r="M387" s="110">
        <f>'Social Budget'!$F51</f>
        <v>1633997.9558225309</v>
      </c>
      <c r="N387" s="110">
        <f>'Social Budget'!$H51</f>
        <v>1768140.0117045185</v>
      </c>
      <c r="O387" s="110">
        <f>'Social Budget'!$H51</f>
        <v>1768140.0117045185</v>
      </c>
      <c r="P387" s="110">
        <f>'Social Budget'!$H51</f>
        <v>1768140.0117045185</v>
      </c>
      <c r="Q387" s="110">
        <f>'Social Budget'!$H51</f>
        <v>1768140.0117045185</v>
      </c>
      <c r="R387" s="111">
        <f>'Social Budget'!$H51</f>
        <v>1768140.0117045185</v>
      </c>
      <c r="S387" s="74"/>
      <c r="V387" s="98">
        <f t="shared" si="96"/>
        <v>8169989.7791126547</v>
      </c>
    </row>
    <row r="388" spans="2:27" s="61" customFormat="1" ht="25.5" hidden="1">
      <c r="B388" s="319" t="str">
        <f>'Social Budget'!B52</f>
        <v>Support in production land, residential land and fresh water in accordance with Decision No. 134</v>
      </c>
      <c r="C388" s="113"/>
      <c r="D388" s="113"/>
      <c r="E388" s="113"/>
      <c r="F388" s="113"/>
      <c r="G388" s="113"/>
      <c r="H388" s="110">
        <f>'Social Budget'!D52</f>
        <v>436775</v>
      </c>
      <c r="I388" s="110">
        <f>'Social Budget'!$F52</f>
        <v>891259.71537656768</v>
      </c>
      <c r="J388" s="110">
        <f>'Social Budget'!$F52</f>
        <v>891259.71537656768</v>
      </c>
      <c r="K388" s="110">
        <f>'Social Budget'!$F52</f>
        <v>891259.71537656768</v>
      </c>
      <c r="L388" s="110">
        <f>'Social Budget'!$F52</f>
        <v>891259.71537656768</v>
      </c>
      <c r="M388" s="110">
        <f>'Social Budget'!$F52</f>
        <v>891259.71537656768</v>
      </c>
      <c r="N388" s="110">
        <f>'Social Budget'!$H52</f>
        <v>871160.08900450508</v>
      </c>
      <c r="O388" s="110">
        <f>'Social Budget'!$H52</f>
        <v>871160.08900450508</v>
      </c>
      <c r="P388" s="110">
        <f>'Social Budget'!$H52</f>
        <v>871160.08900450508</v>
      </c>
      <c r="Q388" s="110">
        <f>'Social Budget'!$H52</f>
        <v>871160.08900450508</v>
      </c>
      <c r="R388" s="111">
        <f>'Social Budget'!$H52</f>
        <v>871160.08900450508</v>
      </c>
      <c r="S388" s="74"/>
      <c r="V388" s="98">
        <f t="shared" si="96"/>
        <v>4456298.5768828383</v>
      </c>
    </row>
    <row r="389" spans="2:27" s="61" customFormat="1" ht="12.75" hidden="1">
      <c r="B389" s="319" t="str">
        <f>'Social Budget'!B53</f>
        <v>Fresh water and environmental sanitation</v>
      </c>
      <c r="C389" s="113"/>
      <c r="D389" s="113"/>
      <c r="E389" s="113"/>
      <c r="F389" s="113"/>
      <c r="G389" s="113"/>
      <c r="H389" s="110">
        <f>'Social Budget'!D53</f>
        <v>1152562.5</v>
      </c>
      <c r="I389" s="110">
        <f>'Social Budget'!$F53</f>
        <v>4296600</v>
      </c>
      <c r="J389" s="110">
        <f>'Social Budget'!$F53</f>
        <v>4296600</v>
      </c>
      <c r="K389" s="110">
        <f>'Social Budget'!$F53</f>
        <v>4296600</v>
      </c>
      <c r="L389" s="110">
        <f>'Social Budget'!$F53</f>
        <v>4296600</v>
      </c>
      <c r="M389" s="110">
        <f>'Social Budget'!$F53</f>
        <v>4296600</v>
      </c>
      <c r="N389" s="110">
        <f>'Social Budget'!$H53</f>
        <v>4335000</v>
      </c>
      <c r="O389" s="110">
        <f>'Social Budget'!$H53</f>
        <v>4335000</v>
      </c>
      <c r="P389" s="110">
        <f>'Social Budget'!$H53</f>
        <v>4335000</v>
      </c>
      <c r="Q389" s="110">
        <f>'Social Budget'!$H53</f>
        <v>4335000</v>
      </c>
      <c r="R389" s="111">
        <f>'Social Budget'!$H53</f>
        <v>4335000</v>
      </c>
      <c r="S389" s="74"/>
      <c r="V389" s="98">
        <f t="shared" si="96"/>
        <v>21483000</v>
      </c>
    </row>
    <row r="390" spans="2:27" s="61" customFormat="1" ht="25.5" hidden="1">
      <c r="B390" s="319" t="str">
        <f>'Social Budget'!B54</f>
        <v>Migration, residential and farming settlement policies under Decisions No. 193/2006/QĐ-TTG and 33/2007/QĐ -TTg</v>
      </c>
      <c r="C390" s="113"/>
      <c r="D390" s="113"/>
      <c r="E390" s="113"/>
      <c r="F390" s="113"/>
      <c r="G390" s="113"/>
      <c r="H390" s="110">
        <f>'Social Budget'!D54</f>
        <v>675000</v>
      </c>
      <c r="I390" s="110">
        <f>'Social Budget'!$F54</f>
        <v>1890000</v>
      </c>
      <c r="J390" s="110">
        <f>'Social Budget'!$F54</f>
        <v>1890000</v>
      </c>
      <c r="K390" s="110">
        <f>'Social Budget'!$F54</f>
        <v>1890000</v>
      </c>
      <c r="L390" s="110">
        <f>'Social Budget'!$F54</f>
        <v>1890000</v>
      </c>
      <c r="M390" s="110">
        <f>'Social Budget'!$F54</f>
        <v>1890000</v>
      </c>
      <c r="N390" s="110">
        <f>'Social Budget'!$H54</f>
        <v>1900000</v>
      </c>
      <c r="O390" s="110">
        <f>'Social Budget'!$H54</f>
        <v>1900000</v>
      </c>
      <c r="P390" s="110">
        <f>'Social Budget'!$H54</f>
        <v>1900000</v>
      </c>
      <c r="Q390" s="110">
        <f>'Social Budget'!$H54</f>
        <v>1900000</v>
      </c>
      <c r="R390" s="111">
        <f>'Social Budget'!$H54</f>
        <v>1900000</v>
      </c>
      <c r="S390" s="74"/>
      <c r="V390" s="98">
        <f t="shared" si="96"/>
        <v>9450000</v>
      </c>
    </row>
    <row r="391" spans="2:27" s="61" customFormat="1" ht="12.75">
      <c r="B391" s="124" t="str">
        <f>'Social Budget'!B55</f>
        <v>Budget mobilized from communities for social assistance</v>
      </c>
      <c r="C391" s="113"/>
      <c r="D391" s="113"/>
      <c r="E391" s="113"/>
      <c r="F391" s="113"/>
      <c r="G391" s="113"/>
      <c r="H391" s="110">
        <f>'Social Budget'!D55</f>
        <v>2073117.3032864807</v>
      </c>
      <c r="I391" s="110">
        <f>'Social Budget'!$F55</f>
        <v>6779533.7000197424</v>
      </c>
      <c r="J391" s="110">
        <f>'Social Budget'!$F55</f>
        <v>6779533.7000197424</v>
      </c>
      <c r="K391" s="110">
        <f>'Social Budget'!$F55</f>
        <v>6779533.7000197424</v>
      </c>
      <c r="L391" s="110">
        <f>'Social Budget'!$F55</f>
        <v>6779533.7000197424</v>
      </c>
      <c r="M391" s="110">
        <f>'Social Budget'!$F55</f>
        <v>6779533.7000197424</v>
      </c>
      <c r="N391" s="110">
        <f>'Social Budget'!$H55</f>
        <v>8810808.2114562634</v>
      </c>
      <c r="O391" s="110">
        <f>'Social Budget'!$H55</f>
        <v>8810808.2114562634</v>
      </c>
      <c r="P391" s="110">
        <f>'Social Budget'!$H55</f>
        <v>8810808.2114562634</v>
      </c>
      <c r="Q391" s="110">
        <f>'Social Budget'!$H55</f>
        <v>8810808.2114562634</v>
      </c>
      <c r="R391" s="111">
        <f>'Social Budget'!$H55</f>
        <v>8810808.2114562634</v>
      </c>
      <c r="S391" s="74"/>
      <c r="V391" s="98">
        <f t="shared" si="96"/>
        <v>33897668.500098713</v>
      </c>
    </row>
    <row r="392" spans="2:27" s="61" customFormat="1" ht="12.75">
      <c r="B392" s="320" t="str">
        <f>'Social Budget'!B56</f>
        <v>Monitoring, evaluation, management and communication</v>
      </c>
      <c r="C392" s="117"/>
      <c r="D392" s="117"/>
      <c r="E392" s="117"/>
      <c r="F392" s="117"/>
      <c r="G392" s="117"/>
      <c r="H392" s="118">
        <f>'Social Budget'!D56</f>
        <v>72058.632239867089</v>
      </c>
      <c r="I392" s="118">
        <f>'Social Budget'!$F56</f>
        <v>245608.41818061462</v>
      </c>
      <c r="J392" s="118">
        <f>'Social Budget'!$F56</f>
        <v>245608.41818061462</v>
      </c>
      <c r="K392" s="118">
        <f>'Social Budget'!$F56</f>
        <v>245608.41818061462</v>
      </c>
      <c r="L392" s="118">
        <f>'Social Budget'!$F56</f>
        <v>245608.41818061462</v>
      </c>
      <c r="M392" s="118">
        <f>'Social Budget'!$F56</f>
        <v>245608.41818061462</v>
      </c>
      <c r="N392" s="118">
        <f>'Social Budget'!$H56</f>
        <v>448083.95171007741</v>
      </c>
      <c r="O392" s="118">
        <f>'Social Budget'!$H56</f>
        <v>448083.95171007741</v>
      </c>
      <c r="P392" s="118">
        <f>'Social Budget'!$H56</f>
        <v>448083.95171007741</v>
      </c>
      <c r="Q392" s="118">
        <f>'Social Budget'!$H56</f>
        <v>448083.95171007741</v>
      </c>
      <c r="R392" s="119">
        <f>'Social Budget'!$H56</f>
        <v>448083.95171007741</v>
      </c>
      <c r="S392" s="74"/>
      <c r="V392" s="98">
        <f t="shared" si="96"/>
        <v>1228042.0909030731</v>
      </c>
    </row>
    <row r="393" spans="2:27" s="61" customFormat="1" ht="12.75">
      <c r="B393" s="302"/>
      <c r="S393" s="74"/>
      <c r="V393" s="98">
        <f t="shared" si="96"/>
        <v>0</v>
      </c>
    </row>
    <row r="394" spans="2:27" s="61" customFormat="1" ht="12.75">
      <c r="B394" s="301" t="s">
        <v>351</v>
      </c>
      <c r="S394" s="74"/>
      <c r="U394" s="61" t="s">
        <v>487</v>
      </c>
    </row>
    <row r="395" spans="2:27" s="61" customFormat="1" ht="25.5">
      <c r="B395" s="129" t="s">
        <v>434</v>
      </c>
      <c r="C395" s="129"/>
      <c r="D395" s="129"/>
      <c r="E395" s="129"/>
      <c r="F395" s="129"/>
      <c r="G395" s="129"/>
      <c r="H395" s="658">
        <f>H328</f>
        <v>7.0710663932606916</v>
      </c>
      <c r="I395" s="658">
        <f t="shared" ref="I395:R395" si="97">I328</f>
        <v>7.143142347982474</v>
      </c>
      <c r="J395" s="658">
        <f t="shared" si="97"/>
        <v>7.1807794065165647</v>
      </c>
      <c r="K395" s="658">
        <f t="shared" si="97"/>
        <v>7.439544519048324</v>
      </c>
      <c r="L395" s="658">
        <f t="shared" si="97"/>
        <v>8.3726570889067986</v>
      </c>
      <c r="M395" s="658">
        <f t="shared" si="97"/>
        <v>8.6051535069905345</v>
      </c>
      <c r="N395" s="658">
        <f t="shared" si="97"/>
        <v>8.3250077228650881</v>
      </c>
      <c r="O395" s="658">
        <f t="shared" si="97"/>
        <v>8.1038480055860056</v>
      </c>
      <c r="P395" s="658">
        <f t="shared" si="97"/>
        <v>7.5169205264050545</v>
      </c>
      <c r="Q395" s="658">
        <f t="shared" si="97"/>
        <v>7.9005835534832327</v>
      </c>
      <c r="R395" s="658">
        <f t="shared" si="97"/>
        <v>7.9934266473085849</v>
      </c>
      <c r="S395" s="74"/>
    </row>
    <row r="396" spans="2:27" s="61" customFormat="1" ht="12.75">
      <c r="B396" s="125" t="s">
        <v>360</v>
      </c>
      <c r="C396" s="125"/>
      <c r="D396" s="125"/>
      <c r="E396" s="125"/>
      <c r="F396" s="125"/>
      <c r="G396" s="125"/>
      <c r="H396" s="659">
        <f>H274</f>
        <v>3.1786532406336971</v>
      </c>
      <c r="I396" s="659">
        <f t="shared" ref="I396:R396" si="98">I274</f>
        <v>3.02535485460082</v>
      </c>
      <c r="J396" s="659">
        <f t="shared" si="98"/>
        <v>2.8764227399592559</v>
      </c>
      <c r="K396" s="659">
        <f t="shared" si="98"/>
        <v>2.8315926994504315</v>
      </c>
      <c r="L396" s="659">
        <f t="shared" si="98"/>
        <v>3.2384418471858392</v>
      </c>
      <c r="M396" s="659">
        <f t="shared" si="98"/>
        <v>3.1854798624757388</v>
      </c>
      <c r="N396" s="659">
        <f t="shared" si="98"/>
        <v>2.8444202022470466</v>
      </c>
      <c r="O396" s="659">
        <f t="shared" si="98"/>
        <v>2.7050454731060811</v>
      </c>
      <c r="P396" s="659">
        <f t="shared" si="98"/>
        <v>2.4090048634806021</v>
      </c>
      <c r="Q396" s="659">
        <f t="shared" si="98"/>
        <v>2.367848714830556</v>
      </c>
      <c r="R396" s="659">
        <f t="shared" si="98"/>
        <v>2.2287141203388368</v>
      </c>
      <c r="S396" s="74"/>
      <c r="AA396" s="254" t="s">
        <v>695</v>
      </c>
    </row>
    <row r="397" spans="2:27" s="61" customFormat="1" ht="12.75">
      <c r="B397" s="130" t="s">
        <v>361</v>
      </c>
      <c r="C397" s="130"/>
      <c r="D397" s="130"/>
      <c r="E397" s="130"/>
      <c r="F397" s="130"/>
      <c r="G397" s="130"/>
      <c r="H397" s="660">
        <f>H395-H396</f>
        <v>3.8924131526269945</v>
      </c>
      <c r="I397" s="660">
        <f t="shared" ref="I397:R397" si="99">I395-I396</f>
        <v>4.1177874933816536</v>
      </c>
      <c r="J397" s="660">
        <f t="shared" si="99"/>
        <v>4.3043566665573092</v>
      </c>
      <c r="K397" s="660">
        <f t="shared" si="99"/>
        <v>4.6079518195978926</v>
      </c>
      <c r="L397" s="660">
        <f t="shared" si="99"/>
        <v>5.134215241720959</v>
      </c>
      <c r="M397" s="660">
        <f t="shared" si="99"/>
        <v>5.4196736445147957</v>
      </c>
      <c r="N397" s="660">
        <f t="shared" si="99"/>
        <v>5.480587520618041</v>
      </c>
      <c r="O397" s="660">
        <f t="shared" si="99"/>
        <v>5.3988025324799249</v>
      </c>
      <c r="P397" s="660">
        <f t="shared" si="99"/>
        <v>5.1079156629244524</v>
      </c>
      <c r="Q397" s="660">
        <f t="shared" si="99"/>
        <v>5.5327348386526767</v>
      </c>
      <c r="R397" s="660">
        <f t="shared" si="99"/>
        <v>5.7647125269697481</v>
      </c>
      <c r="S397" s="74"/>
    </row>
    <row r="398" spans="2:27" s="61" customFormat="1" ht="12.75">
      <c r="B398" s="302"/>
      <c r="S398" s="74"/>
    </row>
    <row r="399" spans="2:27" s="61" customFormat="1" ht="12.75">
      <c r="B399" s="302"/>
      <c r="S399" s="74"/>
    </row>
    <row r="400" spans="2:27" s="61" customFormat="1" ht="37.5">
      <c r="B400" s="352" t="s">
        <v>671</v>
      </c>
      <c r="C400" s="231"/>
      <c r="D400" s="231"/>
      <c r="E400" s="231"/>
      <c r="F400" s="231"/>
      <c r="G400" s="231"/>
      <c r="H400" s="231"/>
      <c r="I400" s="231"/>
      <c r="J400" s="231"/>
      <c r="K400" s="231"/>
      <c r="L400" s="231"/>
      <c r="M400" s="231"/>
      <c r="N400" s="231"/>
      <c r="O400" s="231"/>
      <c r="P400" s="231"/>
      <c r="Q400" s="231"/>
      <c r="R400" s="231"/>
      <c r="S400" s="232"/>
    </row>
    <row r="401" spans="1:26" s="61" customFormat="1" ht="15">
      <c r="B401" s="353" t="s">
        <v>648</v>
      </c>
      <c r="C401" s="35"/>
      <c r="D401" s="35"/>
      <c r="E401" s="35"/>
      <c r="F401" s="35"/>
      <c r="G401" s="35"/>
      <c r="H401" s="35"/>
      <c r="I401" s="35"/>
      <c r="J401" s="35"/>
      <c r="K401" s="35"/>
      <c r="L401" s="35"/>
      <c r="M401" s="35"/>
      <c r="N401" s="35"/>
      <c r="O401" s="35"/>
      <c r="P401" s="35"/>
      <c r="Q401" s="35"/>
      <c r="R401" s="35"/>
      <c r="S401" s="35"/>
    </row>
    <row r="402" spans="1:26" s="61" customFormat="1">
      <c r="B402" s="662"/>
      <c r="C402" s="663">
        <v>2005</v>
      </c>
      <c r="D402" s="664">
        <v>2006</v>
      </c>
      <c r="E402" s="664">
        <v>2007</v>
      </c>
      <c r="F402" s="664">
        <v>2008</v>
      </c>
      <c r="G402" s="664">
        <v>2009</v>
      </c>
      <c r="H402" s="664">
        <v>2010</v>
      </c>
      <c r="I402" s="665">
        <v>2011</v>
      </c>
      <c r="J402" s="665">
        <v>2012</v>
      </c>
      <c r="K402" s="665">
        <v>2013</v>
      </c>
      <c r="L402" s="665">
        <v>2014</v>
      </c>
      <c r="M402" s="665">
        <v>2015</v>
      </c>
      <c r="N402" s="665">
        <v>2016</v>
      </c>
      <c r="O402" s="665">
        <v>2017</v>
      </c>
      <c r="P402" s="665">
        <v>2018</v>
      </c>
      <c r="Q402" s="665">
        <v>2019</v>
      </c>
      <c r="R402" s="665">
        <v>2020</v>
      </c>
      <c r="S402" s="662" t="s">
        <v>744</v>
      </c>
    </row>
    <row r="403" spans="1:26" s="61" customFormat="1" ht="27.75">
      <c r="B403" s="28" t="s">
        <v>649</v>
      </c>
      <c r="C403" s="354">
        <v>3673.1136999999999</v>
      </c>
      <c r="D403" s="354">
        <v>4761.4366</v>
      </c>
      <c r="E403" s="354">
        <v>5868.7554</v>
      </c>
      <c r="F403" s="354">
        <v>15755.181804826861</v>
      </c>
      <c r="G403" s="354">
        <v>12129.318170689099</v>
      </c>
      <c r="H403" s="354">
        <v>23248.014048912402</v>
      </c>
      <c r="I403" s="354">
        <v>28052.339762831318</v>
      </c>
      <c r="J403" s="354">
        <v>29789.444002741879</v>
      </c>
      <c r="K403" s="354">
        <v>34505.507374787732</v>
      </c>
      <c r="L403" s="354">
        <v>33193.951834803971</v>
      </c>
      <c r="M403" s="354">
        <v>35030.142191000581</v>
      </c>
      <c r="N403" s="354">
        <v>37182.275168071239</v>
      </c>
      <c r="O403" s="354">
        <v>42938.403613440911</v>
      </c>
      <c r="P403" s="354">
        <v>44487.774252795265</v>
      </c>
      <c r="Q403" s="354">
        <v>54239.397213779193</v>
      </c>
      <c r="R403" s="354">
        <v>60529.01927131565</v>
      </c>
      <c r="S403" s="355" t="s">
        <v>650</v>
      </c>
    </row>
    <row r="404" spans="1:26" s="61" customFormat="1" ht="15">
      <c r="B404" s="356" t="s">
        <v>651</v>
      </c>
      <c r="C404" s="357">
        <f>SUM(C405:C408)</f>
        <v>14610.44</v>
      </c>
      <c r="D404" s="357">
        <f t="shared" ref="D404:R404" si="100">SUM(D405:D408)</f>
        <v>15982.6</v>
      </c>
      <c r="E404" s="357">
        <f t="shared" si="100"/>
        <v>17370.599999999999</v>
      </c>
      <c r="F404" s="357">
        <f t="shared" si="100"/>
        <v>18734.84</v>
      </c>
      <c r="G404" s="357">
        <f t="shared" si="100"/>
        <v>18734.84</v>
      </c>
      <c r="H404" s="357">
        <f t="shared" si="100"/>
        <v>44597.281389711628</v>
      </c>
      <c r="I404" s="357">
        <f t="shared" si="100"/>
        <v>61055.931114265208</v>
      </c>
      <c r="J404" s="357">
        <f t="shared" si="100"/>
        <v>78440.318181372684</v>
      </c>
      <c r="K404" s="357">
        <f t="shared" si="100"/>
        <v>103042.86878564292</v>
      </c>
      <c r="L404" s="357">
        <f t="shared" si="100"/>
        <v>116901.75582583295</v>
      </c>
      <c r="M404" s="357">
        <f t="shared" si="100"/>
        <v>156489.35633210989</v>
      </c>
      <c r="N404" s="357">
        <f t="shared" si="100"/>
        <v>188625.43393596073</v>
      </c>
      <c r="O404" s="357">
        <f t="shared" si="100"/>
        <v>210667.113466846</v>
      </c>
      <c r="P404" s="357">
        <f t="shared" si="100"/>
        <v>229491.85681879913</v>
      </c>
      <c r="Q404" s="357">
        <f t="shared" si="100"/>
        <v>286815.7670091787</v>
      </c>
      <c r="R404" s="357">
        <f t="shared" si="100"/>
        <v>347456.6674857582</v>
      </c>
      <c r="S404" s="356"/>
    </row>
    <row r="405" spans="1:26" s="61" customFormat="1" ht="24.75">
      <c r="B405" s="358" t="s">
        <v>652</v>
      </c>
      <c r="C405" s="359">
        <v>14600</v>
      </c>
      <c r="D405" s="359">
        <v>15961</v>
      </c>
      <c r="E405" s="359">
        <v>17322</v>
      </c>
      <c r="F405" s="359">
        <v>18683</v>
      </c>
      <c r="G405" s="359">
        <v>18683</v>
      </c>
      <c r="H405" s="359">
        <v>43234.081389711631</v>
      </c>
      <c r="I405" s="359">
        <v>58342.971114265201</v>
      </c>
      <c r="J405" s="359">
        <v>74395.718181372693</v>
      </c>
      <c r="K405" s="359">
        <v>92383.268785642926</v>
      </c>
      <c r="L405" s="359">
        <v>108636.15582583296</v>
      </c>
      <c r="M405" s="359">
        <v>132675.35633210989</v>
      </c>
      <c r="N405" s="359">
        <v>159857.27143596072</v>
      </c>
      <c r="O405" s="359">
        <v>175843.863466846</v>
      </c>
      <c r="P405" s="359">
        <v>192762.85681879913</v>
      </c>
      <c r="Q405" s="359">
        <v>239518.5170091787</v>
      </c>
      <c r="R405" s="359">
        <v>291277.46748575818</v>
      </c>
      <c r="S405" s="191"/>
    </row>
    <row r="406" spans="1:26" s="61" customFormat="1" ht="24.75">
      <c r="B406" s="360" t="s">
        <v>653</v>
      </c>
      <c r="C406" s="361">
        <v>10.44</v>
      </c>
      <c r="D406" s="361">
        <v>21.6</v>
      </c>
      <c r="E406" s="361">
        <v>48.6</v>
      </c>
      <c r="F406" s="361">
        <v>51.84</v>
      </c>
      <c r="G406" s="361">
        <v>51.84</v>
      </c>
      <c r="H406" s="361">
        <v>681.6</v>
      </c>
      <c r="I406" s="361">
        <v>1356.48</v>
      </c>
      <c r="J406" s="361">
        <v>2311.1999999999998</v>
      </c>
      <c r="K406" s="361">
        <v>6091.2</v>
      </c>
      <c r="L406" s="361">
        <v>4723.2</v>
      </c>
      <c r="M406" s="361">
        <v>13608</v>
      </c>
      <c r="N406" s="361">
        <v>16438.95</v>
      </c>
      <c r="O406" s="361">
        <v>19899</v>
      </c>
      <c r="P406" s="361">
        <v>20988</v>
      </c>
      <c r="Q406" s="361">
        <v>27027</v>
      </c>
      <c r="R406" s="361">
        <v>32102.400000000001</v>
      </c>
      <c r="S406" s="35"/>
    </row>
    <row r="407" spans="1:26" s="61" customFormat="1" ht="15">
      <c r="B407" s="360" t="s">
        <v>654</v>
      </c>
      <c r="C407" s="361"/>
      <c r="D407" s="361"/>
      <c r="E407" s="361"/>
      <c r="F407" s="361"/>
      <c r="G407" s="361"/>
      <c r="H407" s="361">
        <v>681.6</v>
      </c>
      <c r="I407" s="361">
        <v>1356.48</v>
      </c>
      <c r="J407" s="361">
        <v>1733.3999999999999</v>
      </c>
      <c r="K407" s="361">
        <v>4568.3999999999996</v>
      </c>
      <c r="L407" s="361">
        <v>3542.3999999999996</v>
      </c>
      <c r="M407" s="361">
        <v>10206</v>
      </c>
      <c r="N407" s="361">
        <v>12329.212500000001</v>
      </c>
      <c r="O407" s="361">
        <v>14924.25</v>
      </c>
      <c r="P407" s="361">
        <v>15741</v>
      </c>
      <c r="Q407" s="361">
        <v>20270.25</v>
      </c>
      <c r="R407" s="361">
        <v>24076.800000000003</v>
      </c>
      <c r="S407" s="35"/>
    </row>
    <row r="408" spans="1:26" s="61" customFormat="1" ht="24.75">
      <c r="B408" s="360" t="s">
        <v>655</v>
      </c>
      <c r="C408" s="361"/>
      <c r="D408" s="361"/>
      <c r="E408" s="361"/>
      <c r="F408" s="361"/>
      <c r="G408" s="361"/>
      <c r="H408" s="361"/>
      <c r="I408" s="361"/>
      <c r="J408" s="361"/>
      <c r="K408" s="361"/>
      <c r="L408" s="361"/>
      <c r="M408" s="361"/>
      <c r="N408" s="361"/>
      <c r="O408" s="361"/>
      <c r="P408" s="361"/>
      <c r="Q408" s="361"/>
      <c r="R408" s="361"/>
      <c r="S408" s="35"/>
    </row>
    <row r="409" spans="1:26" s="61" customFormat="1" ht="15">
      <c r="B409" s="35"/>
      <c r="C409" s="35"/>
      <c r="D409" s="35"/>
      <c r="E409" s="35"/>
      <c r="F409" s="35"/>
      <c r="G409" s="35"/>
      <c r="H409" s="35"/>
      <c r="I409" s="35"/>
      <c r="J409" s="35"/>
      <c r="K409" s="35"/>
      <c r="L409" s="35"/>
      <c r="M409" s="35"/>
      <c r="N409" s="35"/>
      <c r="O409" s="35"/>
      <c r="P409" s="35"/>
      <c r="Q409" s="35"/>
      <c r="R409" s="35"/>
      <c r="S409" s="35"/>
    </row>
    <row r="410" spans="1:26" s="61" customFormat="1" ht="15">
      <c r="B410" s="362" t="s">
        <v>656</v>
      </c>
      <c r="C410" s="363">
        <f>C403+C404</f>
        <v>18283.5537</v>
      </c>
      <c r="D410" s="363">
        <f t="shared" ref="D410:R410" si="101">D403+D404</f>
        <v>20744.036599999999</v>
      </c>
      <c r="E410" s="363">
        <f t="shared" si="101"/>
        <v>23239.3554</v>
      </c>
      <c r="F410" s="363">
        <f t="shared" si="101"/>
        <v>34490.021804826858</v>
      </c>
      <c r="G410" s="363">
        <f t="shared" si="101"/>
        <v>30864.158170689101</v>
      </c>
      <c r="H410" s="363">
        <f t="shared" si="101"/>
        <v>67845.295438624031</v>
      </c>
      <c r="I410" s="363">
        <f t="shared" si="101"/>
        <v>89108.270877096526</v>
      </c>
      <c r="J410" s="363">
        <f t="shared" si="101"/>
        <v>108229.76218411456</v>
      </c>
      <c r="K410" s="363">
        <f t="shared" si="101"/>
        <v>137548.37616043066</v>
      </c>
      <c r="L410" s="363">
        <f t="shared" si="101"/>
        <v>150095.70766063692</v>
      </c>
      <c r="M410" s="363">
        <f t="shared" si="101"/>
        <v>191519.49852311047</v>
      </c>
      <c r="N410" s="363">
        <f t="shared" si="101"/>
        <v>225807.70910403196</v>
      </c>
      <c r="O410" s="363">
        <f t="shared" si="101"/>
        <v>253605.51708028693</v>
      </c>
      <c r="P410" s="363">
        <f t="shared" si="101"/>
        <v>273979.63107159443</v>
      </c>
      <c r="Q410" s="363">
        <f t="shared" si="101"/>
        <v>341055.16422295792</v>
      </c>
      <c r="R410" s="363">
        <f t="shared" si="101"/>
        <v>407985.68675707385</v>
      </c>
      <c r="S410" s="362"/>
    </row>
    <row r="411" spans="1:26" s="61" customFormat="1" ht="12.75">
      <c r="B411" s="302"/>
      <c r="S411" s="74"/>
    </row>
    <row r="412" spans="1:26" s="61" customFormat="1" ht="43.5" customHeight="1">
      <c r="A412" s="1350" t="s">
        <v>670</v>
      </c>
      <c r="B412" s="1351" t="s">
        <v>622</v>
      </c>
      <c r="C412" s="1352"/>
      <c r="D412" s="1352"/>
      <c r="E412" s="1352"/>
      <c r="F412" s="1352"/>
      <c r="G412" s="1352"/>
      <c r="H412" s="1352"/>
      <c r="I412" s="1352"/>
      <c r="J412" s="1352"/>
      <c r="K412" s="1352"/>
      <c r="L412" s="1352"/>
      <c r="M412" s="1352"/>
      <c r="N412" s="1352"/>
      <c r="O412" s="1352"/>
      <c r="P412" s="1352"/>
      <c r="Q412" s="1352"/>
      <c r="R412" s="1352"/>
      <c r="S412" s="74"/>
    </row>
    <row r="413" spans="1:26" s="61" customFormat="1" ht="6.75" customHeight="1">
      <c r="B413" s="302"/>
      <c r="S413" s="74"/>
      <c r="Z413" s="254"/>
    </row>
    <row r="414" spans="1:26" s="68" customFormat="1" ht="12.75">
      <c r="B414" s="203" t="s">
        <v>721</v>
      </c>
      <c r="H414" s="227"/>
      <c r="I414" s="227"/>
      <c r="J414" s="227"/>
      <c r="K414" s="227"/>
      <c r="L414" s="227"/>
      <c r="M414" s="227"/>
      <c r="N414" s="227"/>
      <c r="O414" s="227"/>
      <c r="P414" s="227"/>
      <c r="Q414" s="227"/>
      <c r="R414" s="227"/>
      <c r="S414" s="72"/>
      <c r="U414" s="68" t="s">
        <v>488</v>
      </c>
      <c r="Z414" s="254" t="s">
        <v>695</v>
      </c>
    </row>
    <row r="415" spans="1:26" s="68" customFormat="1">
      <c r="B415" s="662"/>
      <c r="C415" s="663">
        <v>2005</v>
      </c>
      <c r="D415" s="664">
        <v>2006</v>
      </c>
      <c r="E415" s="664">
        <v>2007</v>
      </c>
      <c r="F415" s="664">
        <v>2008</v>
      </c>
      <c r="G415" s="664">
        <v>2009</v>
      </c>
      <c r="H415" s="664">
        <v>2010</v>
      </c>
      <c r="I415" s="665">
        <v>2011</v>
      </c>
      <c r="J415" s="665">
        <v>2012</v>
      </c>
      <c r="K415" s="665">
        <v>2013</v>
      </c>
      <c r="L415" s="665">
        <v>2014</v>
      </c>
      <c r="M415" s="665">
        <v>2015</v>
      </c>
      <c r="N415" s="665">
        <v>2016</v>
      </c>
      <c r="O415" s="665">
        <v>2017</v>
      </c>
      <c r="P415" s="665">
        <v>2018</v>
      </c>
      <c r="Q415" s="665">
        <v>2019</v>
      </c>
      <c r="R415" s="665">
        <v>2020</v>
      </c>
      <c r="S415" s="662" t="s">
        <v>744</v>
      </c>
    </row>
    <row r="416" spans="1:26" s="61" customFormat="1" ht="26.25">
      <c r="B416" s="308" t="s">
        <v>1107</v>
      </c>
      <c r="C416" s="1045">
        <v>0</v>
      </c>
      <c r="D416" s="1046">
        <v>0</v>
      </c>
      <c r="E416" s="1046">
        <v>0</v>
      </c>
      <c r="F416" s="1046">
        <v>0</v>
      </c>
      <c r="G416" s="1046">
        <v>0</v>
      </c>
      <c r="H416" s="1047">
        <f>'PENS (Universal)'!B151</f>
        <v>0</v>
      </c>
      <c r="I416" s="1047">
        <f>'PENS (Universal)'!C151</f>
        <v>7.6481756358407676E-2</v>
      </c>
      <c r="J416" s="1047">
        <f>'PENS (Universal)'!D151</f>
        <v>0.17226791323923257</v>
      </c>
      <c r="K416" s="1047">
        <f>'PENS (Universal)'!E151</f>
        <v>0.2210673270772075</v>
      </c>
      <c r="L416" s="1047">
        <f>'PENS (Universal)'!F151</f>
        <v>0.27704163939870985</v>
      </c>
      <c r="M416" s="1047">
        <f>'PENS (Universal)'!G151</f>
        <v>0.3215423067810626</v>
      </c>
      <c r="N416" s="1047">
        <f>'PENS (Universal)'!H151</f>
        <v>0.37927904362562759</v>
      </c>
      <c r="O416" s="1047">
        <f>'PENS (Universal)'!I151</f>
        <v>0.44022530358475442</v>
      </c>
      <c r="P416" s="1047">
        <f>'PENS (Universal)'!J151</f>
        <v>0.48812402648701203</v>
      </c>
      <c r="Q416" s="1047">
        <f>'PENS (Universal)'!K151</f>
        <v>0.56133483457740418</v>
      </c>
      <c r="R416" s="1047">
        <f>'PENS (Universal)'!L151</f>
        <v>0.60250257673300378</v>
      </c>
      <c r="S416" s="74"/>
    </row>
    <row r="417" spans="2:19" s="61" customFormat="1" ht="28.5" customHeight="1">
      <c r="B417" s="308" t="s">
        <v>1108</v>
      </c>
      <c r="C417" s="1045"/>
      <c r="D417" s="1046"/>
      <c r="E417" s="1046"/>
      <c r="F417" s="1046"/>
      <c r="G417" s="1046"/>
      <c r="H417" s="1047">
        <f>'PENS (Universal)'!B249</f>
        <v>0</v>
      </c>
      <c r="I417" s="1047">
        <f>'PENS (Universal)'!C249</f>
        <v>9.8761085462372805E-2</v>
      </c>
      <c r="J417" s="1047">
        <f>'PENS (Universal)'!D249</f>
        <v>0.23102173281882363</v>
      </c>
      <c r="K417" s="1047">
        <f>'PENS (Universal)'!E249</f>
        <v>0.29001509507730305</v>
      </c>
      <c r="L417" s="1047">
        <f>'PENS (Universal)'!F249</f>
        <v>0.34484086873381609</v>
      </c>
      <c r="M417" s="1047">
        <f>'PENS (Universal)'!G249</f>
        <v>0.3988210229028365</v>
      </c>
      <c r="N417" s="1047">
        <f>'PENS (Universal)'!H249</f>
        <v>0.46914078369009687</v>
      </c>
      <c r="O417" s="1047">
        <f>'PENS (Universal)'!I249</f>
        <v>0.51119079212710039</v>
      </c>
      <c r="P417" s="1047">
        <f>'PENS (Universal)'!J249</f>
        <v>0.56402756459667358</v>
      </c>
      <c r="Q417" s="1047">
        <f>'PENS (Universal)'!K249</f>
        <v>0.64109530194321152</v>
      </c>
      <c r="R417" s="1047">
        <f>'PENS (Universal)'!L249</f>
        <v>0.75516828554998416</v>
      </c>
      <c r="S417" s="74"/>
    </row>
    <row r="418" spans="2:19" s="254" customFormat="1" ht="15">
      <c r="B418" s="321" t="s">
        <v>483</v>
      </c>
      <c r="C418" s="1045">
        <v>0</v>
      </c>
      <c r="D418" s="1046">
        <v>0</v>
      </c>
      <c r="E418" s="1046">
        <v>0</v>
      </c>
      <c r="F418" s="1046">
        <v>0</v>
      </c>
      <c r="G418" s="1046">
        <v>0</v>
      </c>
      <c r="H418" s="1047">
        <f>'CHILD (Holistic benefit)'!B144</f>
        <v>0</v>
      </c>
      <c r="I418" s="1047">
        <f>'CHILD (Holistic benefit)'!C144</f>
        <v>1.1151652924266768</v>
      </c>
      <c r="J418" s="1047">
        <f>'CHILD (Holistic benefit)'!D144</f>
        <v>2.3124957409802271</v>
      </c>
      <c r="K418" s="1047">
        <f>'CHILD (Holistic benefit)'!E144</f>
        <v>2.7243483724160638</v>
      </c>
      <c r="L418" s="1047">
        <f>'CHILD (Holistic benefit)'!F144</f>
        <v>3.0998409730462786</v>
      </c>
      <c r="M418" s="1047">
        <f>'CHILD (Holistic benefit)'!G144</f>
        <v>3.9487330800821692</v>
      </c>
      <c r="N418" s="1047">
        <f>'CHILD (Holistic benefit)'!H144</f>
        <v>4.7518511205686123</v>
      </c>
      <c r="O418" s="1047">
        <f>'CHILD (Holistic benefit)'!I144</f>
        <v>4.6039660694541702</v>
      </c>
      <c r="P418" s="1047">
        <f>'CHILD (Holistic benefit)'!J144</f>
        <v>4.4817262657888506</v>
      </c>
      <c r="Q418" s="1047">
        <f>'CHILD (Holistic benefit)'!K144</f>
        <v>4.3824943104108733</v>
      </c>
      <c r="R418" s="1047">
        <f>'CHILD (Holistic benefit)'!L144</f>
        <v>4.3053627250619293</v>
      </c>
      <c r="S418" s="408"/>
    </row>
    <row r="419" spans="2:19" s="254" customFormat="1" ht="26.25">
      <c r="B419" s="1042" t="s">
        <v>1109</v>
      </c>
      <c r="C419" s="1045">
        <v>0</v>
      </c>
      <c r="D419" s="1046">
        <v>0</v>
      </c>
      <c r="E419" s="1046">
        <v>0</v>
      </c>
      <c r="F419" s="1046">
        <v>0</v>
      </c>
      <c r="G419" s="1046">
        <v>0</v>
      </c>
      <c r="H419" s="1047">
        <f>'CHILD (Holistic benefit)'!B215</f>
        <v>0</v>
      </c>
      <c r="I419" s="1047">
        <f>'CHILD (Holistic benefit)'!C215</f>
        <v>0.23656098230020256</v>
      </c>
      <c r="J419" s="1047">
        <f>'CHILD (Holistic benefit)'!D215</f>
        <v>0.47317831008327843</v>
      </c>
      <c r="K419" s="1047">
        <f>'CHILD (Holistic benefit)'!E215</f>
        <v>0.54195122982304422</v>
      </c>
      <c r="L419" s="1047">
        <f>'CHILD (Holistic benefit)'!F215</f>
        <v>0.59958036507729495</v>
      </c>
      <c r="M419" s="1047">
        <f>'CHILD (Holistic benefit)'!G215</f>
        <v>0.74269096813190094</v>
      </c>
      <c r="N419" s="1047">
        <f>'CHILD (Holistic benefit)'!H215</f>
        <v>0.86914323447464259</v>
      </c>
      <c r="O419" s="1047">
        <f>'CHILD (Holistic benefit)'!I215</f>
        <v>0.8189414057595944</v>
      </c>
      <c r="P419" s="1047">
        <f>'CHILD (Holistic benefit)'!J215</f>
        <v>0.7752964958610058</v>
      </c>
      <c r="Q419" s="1047">
        <f>'CHILD (Holistic benefit)'!K215</f>
        <v>0.73730811594077217</v>
      </c>
      <c r="R419" s="1047">
        <f>'CHILD (Holistic benefit)'!L215</f>
        <v>0.70443414467270338</v>
      </c>
      <c r="S419" s="408"/>
    </row>
    <row r="420" spans="2:19" s="61" customFormat="1" ht="26.25">
      <c r="B420" s="308" t="s">
        <v>1110</v>
      </c>
      <c r="C420" s="1045">
        <v>0</v>
      </c>
      <c r="D420" s="1046">
        <v>0</v>
      </c>
      <c r="E420" s="1046">
        <v>0</v>
      </c>
      <c r="F420" s="1046">
        <v>0</v>
      </c>
      <c r="G420" s="1046">
        <v>0</v>
      </c>
      <c r="H420" s="1047">
        <f>'CHILD (Holistic benefit)'!B$251</f>
        <v>0</v>
      </c>
      <c r="I420" s="1047">
        <f>'CHILD (Holistic benefit)'!C$251</f>
        <v>0.1283478588808481</v>
      </c>
      <c r="J420" s="1047">
        <f>'CHILD (Holistic benefit)'!D$251</f>
        <v>0.25505977188648149</v>
      </c>
      <c r="K420" s="1047">
        <f>'CHILD (Holistic benefit)'!E$251</f>
        <v>0.29271140367035764</v>
      </c>
      <c r="L420" s="1047">
        <f>'CHILD (Holistic benefit)'!F$251</f>
        <v>0.32453083766872681</v>
      </c>
      <c r="M420" s="1047">
        <f>'CHILD (Holistic benefit)'!G$251</f>
        <v>0.40288815495369956</v>
      </c>
      <c r="N420" s="1047">
        <f>'CHILD (Holistic benefit)'!H$251</f>
        <v>0.47258142052365754</v>
      </c>
      <c r="O420" s="1047">
        <f>'CHILD (Holistic benefit)'!I$251</f>
        <v>0.4463387376837134</v>
      </c>
      <c r="P420" s="1047">
        <f>'CHILD (Holistic benefit)'!J$251</f>
        <v>0.42356338175811098</v>
      </c>
      <c r="Q420" s="1047">
        <f>'CHILD (Holistic benefit)'!K$251</f>
        <v>0.40377936149993543</v>
      </c>
      <c r="R420" s="1047">
        <f>'CHILD (Holistic benefit)'!L$251</f>
        <v>0.38670515228541869</v>
      </c>
      <c r="S420" s="74"/>
    </row>
    <row r="421" spans="2:19" s="61" customFormat="1" ht="15">
      <c r="B421" s="308" t="s">
        <v>1111</v>
      </c>
      <c r="C421" s="1045">
        <v>0</v>
      </c>
      <c r="D421" s="1046">
        <v>0</v>
      </c>
      <c r="E421" s="1046">
        <v>0</v>
      </c>
      <c r="F421" s="1046">
        <v>0</v>
      </c>
      <c r="G421" s="1046">
        <v>0</v>
      </c>
      <c r="H421" s="1047">
        <f>'Working age (Holistic)'!B101</f>
        <v>0</v>
      </c>
      <c r="I421" s="1047">
        <f>'Working age (Holistic)'!C101</f>
        <v>0.42390700550183824</v>
      </c>
      <c r="J421" s="1047">
        <f>'Working age (Holistic)'!D101</f>
        <v>0.86247284695467963</v>
      </c>
      <c r="K421" s="1047">
        <f>'Working age (Holistic)'!E101</f>
        <v>1.0048534111917509</v>
      </c>
      <c r="L421" s="1047">
        <f>'Working age (Holistic)'!F101</f>
        <v>1.1379858403547509</v>
      </c>
      <c r="M421" s="1047">
        <f>'Working age (Holistic)'!G101</f>
        <v>1.1024998034793749</v>
      </c>
      <c r="N421" s="1047">
        <f>'Working age (Holistic)'!H101</f>
        <v>1.0766767531565709</v>
      </c>
      <c r="O421" s="1047">
        <f>'Working age (Holistic)'!I101</f>
        <v>1.0539955292479177</v>
      </c>
      <c r="P421" s="1047">
        <f>'Working age (Holistic)'!J101</f>
        <v>1.0325452416827277</v>
      </c>
      <c r="Q421" s="1047">
        <f>'Working age (Holistic)'!K101</f>
        <v>1.0125828141550952</v>
      </c>
      <c r="R421" s="1047">
        <f>'Working age (Holistic)'!L101</f>
        <v>0.99461641629182718</v>
      </c>
      <c r="S421" s="74"/>
    </row>
    <row r="422" spans="2:19" s="100" customFormat="1" ht="12" customHeight="1">
      <c r="B422" s="322" t="s">
        <v>485</v>
      </c>
      <c r="C422" s="1048"/>
      <c r="D422" s="1048"/>
      <c r="E422" s="1048"/>
      <c r="F422" s="1048"/>
      <c r="G422" s="1048"/>
      <c r="H422" s="1048"/>
      <c r="I422" s="1048"/>
      <c r="J422" s="1048"/>
      <c r="K422" s="1048"/>
      <c r="L422" s="1048"/>
      <c r="M422" s="1048"/>
      <c r="N422" s="1048"/>
      <c r="O422" s="1048"/>
      <c r="P422" s="1048"/>
      <c r="Q422" s="1048"/>
      <c r="R422" s="1048"/>
      <c r="S422" s="192"/>
    </row>
    <row r="423" spans="2:19" s="100" customFormat="1" ht="3" customHeight="1">
      <c r="B423" s="322"/>
      <c r="C423" s="1048"/>
      <c r="D423" s="1048"/>
      <c r="E423" s="1048"/>
      <c r="F423" s="1048"/>
      <c r="G423" s="1048"/>
      <c r="H423" s="1048"/>
      <c r="I423" s="1048"/>
      <c r="J423" s="1048"/>
      <c r="K423" s="1048"/>
      <c r="L423" s="1048"/>
      <c r="M423" s="1048"/>
      <c r="N423" s="1048"/>
      <c r="O423" s="1048"/>
      <c r="P423" s="1048"/>
      <c r="Q423" s="1048"/>
      <c r="R423" s="1048"/>
      <c r="S423" s="192"/>
    </row>
    <row r="424" spans="2:19" s="61" customFormat="1" ht="15">
      <c r="B424" s="203" t="s">
        <v>723</v>
      </c>
      <c r="C424" s="1048"/>
      <c r="D424" s="1048"/>
      <c r="E424" s="1048"/>
      <c r="F424" s="1048"/>
      <c r="G424" s="1048"/>
      <c r="H424" s="1048"/>
      <c r="I424" s="1048"/>
      <c r="J424" s="1048"/>
      <c r="K424" s="1048"/>
      <c r="L424" s="1048"/>
      <c r="M424" s="1047"/>
      <c r="N424" s="1048"/>
      <c r="O424" s="1048"/>
      <c r="P424" s="1048"/>
      <c r="Q424" s="1048"/>
      <c r="R424" s="1047"/>
      <c r="S424" s="74"/>
    </row>
    <row r="425" spans="2:19" s="61" customFormat="1" ht="15">
      <c r="B425" s="1053" t="s">
        <v>489</v>
      </c>
      <c r="C425" s="1048"/>
      <c r="D425" s="1048"/>
      <c r="E425" s="1048"/>
      <c r="F425" s="1048"/>
      <c r="G425" s="1048"/>
      <c r="H425" s="1047">
        <f>H416+H419+H421</f>
        <v>0</v>
      </c>
      <c r="I425" s="1047">
        <f t="shared" ref="I425:R425" si="102">I416+I419+I421</f>
        <v>0.73694974416044845</v>
      </c>
      <c r="J425" s="1047">
        <f t="shared" si="102"/>
        <v>1.5079190702771905</v>
      </c>
      <c r="K425" s="1047">
        <f t="shared" si="102"/>
        <v>1.7678719680920025</v>
      </c>
      <c r="L425" s="1047">
        <f t="shared" si="102"/>
        <v>2.0146078448307558</v>
      </c>
      <c r="M425" s="1047">
        <f t="shared" si="102"/>
        <v>2.1667330783923386</v>
      </c>
      <c r="N425" s="1047">
        <f t="shared" si="102"/>
        <v>2.3250990312568409</v>
      </c>
      <c r="O425" s="1047">
        <f t="shared" si="102"/>
        <v>2.3131622385922666</v>
      </c>
      <c r="P425" s="1047">
        <f t="shared" si="102"/>
        <v>2.2959657640307451</v>
      </c>
      <c r="Q425" s="1047">
        <f t="shared" si="102"/>
        <v>2.3112257646732717</v>
      </c>
      <c r="R425" s="1047">
        <f t="shared" si="102"/>
        <v>2.3015531376975344</v>
      </c>
      <c r="S425" s="74"/>
    </row>
    <row r="426" spans="2:19" s="254" customFormat="1" ht="15">
      <c r="B426" s="1053" t="s">
        <v>682</v>
      </c>
      <c r="C426" s="1048">
        <v>0</v>
      </c>
      <c r="D426" s="1048">
        <v>0</v>
      </c>
      <c r="E426" s="1048">
        <v>0</v>
      </c>
      <c r="F426" s="1048">
        <v>0</v>
      </c>
      <c r="G426" s="1048">
        <v>0</v>
      </c>
      <c r="H426" s="1047">
        <f>H417+H419+H421</f>
        <v>0</v>
      </c>
      <c r="I426" s="1047">
        <f t="shared" ref="I426:R426" si="103">I417+I419+I421</f>
        <v>0.75922907326441358</v>
      </c>
      <c r="J426" s="1047">
        <f t="shared" si="103"/>
        <v>1.5666728898567817</v>
      </c>
      <c r="K426" s="1047">
        <f t="shared" si="103"/>
        <v>1.8368197360920981</v>
      </c>
      <c r="L426" s="1047">
        <f t="shared" si="103"/>
        <v>2.0824070741658618</v>
      </c>
      <c r="M426" s="1047">
        <f t="shared" si="103"/>
        <v>2.2440117945141123</v>
      </c>
      <c r="N426" s="1047">
        <f t="shared" si="103"/>
        <v>2.4149607713213106</v>
      </c>
      <c r="O426" s="1047">
        <f t="shared" si="103"/>
        <v>2.3841277271346124</v>
      </c>
      <c r="P426" s="1047">
        <f t="shared" si="103"/>
        <v>2.3718693021404071</v>
      </c>
      <c r="Q426" s="1047">
        <f t="shared" si="103"/>
        <v>2.3909862320390789</v>
      </c>
      <c r="R426" s="1047">
        <f t="shared" si="103"/>
        <v>2.4542188465145145</v>
      </c>
      <c r="S426" s="408"/>
    </row>
    <row r="427" spans="2:19" s="68" customFormat="1" ht="25.5">
      <c r="B427" s="1053" t="s">
        <v>683</v>
      </c>
      <c r="C427" s="1051">
        <v>0</v>
      </c>
      <c r="D427" s="1051">
        <v>0</v>
      </c>
      <c r="E427" s="1051">
        <v>0</v>
      </c>
      <c r="F427" s="1051">
        <v>0</v>
      </c>
      <c r="G427" s="1051">
        <v>0</v>
      </c>
      <c r="H427" s="1052">
        <f>H417+H420+H421</f>
        <v>0</v>
      </c>
      <c r="I427" s="1052">
        <f t="shared" ref="I427:R427" si="104">I417+I420+I421</f>
        <v>0.65101594984505917</v>
      </c>
      <c r="J427" s="1052">
        <f t="shared" si="104"/>
        <v>1.3485543516599847</v>
      </c>
      <c r="K427" s="1052">
        <f t="shared" si="104"/>
        <v>1.5875799099394117</v>
      </c>
      <c r="L427" s="1052">
        <f t="shared" si="104"/>
        <v>1.8073575467572938</v>
      </c>
      <c r="M427" s="1052">
        <f t="shared" si="104"/>
        <v>1.9042089813359109</v>
      </c>
      <c r="N427" s="1052">
        <f t="shared" si="104"/>
        <v>2.0183989573703252</v>
      </c>
      <c r="O427" s="1052">
        <f t="shared" si="104"/>
        <v>2.0115250590587315</v>
      </c>
      <c r="P427" s="1052">
        <f t="shared" si="104"/>
        <v>2.0201361880375122</v>
      </c>
      <c r="Q427" s="1052">
        <f t="shared" si="104"/>
        <v>2.0574574775982422</v>
      </c>
      <c r="R427" s="1052">
        <f t="shared" si="104"/>
        <v>2.1364898541272304</v>
      </c>
      <c r="S427" s="409"/>
    </row>
    <row r="428" spans="2:19" s="61" customFormat="1" ht="6" customHeight="1">
      <c r="B428" s="302"/>
      <c r="C428" s="231"/>
      <c r="D428" s="231"/>
      <c r="E428" s="231"/>
      <c r="F428" s="231"/>
      <c r="G428" s="231"/>
      <c r="H428" s="231"/>
      <c r="I428" s="231"/>
      <c r="J428" s="231"/>
      <c r="K428" s="231"/>
      <c r="L428" s="231"/>
      <c r="M428" s="231"/>
      <c r="N428" s="231"/>
      <c r="O428" s="231"/>
      <c r="P428" s="231"/>
      <c r="Q428" s="231"/>
      <c r="R428" s="231"/>
      <c r="S428" s="74"/>
    </row>
    <row r="429" spans="2:19" s="61" customFormat="1" ht="25.5">
      <c r="B429" s="203" t="s">
        <v>435</v>
      </c>
      <c r="C429" s="231"/>
      <c r="D429" s="231"/>
      <c r="E429" s="231"/>
      <c r="F429" s="231"/>
      <c r="G429" s="231"/>
      <c r="H429" s="231"/>
      <c r="I429" s="231"/>
      <c r="J429" s="231"/>
      <c r="K429" s="231"/>
      <c r="L429" s="231"/>
      <c r="M429" s="1465">
        <f>M416+M419+M421</f>
        <v>2.1667330783923386</v>
      </c>
      <c r="N429" s="1465">
        <f>N416+N419+N421</f>
        <v>2.3250990312568409</v>
      </c>
      <c r="O429" s="1465">
        <f>O416+O419+O421</f>
        <v>2.3131622385922666</v>
      </c>
      <c r="P429" s="1465">
        <f>P416+P419+P421</f>
        <v>2.2959657640307451</v>
      </c>
      <c r="Q429" s="231"/>
      <c r="R429" s="1465">
        <f>R416+R419+R421</f>
        <v>2.3015531376975344</v>
      </c>
      <c r="S429" s="74"/>
    </row>
    <row r="430" spans="2:19" s="254" customFormat="1" ht="12.75">
      <c r="B430" s="1053" t="s">
        <v>682</v>
      </c>
      <c r="C430" s="1044">
        <v>0</v>
      </c>
      <c r="D430" s="1044">
        <v>0</v>
      </c>
      <c r="E430" s="1044">
        <v>0</v>
      </c>
      <c r="F430" s="1044">
        <v>0</v>
      </c>
      <c r="G430" s="1044">
        <v>0</v>
      </c>
      <c r="H430" s="1043">
        <f>H$193-H426</f>
        <v>-6.4139757811575144</v>
      </c>
      <c r="I430" s="1043">
        <f t="shared" ref="I430:R430" si="105">I$193-I426</f>
        <v>-4.6963886847370935</v>
      </c>
      <c r="J430" s="1043">
        <f t="shared" si="105"/>
        <v>-5.3236959794639187</v>
      </c>
      <c r="K430" s="1043">
        <f t="shared" si="105"/>
        <v>-5.4013341283777372</v>
      </c>
      <c r="L430" s="1043">
        <f t="shared" si="105"/>
        <v>-5.4320526287006423</v>
      </c>
      <c r="M430" s="1043">
        <f t="shared" si="105"/>
        <v>-5.2821075911951771</v>
      </c>
      <c r="N430" s="1043">
        <f t="shared" si="105"/>
        <v>-5.3537759433849743</v>
      </c>
      <c r="O430" s="1043">
        <f t="shared" si="105"/>
        <v>-5.4135579768655386</v>
      </c>
      <c r="P430" s="1043">
        <f t="shared" si="105"/>
        <v>-5.3620659612023767</v>
      </c>
      <c r="Q430" s="1043">
        <f t="shared" si="105"/>
        <v>-5.3699239759289963</v>
      </c>
      <c r="R430" s="1043">
        <f t="shared" si="105"/>
        <v>-5.429996415138552</v>
      </c>
      <c r="S430" s="408"/>
    </row>
    <row r="431" spans="2:19" s="239" customFormat="1" ht="25.5">
      <c r="B431" s="1053" t="s">
        <v>683</v>
      </c>
      <c r="C431" s="1054">
        <v>0</v>
      </c>
      <c r="D431" s="1054">
        <v>0</v>
      </c>
      <c r="E431" s="1054">
        <v>0</v>
      </c>
      <c r="F431" s="1054">
        <v>0</v>
      </c>
      <c r="G431" s="1054">
        <v>0</v>
      </c>
      <c r="H431" s="728">
        <f>H$193-H427</f>
        <v>-6.4139757811575144</v>
      </c>
      <c r="I431" s="728">
        <f t="shared" ref="I431:R431" si="106">I$193-I427</f>
        <v>-4.5881755613177386</v>
      </c>
      <c r="J431" s="728">
        <f t="shared" si="106"/>
        <v>-5.1055774412671209</v>
      </c>
      <c r="K431" s="728">
        <f t="shared" si="106"/>
        <v>-5.1520943022250512</v>
      </c>
      <c r="L431" s="728">
        <f t="shared" si="106"/>
        <v>-5.1570031012920747</v>
      </c>
      <c r="M431" s="728">
        <f t="shared" si="106"/>
        <v>-4.9423047780169753</v>
      </c>
      <c r="N431" s="728">
        <f t="shared" si="106"/>
        <v>-4.9572141294339893</v>
      </c>
      <c r="O431" s="728">
        <f t="shared" si="106"/>
        <v>-5.0409553087896581</v>
      </c>
      <c r="P431" s="728">
        <f t="shared" si="106"/>
        <v>-5.0103328470994821</v>
      </c>
      <c r="Q431" s="728">
        <f t="shared" si="106"/>
        <v>-5.03639522148816</v>
      </c>
      <c r="R431" s="728">
        <f t="shared" si="106"/>
        <v>-5.1122674227512679</v>
      </c>
      <c r="S431" s="310"/>
    </row>
    <row r="432" spans="2:19" s="239" customFormat="1" ht="12.75">
      <c r="B432" s="1358" t="s">
        <v>1046</v>
      </c>
      <c r="C432" s="1359"/>
      <c r="D432" s="1359"/>
      <c r="E432" s="1359"/>
      <c r="F432" s="1359"/>
      <c r="G432" s="1359"/>
      <c r="H432" s="1360"/>
      <c r="I432" s="1360"/>
      <c r="J432" s="1360"/>
      <c r="K432" s="1360"/>
      <c r="L432" s="1360"/>
      <c r="M432" s="1360"/>
      <c r="N432" s="1360"/>
      <c r="O432" s="1360"/>
      <c r="P432" s="1360"/>
      <c r="Q432" s="1360"/>
      <c r="R432" s="1360"/>
      <c r="S432" s="256"/>
    </row>
    <row r="433" spans="2:26" s="239" customFormat="1" ht="12.75">
      <c r="B433" s="1357" t="s">
        <v>1047</v>
      </c>
      <c r="C433" s="1362">
        <f>'Interest "modest scenario"'!C99</f>
        <v>0</v>
      </c>
      <c r="D433" s="1359"/>
      <c r="E433" s="1359"/>
      <c r="F433" s="1359"/>
      <c r="G433" s="1359"/>
      <c r="H433" s="1360"/>
      <c r="I433" s="1360"/>
      <c r="J433" s="1360"/>
      <c r="K433" s="1360"/>
      <c r="L433" s="1360"/>
      <c r="M433" s="1360"/>
      <c r="N433" s="1360"/>
      <c r="O433" s="1360"/>
      <c r="P433" s="1360"/>
      <c r="Q433" s="1360"/>
      <c r="R433" s="1360"/>
      <c r="S433" s="256"/>
    </row>
    <row r="434" spans="2:26" s="100" customFormat="1" ht="12" customHeight="1">
      <c r="B434" s="1357" t="s">
        <v>682</v>
      </c>
      <c r="C434" s="1361"/>
      <c r="D434" s="1361"/>
      <c r="E434" s="1361"/>
      <c r="F434" s="1361"/>
      <c r="G434" s="1361"/>
      <c r="H434" s="1361"/>
      <c r="I434" s="1361"/>
      <c r="J434" s="1361"/>
      <c r="K434" s="1361"/>
      <c r="L434" s="1361"/>
      <c r="M434" s="1361"/>
      <c r="N434" s="1361"/>
      <c r="O434" s="1361"/>
      <c r="P434" s="1361"/>
      <c r="Q434" s="1361"/>
      <c r="R434" s="1361"/>
      <c r="S434" s="192"/>
    </row>
    <row r="435" spans="2:26" s="100" customFormat="1" ht="12" customHeight="1">
      <c r="B435" s="1357" t="s">
        <v>683</v>
      </c>
      <c r="C435" s="1361"/>
      <c r="D435" s="1361"/>
      <c r="E435" s="1361"/>
      <c r="F435" s="1361"/>
      <c r="G435" s="1361"/>
      <c r="H435" s="1361"/>
      <c r="I435" s="1361"/>
      <c r="J435" s="1361"/>
      <c r="K435" s="1361"/>
      <c r="L435" s="1361"/>
      <c r="M435" s="1361"/>
      <c r="N435" s="1361"/>
      <c r="O435" s="1361"/>
      <c r="P435" s="1361"/>
      <c r="Q435" s="1361"/>
      <c r="R435" s="1361"/>
      <c r="S435" s="192"/>
    </row>
    <row r="436" spans="2:26" s="100" customFormat="1" ht="12.75">
      <c r="B436" s="322"/>
      <c r="S436" s="192"/>
    </row>
    <row r="437" spans="2:26" s="100" customFormat="1" ht="12.75">
      <c r="B437" s="203" t="s">
        <v>722</v>
      </c>
      <c r="S437" s="192"/>
    </row>
    <row r="438" spans="2:26" s="100" customFormat="1">
      <c r="B438" s="662"/>
      <c r="C438" s="663">
        <v>2005</v>
      </c>
      <c r="D438" s="664">
        <v>2006</v>
      </c>
      <c r="E438" s="664">
        <v>2007</v>
      </c>
      <c r="F438" s="664">
        <v>2008</v>
      </c>
      <c r="G438" s="664">
        <v>2009</v>
      </c>
      <c r="H438" s="664">
        <v>2010</v>
      </c>
      <c r="I438" s="665">
        <v>2011</v>
      </c>
      <c r="J438" s="665">
        <v>2012</v>
      </c>
      <c r="K438" s="665">
        <v>2013</v>
      </c>
      <c r="L438" s="665">
        <v>2014</v>
      </c>
      <c r="M438" s="665">
        <v>2015</v>
      </c>
      <c r="N438" s="665">
        <v>2016</v>
      </c>
      <c r="O438" s="665">
        <v>2017</v>
      </c>
      <c r="P438" s="665">
        <v>2018</v>
      </c>
      <c r="Q438" s="665">
        <v>2019</v>
      </c>
      <c r="R438" s="665">
        <v>2020</v>
      </c>
      <c r="S438" s="662" t="s">
        <v>744</v>
      </c>
    </row>
    <row r="439" spans="2:26" s="100" customFormat="1" ht="15">
      <c r="B439" s="308" t="s">
        <v>1112</v>
      </c>
      <c r="C439" s="1045">
        <v>0</v>
      </c>
      <c r="D439" s="1046">
        <v>0</v>
      </c>
      <c r="E439" s="1046">
        <v>0</v>
      </c>
      <c r="F439" s="1046">
        <v>0</v>
      </c>
      <c r="G439" s="1046">
        <v>0</v>
      </c>
      <c r="H439" s="1047">
        <f>'PENS (Universal)'!B157</f>
        <v>0</v>
      </c>
      <c r="I439" s="1047">
        <f>'PENS (Universal)'!C157</f>
        <v>0.24109601859784685</v>
      </c>
      <c r="J439" s="1047">
        <f>'PENS (Universal)'!D157</f>
        <v>0.54079789046632243</v>
      </c>
      <c r="K439" s="1047">
        <f>'PENS (Universal)'!E157</f>
        <v>0.69754411056516819</v>
      </c>
      <c r="L439" s="1047">
        <f>'PENS (Universal)'!F157</f>
        <v>0.87667652614225122</v>
      </c>
      <c r="M439" s="1047">
        <f>'PENS (Universal)'!G157</f>
        <v>1.0206757472346473</v>
      </c>
      <c r="N439" s="1047">
        <f>'PENS (Universal)'!H157</f>
        <v>1.2096776296827865</v>
      </c>
      <c r="O439" s="1047">
        <f>'PENS (Universal)'!I157</f>
        <v>1.4075682637250362</v>
      </c>
      <c r="P439" s="1047">
        <f>'PENS (Universal)'!J157</f>
        <v>1.5683937562422177</v>
      </c>
      <c r="Q439" s="1047">
        <f>'PENS (Universal)'!K157</f>
        <v>1.8121078388467649</v>
      </c>
      <c r="R439" s="1047">
        <f>'PENS (Universal)'!L157</f>
        <v>1.954036875255877</v>
      </c>
      <c r="S439" s="192"/>
    </row>
    <row r="440" spans="2:26" s="100" customFormat="1" ht="15">
      <c r="B440" s="308" t="s">
        <v>1113</v>
      </c>
      <c r="C440" s="1045"/>
      <c r="D440" s="1046"/>
      <c r="E440" s="1046"/>
      <c r="F440" s="1046"/>
      <c r="G440" s="1046"/>
      <c r="H440" s="1047">
        <f>'PENS (Universal)'!B256</f>
        <v>0</v>
      </c>
      <c r="I440" s="1047">
        <f>'PENS (Universal)'!C256</f>
        <v>0.31132789871871491</v>
      </c>
      <c r="J440" s="1047">
        <f>'PENS (Universal)'!D256</f>
        <v>0.72524281168247784</v>
      </c>
      <c r="K440" s="1047">
        <f>'PENS (Universal)'!E256</f>
        <v>0.91509823826438896</v>
      </c>
      <c r="L440" s="1047">
        <f>'PENS (Universal)'!F256</f>
        <v>1.0912218666103004</v>
      </c>
      <c r="M440" s="1047">
        <f>'PENS (Universal)'!G256</f>
        <v>1.2659825378481531</v>
      </c>
      <c r="N440" s="1047">
        <f>'PENS (Universal)'!H256</f>
        <v>1.49628385944236</v>
      </c>
      <c r="O440" s="1047">
        <f>'PENS (Universal)'!I256</f>
        <v>1.6344720075093091</v>
      </c>
      <c r="P440" s="1047">
        <f>'PENS (Universal)'!J256</f>
        <v>1.8122797950112064</v>
      </c>
      <c r="Q440" s="1047">
        <f>'PENS (Universal)'!K256</f>
        <v>2.0695915352798795</v>
      </c>
      <c r="R440" s="1047">
        <f>'PENS (Universal)'!L256</f>
        <v>2.4491624334452364</v>
      </c>
      <c r="S440" s="192"/>
    </row>
    <row r="441" spans="2:26" s="254" customFormat="1" ht="15">
      <c r="B441" s="321" t="s">
        <v>483</v>
      </c>
      <c r="C441" s="1045">
        <v>0</v>
      </c>
      <c r="D441" s="1046">
        <v>0</v>
      </c>
      <c r="E441" s="1046">
        <v>0</v>
      </c>
      <c r="F441" s="1046">
        <v>0</v>
      </c>
      <c r="G441" s="1046">
        <v>0</v>
      </c>
      <c r="H441" s="1047">
        <f>'CHILD (Holistic benefit)'!B152</f>
        <v>0</v>
      </c>
      <c r="I441" s="1047">
        <f>'CHILD (Holistic benefit)'!C152</f>
        <v>3.5153731410486793</v>
      </c>
      <c r="J441" s="1047">
        <f>'CHILD (Holistic benefit)'!D152</f>
        <v>7.2595807014724434</v>
      </c>
      <c r="K441" s="1047">
        <f>'CHILD (Holistic benefit)'!E152</f>
        <v>8.5962642577341644</v>
      </c>
      <c r="L441" s="1047">
        <f>'CHILD (Holistic benefit)'!F152</f>
        <v>9.8092034892004136</v>
      </c>
      <c r="M441" s="1047">
        <f>'CHILD (Holistic benefit)'!G152</f>
        <v>12.534512573138038</v>
      </c>
      <c r="N441" s="1047">
        <f>'CHILD (Holistic benefit)'!H152</f>
        <v>15.155617207811714</v>
      </c>
      <c r="O441" s="1047">
        <f>'CHILD (Holistic benefit)'!I152</f>
        <v>14.720636169390355</v>
      </c>
      <c r="P441" s="1047">
        <f>'CHILD (Holistic benefit)'!J152</f>
        <v>14.400257129397854</v>
      </c>
      <c r="Q441" s="1047">
        <f>'CHILD (Holistic benefit)'!K152</f>
        <v>14.147620643524851</v>
      </c>
      <c r="R441" s="1047">
        <f>'CHILD (Holistic benefit)'!L152</f>
        <v>13.963156094270529</v>
      </c>
      <c r="S441" s="408"/>
      <c r="Z441" s="254" t="s">
        <v>695</v>
      </c>
    </row>
    <row r="442" spans="2:26" s="254" customFormat="1" ht="26.25">
      <c r="B442" s="1042" t="s">
        <v>1114</v>
      </c>
      <c r="C442" s="1045">
        <v>0</v>
      </c>
      <c r="D442" s="1046">
        <v>0</v>
      </c>
      <c r="E442" s="1046">
        <v>0</v>
      </c>
      <c r="F442" s="1046">
        <v>0</v>
      </c>
      <c r="G442" s="1046">
        <v>0</v>
      </c>
      <c r="H442" s="1047">
        <f>'CHILD (Holistic benefit)'!B223</f>
        <v>0</v>
      </c>
      <c r="I442" s="1047">
        <f>'CHILD (Holistic benefit)'!C223</f>
        <v>0.74571915844744829</v>
      </c>
      <c r="J442" s="1047">
        <f>'CHILD (Holistic benefit)'!D223</f>
        <v>1.4854410615173035</v>
      </c>
      <c r="K442" s="1047">
        <f>'CHILD (Holistic benefit)'!E223</f>
        <v>1.7100441461645128</v>
      </c>
      <c r="L442" s="1047">
        <f>'CHILD (Holistic benefit)'!F223</f>
        <v>1.8973250112867821</v>
      </c>
      <c r="M442" s="1047">
        <f>'CHILD (Holistic benefit)'!G223</f>
        <v>2.3575331857608517</v>
      </c>
      <c r="N442" s="1047">
        <f>'CHILD (Holistic benefit)'!H223</f>
        <v>2.7720569997320954</v>
      </c>
      <c r="O442" s="1047">
        <f>'CHILD (Holistic benefit)'!I223</f>
        <v>2.618468141678834</v>
      </c>
      <c r="P442" s="1047">
        <f>'CHILD (Holistic benefit)'!J223</f>
        <v>2.4911090570486931</v>
      </c>
      <c r="Q442" s="1047">
        <f>'CHILD (Holistic benefit)'!K223</f>
        <v>2.3801868942401723</v>
      </c>
      <c r="R442" s="1047">
        <f>'CHILD (Holistic benefit)'!L223</f>
        <v>2.2846214241002007</v>
      </c>
      <c r="S442" s="408"/>
    </row>
    <row r="443" spans="2:26" s="100" customFormat="1" ht="26.25">
      <c r="B443" s="308" t="s">
        <v>679</v>
      </c>
      <c r="C443" s="1045">
        <v>0</v>
      </c>
      <c r="D443" s="1046">
        <v>0</v>
      </c>
      <c r="E443" s="1046">
        <v>0</v>
      </c>
      <c r="F443" s="1046">
        <v>0</v>
      </c>
      <c r="G443" s="1046">
        <v>0</v>
      </c>
      <c r="H443" s="1047">
        <f>'CHILD (Holistic benefit)'!B$259</f>
        <v>0</v>
      </c>
      <c r="I443" s="1047">
        <f>'CHILD (Holistic benefit)'!C$259</f>
        <v>0.40459528186984506</v>
      </c>
      <c r="J443" s="1047">
        <f>'CHILD (Holistic benefit)'!D$259</f>
        <v>0.80070504126601838</v>
      </c>
      <c r="K443" s="1047">
        <f>'CHILD (Holistic benefit)'!E$259</f>
        <v>0.92360602729055563</v>
      </c>
      <c r="L443" s="1047">
        <f>'CHILD (Holistic benefit)'!F$259</f>
        <v>1.0269523671999292</v>
      </c>
      <c r="M443" s="1047">
        <f>'CHILD (Holistic benefit)'!G$259</f>
        <v>1.2788928857481672</v>
      </c>
      <c r="N443" s="1047">
        <f>'CHILD (Holistic benefit)'!H$259</f>
        <v>1.5072574723518282</v>
      </c>
      <c r="O443" s="1047">
        <f>'CHILD (Holistic benefit)'!I$259</f>
        <v>1.4271152451229658</v>
      </c>
      <c r="P443" s="1047">
        <f>'CHILD (Holistic benefit)'!J$259</f>
        <v>1.3609536250515548</v>
      </c>
      <c r="Q443" s="1047">
        <f>'CHILD (Holistic benefit)'!K$259</f>
        <v>1.3034853728424358</v>
      </c>
      <c r="R443" s="1047">
        <f>'CHILD (Holistic benefit)'!L$259</f>
        <v>1.2541624826145834</v>
      </c>
      <c r="S443" s="192"/>
    </row>
    <row r="444" spans="2:26" s="100" customFormat="1" ht="15">
      <c r="B444" s="308" t="s">
        <v>1111</v>
      </c>
      <c r="C444" s="1045">
        <v>0</v>
      </c>
      <c r="D444" s="1046">
        <v>0</v>
      </c>
      <c r="E444" s="1046">
        <v>0</v>
      </c>
      <c r="F444" s="1046">
        <v>0</v>
      </c>
      <c r="G444" s="1046">
        <v>0</v>
      </c>
      <c r="H444" s="1047">
        <f>'Working age (Holistic)'!B109</f>
        <v>0</v>
      </c>
      <c r="I444" s="1047">
        <f>'Working age (Holistic)'!C109</f>
        <v>1.3362963424021006</v>
      </c>
      <c r="J444" s="1047">
        <f>'Working age (Holistic)'!D109</f>
        <v>2.7075471423969746</v>
      </c>
      <c r="K444" s="1047">
        <f>'Working age (Holistic)'!E109</f>
        <v>3.1706611204166157</v>
      </c>
      <c r="L444" s="1047">
        <f>'Working age (Holistic)'!F109</f>
        <v>3.6010668846984872</v>
      </c>
      <c r="M444" s="1047">
        <f>'Working age (Holistic)'!G109</f>
        <v>3.4996788509966534</v>
      </c>
      <c r="N444" s="1047">
        <f>'Working age (Holistic)'!H109</f>
        <v>3.4339671663446332</v>
      </c>
      <c r="O444" s="1047">
        <f>'Working age (Holistic)'!I109</f>
        <v>3.3700258594786061</v>
      </c>
      <c r="P444" s="1047">
        <f>'Working age (Holistic)'!J109</f>
        <v>3.3176762917157721</v>
      </c>
      <c r="Q444" s="1047">
        <f>'Working age (Holistic)'!K109</f>
        <v>3.2688319733325653</v>
      </c>
      <c r="R444" s="1047">
        <f>'Working age (Holistic)'!L109</f>
        <v>3.2257408170892203</v>
      </c>
      <c r="S444" s="192"/>
    </row>
    <row r="445" spans="2:26" s="100" customFormat="1" ht="15" customHeight="1">
      <c r="B445" s="322" t="s">
        <v>485</v>
      </c>
      <c r="C445" s="1045">
        <v>0</v>
      </c>
      <c r="D445" s="1046">
        <v>0</v>
      </c>
      <c r="E445" s="1046">
        <v>0</v>
      </c>
      <c r="F445" s="1046">
        <v>0</v>
      </c>
      <c r="G445" s="1046">
        <v>0</v>
      </c>
      <c r="H445" s="1048"/>
      <c r="I445" s="1048"/>
      <c r="J445" s="1048"/>
      <c r="K445" s="1048"/>
      <c r="L445" s="1048"/>
      <c r="M445" s="1048"/>
      <c r="N445" s="1048"/>
      <c r="O445" s="1048"/>
      <c r="P445" s="1048"/>
      <c r="Q445" s="1048"/>
      <c r="R445" s="1048"/>
      <c r="S445" s="192"/>
    </row>
    <row r="446" spans="2:26" s="61" customFormat="1" ht="6" customHeight="1">
      <c r="B446" s="302"/>
      <c r="C446" s="1048"/>
      <c r="D446" s="1048"/>
      <c r="E446" s="1048"/>
      <c r="F446" s="1048"/>
      <c r="G446" s="1048"/>
      <c r="H446" s="1048"/>
      <c r="I446" s="1048"/>
      <c r="J446" s="1048"/>
      <c r="K446" s="1048"/>
      <c r="L446" s="1048"/>
      <c r="M446" s="1048"/>
      <c r="N446" s="1048"/>
      <c r="O446" s="1048"/>
      <c r="P446" s="1048"/>
      <c r="Q446" s="1048"/>
      <c r="R446" s="1048"/>
      <c r="S446" s="74"/>
    </row>
    <row r="447" spans="2:26" s="61" customFormat="1" ht="15">
      <c r="B447" s="203" t="s">
        <v>723</v>
      </c>
      <c r="C447" s="1048"/>
      <c r="D447" s="1048"/>
      <c r="E447" s="1048"/>
      <c r="F447" s="1048"/>
      <c r="G447" s="1048"/>
      <c r="H447" s="1048"/>
      <c r="I447" s="1048"/>
      <c r="J447" s="1048"/>
      <c r="K447" s="1048"/>
      <c r="L447" s="1048"/>
      <c r="M447" s="1048"/>
      <c r="N447" s="1048"/>
      <c r="O447" s="1048"/>
      <c r="P447" s="1048"/>
      <c r="Q447" s="1048"/>
      <c r="R447" s="1047"/>
      <c r="S447" s="74"/>
    </row>
    <row r="448" spans="2:26" s="61" customFormat="1" ht="15">
      <c r="B448" s="1053" t="s">
        <v>489</v>
      </c>
      <c r="C448" s="1048"/>
      <c r="D448" s="1048"/>
      <c r="E448" s="1048"/>
      <c r="F448" s="1048"/>
      <c r="G448" s="1048"/>
      <c r="H448" s="1047">
        <f>H439+H442+H444</f>
        <v>0</v>
      </c>
      <c r="I448" s="1047">
        <f t="shared" ref="I448:R448" si="107">I439+I442+I444</f>
        <v>2.3231115194473957</v>
      </c>
      <c r="J448" s="1047">
        <f t="shared" si="107"/>
        <v>4.7337860943806005</v>
      </c>
      <c r="K448" s="1047">
        <f t="shared" si="107"/>
        <v>5.5782493771462969</v>
      </c>
      <c r="L448" s="1047">
        <f t="shared" si="107"/>
        <v>6.3750684221275211</v>
      </c>
      <c r="M448" s="1047">
        <f t="shared" si="107"/>
        <v>6.8778877839921524</v>
      </c>
      <c r="N448" s="1047">
        <f t="shared" si="107"/>
        <v>7.4157017957595155</v>
      </c>
      <c r="O448" s="1047">
        <f t="shared" si="107"/>
        <v>7.3960622648824756</v>
      </c>
      <c r="P448" s="1047">
        <f t="shared" si="107"/>
        <v>7.3771791050066824</v>
      </c>
      <c r="Q448" s="1047">
        <f t="shared" si="107"/>
        <v>7.4611267064195026</v>
      </c>
      <c r="R448" s="1047">
        <f t="shared" si="107"/>
        <v>7.4643991164452981</v>
      </c>
      <c r="S448" s="74"/>
    </row>
    <row r="449" spans="2:20" s="254" customFormat="1" ht="15">
      <c r="B449" s="1053" t="s">
        <v>682</v>
      </c>
      <c r="C449" s="1048">
        <v>0</v>
      </c>
      <c r="D449" s="1048">
        <v>0</v>
      </c>
      <c r="E449" s="1048">
        <v>0</v>
      </c>
      <c r="F449" s="1048">
        <v>0</v>
      </c>
      <c r="G449" s="1048">
        <v>0</v>
      </c>
      <c r="H449" s="1047">
        <f>H440+H442+H444</f>
        <v>0</v>
      </c>
      <c r="I449" s="1047">
        <f t="shared" ref="I449:R449" si="108">I440+I442+I444</f>
        <v>2.3933433995682636</v>
      </c>
      <c r="J449" s="1047">
        <f t="shared" si="108"/>
        <v>4.9182310155967564</v>
      </c>
      <c r="K449" s="1047">
        <f t="shared" si="108"/>
        <v>5.7958035048455177</v>
      </c>
      <c r="L449" s="1047">
        <f t="shared" si="108"/>
        <v>6.5896137625955697</v>
      </c>
      <c r="M449" s="1047">
        <f t="shared" si="108"/>
        <v>7.1231945746056589</v>
      </c>
      <c r="N449" s="1047">
        <f t="shared" si="108"/>
        <v>7.7023080255190886</v>
      </c>
      <c r="O449" s="1047">
        <f t="shared" si="108"/>
        <v>7.622966008666749</v>
      </c>
      <c r="P449" s="1047">
        <f t="shared" si="108"/>
        <v>7.621065143775672</v>
      </c>
      <c r="Q449" s="1047">
        <f t="shared" si="108"/>
        <v>7.718610402852617</v>
      </c>
      <c r="R449" s="1047">
        <f t="shared" si="108"/>
        <v>7.9595246746346575</v>
      </c>
      <c r="S449" s="408"/>
    </row>
    <row r="450" spans="2:20" s="61" customFormat="1" ht="26.25">
      <c r="B450" s="1053" t="s">
        <v>683</v>
      </c>
      <c r="C450" s="1049">
        <v>0</v>
      </c>
      <c r="D450" s="1049">
        <v>0</v>
      </c>
      <c r="E450" s="1049">
        <v>0</v>
      </c>
      <c r="F450" s="1049">
        <v>0</v>
      </c>
      <c r="G450" s="1049">
        <v>0</v>
      </c>
      <c r="H450" s="1050">
        <f>H440+H443+H444</f>
        <v>0</v>
      </c>
      <c r="I450" s="1050">
        <f t="shared" ref="I450:R450" si="109">I440+I443+I444</f>
        <v>2.0522195229906606</v>
      </c>
      <c r="J450" s="1050">
        <f t="shared" si="109"/>
        <v>4.2334949953454704</v>
      </c>
      <c r="K450" s="1050">
        <f t="shared" si="109"/>
        <v>5.0093653859715603</v>
      </c>
      <c r="L450" s="1050">
        <f t="shared" si="109"/>
        <v>5.7192411185087169</v>
      </c>
      <c r="M450" s="1050">
        <f t="shared" si="109"/>
        <v>6.0445542745929739</v>
      </c>
      <c r="N450" s="1050">
        <f t="shared" si="109"/>
        <v>6.4375084981388211</v>
      </c>
      <c r="O450" s="1050">
        <f t="shared" si="109"/>
        <v>6.431613112110881</v>
      </c>
      <c r="P450" s="1050">
        <f t="shared" si="109"/>
        <v>6.4909097117785333</v>
      </c>
      <c r="Q450" s="1050">
        <f t="shared" si="109"/>
        <v>6.6419088814548806</v>
      </c>
      <c r="R450" s="1050">
        <f t="shared" si="109"/>
        <v>6.9290657331490397</v>
      </c>
      <c r="S450" s="401"/>
    </row>
    <row r="451" spans="2:20" s="61" customFormat="1" ht="12.75">
      <c r="B451" s="302"/>
      <c r="S451" s="74"/>
    </row>
    <row r="452" spans="2:20" s="61" customFormat="1" ht="25.5">
      <c r="B452" s="203" t="s">
        <v>724</v>
      </c>
      <c r="S452" s="74"/>
    </row>
    <row r="453" spans="2:20" s="61" customFormat="1" ht="12.75">
      <c r="B453" s="203"/>
      <c r="S453" s="74"/>
    </row>
    <row r="454" spans="2:20" s="61" customFormat="1">
      <c r="B454" s="662"/>
      <c r="C454" s="663">
        <v>2005</v>
      </c>
      <c r="D454" s="664">
        <v>2006</v>
      </c>
      <c r="E454" s="664">
        <v>2007</v>
      </c>
      <c r="F454" s="664">
        <v>2008</v>
      </c>
      <c r="G454" s="664">
        <v>2009</v>
      </c>
      <c r="H454" s="664">
        <v>2010</v>
      </c>
      <c r="I454" s="665">
        <v>2011</v>
      </c>
      <c r="J454" s="665">
        <v>2012</v>
      </c>
      <c r="K454" s="665">
        <v>2013</v>
      </c>
      <c r="L454" s="665">
        <v>2014</v>
      </c>
      <c r="M454" s="665">
        <v>2015</v>
      </c>
      <c r="N454" s="665">
        <v>2016</v>
      </c>
      <c r="O454" s="665">
        <v>2017</v>
      </c>
      <c r="P454" s="665">
        <v>2018</v>
      </c>
      <c r="Q454" s="665">
        <v>2019</v>
      </c>
      <c r="R454" s="665">
        <v>2020</v>
      </c>
      <c r="S454" s="662" t="s">
        <v>744</v>
      </c>
    </row>
    <row r="455" spans="2:20" s="61" customFormat="1" ht="25.5">
      <c r="B455" s="306" t="s">
        <v>574</v>
      </c>
      <c r="C455" s="726">
        <f>C192</f>
        <v>-27618479.99999994</v>
      </c>
      <c r="D455" s="726">
        <f t="shared" ref="D455:R455" si="110">D192</f>
        <v>-1994000</v>
      </c>
      <c r="E455" s="726">
        <f t="shared" si="110"/>
        <v>-29020578.927000046</v>
      </c>
      <c r="F455" s="726">
        <f t="shared" si="110"/>
        <v>-17751780.480000079</v>
      </c>
      <c r="G455" s="726">
        <f t="shared" si="110"/>
        <v>-149132799.05000007</v>
      </c>
      <c r="H455" s="726">
        <f t="shared" si="110"/>
        <v>-127055318.54965544</v>
      </c>
      <c r="I455" s="726">
        <f t="shared" si="110"/>
        <v>-94797379.413874626</v>
      </c>
      <c r="J455" s="726">
        <f t="shared" si="110"/>
        <v>-103480561.07815969</v>
      </c>
      <c r="K455" s="726">
        <f t="shared" si="110"/>
        <v>-112741494.20138133</v>
      </c>
      <c r="L455" s="726">
        <f t="shared" si="110"/>
        <v>-121332145.14042068</v>
      </c>
      <c r="M455" s="726">
        <f t="shared" si="110"/>
        <v>-125452334.46962428</v>
      </c>
      <c r="N455" s="726">
        <f t="shared" si="110"/>
        <v>-137774714.18782163</v>
      </c>
      <c r="O455" s="726">
        <f t="shared" si="110"/>
        <v>-160957602.98911166</v>
      </c>
      <c r="P455" s="726">
        <f t="shared" si="110"/>
        <v>-180053277.402632</v>
      </c>
      <c r="Q455" s="726">
        <f t="shared" si="110"/>
        <v>-203353913.78968406</v>
      </c>
      <c r="R455" s="726">
        <f t="shared" si="110"/>
        <v>-230370658.71203423</v>
      </c>
      <c r="S455" s="74"/>
    </row>
    <row r="456" spans="2:20" s="61" customFormat="1" ht="14.25" customHeight="1">
      <c r="B456" s="308" t="s">
        <v>1112</v>
      </c>
      <c r="C456" s="725">
        <f>C416*ECO!B$64/100*-1</f>
        <v>0</v>
      </c>
      <c r="D456" s="725">
        <f>D416*ECO!C$64/100*-1</f>
        <v>0</v>
      </c>
      <c r="E456" s="725">
        <f>E416*ECO!D$64/100*-1</f>
        <v>0</v>
      </c>
      <c r="F456" s="725">
        <f>F416*ECO!E$64/100*-1</f>
        <v>0</v>
      </c>
      <c r="G456" s="725">
        <f>G416*ECO!F$64/100*-1</f>
        <v>0</v>
      </c>
      <c r="H456" s="725">
        <f>H416*ECO!G$64/100*-1</f>
        <v>0</v>
      </c>
      <c r="I456" s="725">
        <f>I416*ECO!H$64/100*-1</f>
        <v>-1841497.6255015361</v>
      </c>
      <c r="J456" s="725">
        <f>J416*ECO!I$64/100*-1</f>
        <v>-4744815.2147565279</v>
      </c>
      <c r="K456" s="725">
        <f>K416*ECO!J$64/100*-1</f>
        <v>-6992105.5243119467</v>
      </c>
      <c r="L456" s="725">
        <f>L416*ECO!K$64/100*-1</f>
        <v>-10035108.447804973</v>
      </c>
      <c r="M456" s="725">
        <f>M416*ECO!L$64/100*-1</f>
        <v>-13277472.376117788</v>
      </c>
      <c r="N456" s="725">
        <f>N416*ECO!M$64/100*-1</f>
        <v>-17780996.344951216</v>
      </c>
      <c r="O456" s="725">
        <f>O416*ECO!N$64/100*-1</f>
        <v>-23389747.840026889</v>
      </c>
      <c r="P456" s="725">
        <f>P416*ECO!O$64/100*-1</f>
        <v>-29392157.362494815</v>
      </c>
      <c r="Q456" s="725">
        <f>Q416*ECO!P$64/100*-1</f>
        <v>-38318906.057010323</v>
      </c>
      <c r="R456" s="725">
        <f>R416*ECO!Q$64/100*-1</f>
        <v>-46642906.694756396</v>
      </c>
      <c r="S456" s="74"/>
    </row>
    <row r="457" spans="2:20" s="61" customFormat="1" ht="12.75">
      <c r="B457" s="308" t="s">
        <v>1113</v>
      </c>
      <c r="C457" s="725"/>
      <c r="D457" s="725"/>
      <c r="E457" s="725"/>
      <c r="F457" s="725"/>
      <c r="G457" s="725"/>
      <c r="H457" s="725">
        <f>H417*ECO!G$64/100*-1</f>
        <v>0</v>
      </c>
      <c r="I457" s="725">
        <f>I417*ECO!H$64/100*-1</f>
        <v>-2377930.5422674296</v>
      </c>
      <c r="J457" s="725">
        <f>J417*ECO!I$64/100*-1</f>
        <v>-6363085.3372903774</v>
      </c>
      <c r="K457" s="725">
        <f>K417*ECO!J$64/100*-1</f>
        <v>-9172844.1974405963</v>
      </c>
      <c r="L457" s="725">
        <f>L417*ECO!K$64/100*-1</f>
        <v>-12490958.119110951</v>
      </c>
      <c r="M457" s="725">
        <f>M417*ECO!L$64/100*-1</f>
        <v>-16468548.626209343</v>
      </c>
      <c r="N457" s="725">
        <f>N417*ECO!M$64/100*-1</f>
        <v>-21993808.253469009</v>
      </c>
      <c r="O457" s="725">
        <f>O417*ECO!N$64/100*-1</f>
        <v>-27160237.334459651</v>
      </c>
      <c r="P457" s="725">
        <f>P417*ECO!O$64/100*-1</f>
        <v>-33962653.005877487</v>
      </c>
      <c r="Q457" s="725">
        <f>Q417*ECO!P$64/100*-1</f>
        <v>-43763666.773409732</v>
      </c>
      <c r="R457" s="725">
        <f>R417*ECO!Q$64/100*-1</f>
        <v>-58461565.546724759</v>
      </c>
      <c r="S457" s="74"/>
    </row>
    <row r="458" spans="2:20" s="61" customFormat="1" ht="25.5">
      <c r="B458" s="1042" t="s">
        <v>1114</v>
      </c>
      <c r="C458" s="725"/>
      <c r="D458" s="725"/>
      <c r="E458" s="725"/>
      <c r="F458" s="725"/>
      <c r="G458" s="725"/>
      <c r="H458" s="725">
        <f>H418*ECO!G$64/100*-1</f>
        <v>0</v>
      </c>
      <c r="I458" s="725">
        <f>I419*ECO!H$64/100*-1</f>
        <v>-5695822.2187093543</v>
      </c>
      <c r="J458" s="725">
        <f>J419*ECO!I$64/100*-1</f>
        <v>-13032860.285815598</v>
      </c>
      <c r="K458" s="725">
        <f>K419*ECO!J$64/100*-1</f>
        <v>-17141294.636587903</v>
      </c>
      <c r="L458" s="725">
        <f>L419*ECO!K$64/100*-1</f>
        <v>-21718229.793124631</v>
      </c>
      <c r="M458" s="725">
        <f>M419*ECO!L$64/100*-1</f>
        <v>-30667997.975388862</v>
      </c>
      <c r="N458" s="725">
        <f>N419*ECO!M$64/100*-1</f>
        <v>-40746339.496381462</v>
      </c>
      <c r="O458" s="725">
        <f>O419*ECO!N$64/100*-1</f>
        <v>-43511431.125144929</v>
      </c>
      <c r="P458" s="725">
        <f>P419*ECO!O$64/100*-1</f>
        <v>-46684111.767532147</v>
      </c>
      <c r="Q458" s="725">
        <f>Q419*ECO!P$64/100*-1</f>
        <v>-50331528.865611225</v>
      </c>
      <c r="R458" s="725">
        <f>R419*ECO!Q$64/100*-1</f>
        <v>-54533967.739576645</v>
      </c>
      <c r="S458" s="74"/>
    </row>
    <row r="459" spans="2:20" s="61" customFormat="1" ht="25.5">
      <c r="B459" s="308" t="s">
        <v>679</v>
      </c>
      <c r="C459" s="725">
        <f>C420*ECO!B$64/100*-1</f>
        <v>0</v>
      </c>
      <c r="D459" s="725">
        <f>D420*ECO!C$64/100*-1</f>
        <v>0</v>
      </c>
      <c r="E459" s="725">
        <f>E420*ECO!D$64/100*-1</f>
        <v>0</v>
      </c>
      <c r="F459" s="725">
        <f>F420*ECO!E$64/100*-1</f>
        <v>0</v>
      </c>
      <c r="G459" s="725">
        <f>G420*ECO!F$64/100*-1</f>
        <v>0</v>
      </c>
      <c r="H459" s="725">
        <f>H419*ECO!G$64/100*-1</f>
        <v>0</v>
      </c>
      <c r="I459" s="725">
        <f>I420*ECO!H$64/100*-1</f>
        <v>-3090309.2269442333</v>
      </c>
      <c r="J459" s="725">
        <f>J420*ECO!I$64/100*-1</f>
        <v>-7025170.640098583</v>
      </c>
      <c r="K459" s="725">
        <f>K420*ECO!J$64/100*-1</f>
        <v>-9258125.339878086</v>
      </c>
      <c r="L459" s="725">
        <f>L420*ECO!K$64/100*-1</f>
        <v>-11755280.389370345</v>
      </c>
      <c r="M459" s="725">
        <f>M420*ECO!L$64/100*-1</f>
        <v>-16636493.037618093</v>
      </c>
      <c r="N459" s="725">
        <f>N420*ECO!M$64/100*-1</f>
        <v>-22155108.889478397</v>
      </c>
      <c r="O459" s="725">
        <f>O420*ECO!N$64/100*-1</f>
        <v>-23714562.612932697</v>
      </c>
      <c r="P459" s="725">
        <f>P420*ECO!O$64/100*-1</f>
        <v>-25504668.678619366</v>
      </c>
      <c r="Q459" s="725">
        <f>Q420*ECO!P$64/100*-1</f>
        <v>-27563554.705675583</v>
      </c>
      <c r="R459" s="725">
        <f>R420*ECO!Q$64/100*-1</f>
        <v>-29936888.293879248</v>
      </c>
      <c r="S459" s="74"/>
    </row>
    <row r="460" spans="2:20" s="61" customFormat="1" ht="12.75">
      <c r="B460" s="308" t="s">
        <v>1111</v>
      </c>
      <c r="C460" s="725">
        <f>C421*ECO!B$64/100*-1</f>
        <v>0</v>
      </c>
      <c r="D460" s="725">
        <f>D421*ECO!C$64/100*-1</f>
        <v>0</v>
      </c>
      <c r="E460" s="725">
        <f>E421*ECO!D$64/100*-1</f>
        <v>0</v>
      </c>
      <c r="F460" s="725">
        <f>F421*ECO!E$64/100*-1</f>
        <v>0</v>
      </c>
      <c r="G460" s="725">
        <f>G421*ECO!F$64/100*-1</f>
        <v>0</v>
      </c>
      <c r="H460" s="725">
        <f>H420*ECO!G$64/100*-1</f>
        <v>0</v>
      </c>
      <c r="I460" s="725">
        <f>I421*ECO!H$64/100*-1</f>
        <v>-10206666.023815591</v>
      </c>
      <c r="J460" s="725">
        <f>J421*ECO!I$64/100*-1</f>
        <v>-23755290.289387222</v>
      </c>
      <c r="K460" s="725">
        <f>K421*ECO!J$64/100*-1</f>
        <v>-31782358.70678306</v>
      </c>
      <c r="L460" s="725">
        <f>L421*ECO!K$64/100*-1</f>
        <v>-41220559.280590154</v>
      </c>
      <c r="M460" s="725">
        <f>M421*ECO!L$64/100*-1</f>
        <v>-45525613.198203348</v>
      </c>
      <c r="N460" s="725">
        <f>N421*ECO!M$64/100*-1</f>
        <v>-50475726.867386967</v>
      </c>
      <c r="O460" s="725">
        <f>O421*ECO!N$64/100*-1</f>
        <v>-56000165.035670698</v>
      </c>
      <c r="P460" s="725">
        <f>P421*ECO!O$64/100*-1</f>
        <v>-62174223.313388757</v>
      </c>
      <c r="Q460" s="725">
        <f>Q421*ECO!P$64/100*-1</f>
        <v>-69122853.848475769</v>
      </c>
      <c r="R460" s="725">
        <f>R421*ECO!Q$64/100*-1</f>
        <v>-76998510.037461609</v>
      </c>
      <c r="S460" s="74"/>
    </row>
    <row r="461" spans="2:20" s="61" customFormat="1" ht="12.75">
      <c r="B461" s="256" t="s">
        <v>1115</v>
      </c>
      <c r="C461" s="726"/>
      <c r="D461" s="726"/>
      <c r="E461" s="726"/>
      <c r="F461" s="726"/>
      <c r="G461" s="726"/>
      <c r="H461" s="726"/>
      <c r="I461" s="726"/>
      <c r="J461" s="726"/>
      <c r="K461" s="726"/>
      <c r="L461" s="726"/>
      <c r="M461" s="726"/>
      <c r="N461" s="726"/>
      <c r="O461" s="726"/>
      <c r="P461" s="726"/>
      <c r="Q461" s="726"/>
      <c r="R461" s="726"/>
      <c r="S461" s="74"/>
    </row>
    <row r="462" spans="2:20" s="61" customFormat="1" ht="12.75">
      <c r="B462" s="1053" t="s">
        <v>682</v>
      </c>
      <c r="C462" s="726">
        <f t="shared" ref="C462:H462" si="111">C455</f>
        <v>-27618479.99999994</v>
      </c>
      <c r="D462" s="726">
        <f t="shared" si="111"/>
        <v>-1994000</v>
      </c>
      <c r="E462" s="726">
        <f t="shared" si="111"/>
        <v>-29020578.927000046</v>
      </c>
      <c r="F462" s="726">
        <f t="shared" si="111"/>
        <v>-17751780.480000079</v>
      </c>
      <c r="G462" s="726">
        <f t="shared" si="111"/>
        <v>-149132799.05000007</v>
      </c>
      <c r="H462" s="726">
        <f t="shared" si="111"/>
        <v>-127055318.54965544</v>
      </c>
      <c r="I462" s="725">
        <f>I426*ECO!H$64/100*-1+I$455</f>
        <v>-113077798.198667</v>
      </c>
      <c r="J462" s="725">
        <f>J426*ECO!I$64/100*-1+J$455</f>
        <v>-146631796.99065289</v>
      </c>
      <c r="K462" s="725">
        <f>K426*ECO!J$64/100*-1+K$455</f>
        <v>-170837991.74219289</v>
      </c>
      <c r="L462" s="725">
        <f>L426*ECO!K$64/100*-1+L$455</f>
        <v>-196761892.33324641</v>
      </c>
      <c r="M462" s="725">
        <f>M426*ECO!L$64/100*-1+M$455</f>
        <v>-218114494.26942581</v>
      </c>
      <c r="N462" s="725">
        <f>N426*ECO!M$64/100*-1+N$455</f>
        <v>-250990588.80505908</v>
      </c>
      <c r="O462" s="725">
        <f>O426*ECO!N$64/100*-1+O$455</f>
        <v>-287629436.48438692</v>
      </c>
      <c r="P462" s="725">
        <f>P426*ECO!O$64/100*-1+P$455</f>
        <v>-322874265.48943043</v>
      </c>
      <c r="Q462" s="725">
        <f>Q426*ECO!P$64/100*-1+Q$455</f>
        <v>-366571963.27718079</v>
      </c>
      <c r="R462" s="725">
        <f>R426*ECO!Q$64/100*-1+R$455</f>
        <v>-420364702.03579724</v>
      </c>
      <c r="S462" s="74"/>
    </row>
    <row r="463" spans="2:20" s="61" customFormat="1" ht="25.5">
      <c r="B463" s="1053" t="s">
        <v>683</v>
      </c>
      <c r="C463" s="726">
        <f t="shared" ref="C463:H463" si="112">C455</f>
        <v>-27618479.99999994</v>
      </c>
      <c r="D463" s="726">
        <f t="shared" si="112"/>
        <v>-1994000</v>
      </c>
      <c r="E463" s="726">
        <f t="shared" si="112"/>
        <v>-29020578.927000046</v>
      </c>
      <c r="F463" s="726">
        <f t="shared" si="112"/>
        <v>-17751780.480000079</v>
      </c>
      <c r="G463" s="726">
        <f t="shared" si="112"/>
        <v>-149132799.05000007</v>
      </c>
      <c r="H463" s="726">
        <f t="shared" si="112"/>
        <v>-127055318.54965544</v>
      </c>
      <c r="I463" s="725">
        <f>I427*ECO!H$64/100*-1+I$455</f>
        <v>-110472285.20690188</v>
      </c>
      <c r="J463" s="725">
        <f>J427*ECO!I$64/100*-1+J$455</f>
        <v>-140624107.34493586</v>
      </c>
      <c r="K463" s="725">
        <f>K427*ECO!J$64/100*-1+K$455</f>
        <v>-162954822.44548306</v>
      </c>
      <c r="L463" s="725">
        <f>L427*ECO!K$64/100*-1+L$455</f>
        <v>-186798942.92949212</v>
      </c>
      <c r="M463" s="725">
        <f>M427*ECO!L$64/100*-1+M$455</f>
        <v>-204082989.33165506</v>
      </c>
      <c r="N463" s="725">
        <f>N427*ECO!M$64/100*-1+N$455</f>
        <v>-232399358.198156</v>
      </c>
      <c r="O463" s="725">
        <f>O427*ECO!N$64/100*-1+O$455</f>
        <v>-267832567.9721747</v>
      </c>
      <c r="P463" s="725">
        <f>P427*ECO!O$64/100*-1+P$455</f>
        <v>-301694822.40051758</v>
      </c>
      <c r="Q463" s="725">
        <f>Q427*ECO!P$64/100*-1+Q$455</f>
        <v>-343803989.11724514</v>
      </c>
      <c r="R463" s="725">
        <f>R427*ECO!Q$64/100*-1+R$455</f>
        <v>-395767622.59009987</v>
      </c>
      <c r="S463" s="74"/>
    </row>
    <row r="464" spans="2:20" s="1214" customFormat="1" ht="12.75">
      <c r="B464" s="1458"/>
      <c r="C464" s="1459"/>
      <c r="D464" s="1459"/>
      <c r="E464" s="1459"/>
      <c r="F464" s="1459"/>
      <c r="G464" s="1459"/>
      <c r="H464" s="1459"/>
      <c r="S464" s="1218">
        <f>R455*-1</f>
        <v>230370658.71203423</v>
      </c>
      <c r="T464" s="1214">
        <f>S466/S464</f>
        <v>7.2346774200842543E-9</v>
      </c>
    </row>
    <row r="465" spans="2:20" s="1214" customFormat="1" ht="12.75">
      <c r="B465" s="1458"/>
      <c r="C465" s="1459"/>
      <c r="D465" s="1459"/>
      <c r="E465" s="1459"/>
      <c r="F465" s="1459"/>
      <c r="G465" s="1459"/>
      <c r="H465" s="1459"/>
      <c r="J465" s="1214">
        <f>J469*ECO!I64/100*-1</f>
        <v>103480561.07815968</v>
      </c>
      <c r="K465" s="1214">
        <f>K469*ECO!J64/100*-1</f>
        <v>112741494.20138133</v>
      </c>
      <c r="L465" s="1214">
        <f>L469*ECO!K64/100*-1</f>
        <v>121332145.14042069</v>
      </c>
      <c r="M465" s="1214">
        <f>M469*ECO!L64/100*-1</f>
        <v>125452334.46962427</v>
      </c>
      <c r="N465" s="1214">
        <f>N469*ECO!M64/100*-1</f>
        <v>137774714.18782163</v>
      </c>
      <c r="O465" s="1214">
        <f>O469*ECO!N64/100*-1</f>
        <v>160957602.98911166</v>
      </c>
      <c r="P465" s="1214">
        <f>P469*ECO!O64/100*-1</f>
        <v>180053277.402632</v>
      </c>
      <c r="Q465" s="1214">
        <f>Q469*ECO!P64/100*-1</f>
        <v>203353913.78968406</v>
      </c>
      <c r="R465" s="1214">
        <f>R469*ECO!Q64/100*-1</f>
        <v>230370658.7120342</v>
      </c>
      <c r="S465" s="1460">
        <f>R465*-1</f>
        <v>-230370658.7120342</v>
      </c>
    </row>
    <row r="466" spans="2:20" s="61" customFormat="1" ht="12.75">
      <c r="B466" s="203"/>
      <c r="J466" s="61">
        <f>(J470+J473+J474+J469)*ECO!I64/100*-1</f>
        <v>139005837.22240201</v>
      </c>
      <c r="K466" s="61">
        <f>(K470+K473+K474+K469)*ECO!J64/100*-1</f>
        <v>160774083.77235442</v>
      </c>
      <c r="L466" s="61">
        <f>(L470+L473+L474+L469)*ECO!K64/100*-1</f>
        <v>184343093.25818616</v>
      </c>
      <c r="M466" s="61">
        <f>(M470+M473+M474+M469)*ECO!L64/100*-1</f>
        <v>200891913.0815635</v>
      </c>
      <c r="N466" s="61">
        <f>(N470+N473+N474+N469)*ECO!M64/100*-1</f>
        <v>228186546.28963825</v>
      </c>
      <c r="O466" s="61">
        <f>(O470+O473+O474+O469)*ECO!N64/100*-1</f>
        <v>264062078.47774193</v>
      </c>
      <c r="P466" s="61">
        <f>(P470+P473+P474+P469)*ECO!O64/100*-1</f>
        <v>297124326.75713491</v>
      </c>
      <c r="Q466" s="61">
        <f>(Q470+Q473+Q474+Q469)*ECO!P64/100*-1</f>
        <v>338359228.40084577</v>
      </c>
      <c r="R466" s="61">
        <f>(R470+R473+R474+R469)*ECO!Q64/100*-1</f>
        <v>383948963.7381314</v>
      </c>
      <c r="S466" s="1466">
        <f>R466/R465</f>
        <v>1.6666574028338901</v>
      </c>
      <c r="T466" s="61">
        <f>S466/S464</f>
        <v>7.2346774200842543E-9</v>
      </c>
    </row>
    <row r="467" spans="2:20" s="1352" customFormat="1" ht="12.75">
      <c r="B467" s="1355" t="s">
        <v>351</v>
      </c>
      <c r="S467" s="1356"/>
    </row>
    <row r="468" spans="2:20" s="61" customFormat="1">
      <c r="B468" s="662"/>
      <c r="C468" s="663">
        <v>2005</v>
      </c>
      <c r="D468" s="664">
        <v>2006</v>
      </c>
      <c r="E468" s="664">
        <v>2007</v>
      </c>
      <c r="F468" s="664">
        <v>2008</v>
      </c>
      <c r="G468" s="664">
        <v>2009</v>
      </c>
      <c r="H468" s="664">
        <v>2010</v>
      </c>
      <c r="I468" s="665">
        <v>2011</v>
      </c>
      <c r="J468" s="665">
        <v>2012</v>
      </c>
      <c r="K468" s="665">
        <v>2013</v>
      </c>
      <c r="L468" s="665">
        <v>2014</v>
      </c>
      <c r="M468" s="665">
        <v>2015</v>
      </c>
      <c r="N468" s="665">
        <v>2016</v>
      </c>
      <c r="O468" s="665">
        <v>2017</v>
      </c>
      <c r="P468" s="665">
        <v>2018</v>
      </c>
      <c r="Q468" s="665">
        <v>2019</v>
      </c>
      <c r="R468" s="665">
        <v>2020</v>
      </c>
      <c r="S468" s="662" t="s">
        <v>744</v>
      </c>
    </row>
    <row r="469" spans="2:20" s="61" customFormat="1" ht="12.75">
      <c r="B469" s="306" t="s">
        <v>1122</v>
      </c>
      <c r="C469" s="727">
        <f>C455/ECO!B$64*100</f>
        <v>-3.2910044031340679</v>
      </c>
      <c r="D469" s="727">
        <f>D455/ECO!C$64*100</f>
        <v>-0.20466710802502394</v>
      </c>
      <c r="E469" s="727">
        <f>E455/ECO!D$64*100</f>
        <v>-2.5373952194550626</v>
      </c>
      <c r="F469" s="727">
        <f>F455/ECO!E$64*100</f>
        <v>-1.1953755041958576</v>
      </c>
      <c r="G469" s="727">
        <f>G455/ECO!F$64*100</f>
        <v>-8.9926307428474317</v>
      </c>
      <c r="H469" s="727">
        <f>H455/ECO!G$64*100</f>
        <v>-6.4139757811575144</v>
      </c>
      <c r="I469" s="727">
        <f>I455/ECO!H$64*100</f>
        <v>-3.9371596114726799</v>
      </c>
      <c r="J469" s="727">
        <f>J455/ECO!I$64*100</f>
        <v>-3.7570230896071366</v>
      </c>
      <c r="K469" s="727">
        <f>K455/ECO!J$64*100</f>
        <v>-3.5645143922856395</v>
      </c>
      <c r="L469" s="727">
        <f>L455/ECO!K$64*100</f>
        <v>-3.349645554534781</v>
      </c>
      <c r="M469" s="727">
        <f>M455/ECO!L$64*100</f>
        <v>-3.0380957966810649</v>
      </c>
      <c r="N469" s="727">
        <f>N455/ECO!M$64*100</f>
        <v>-2.9388151720636637</v>
      </c>
      <c r="O469" s="727">
        <f>O455/ECO!N$64*100</f>
        <v>-3.0294302497309267</v>
      </c>
      <c r="P469" s="727">
        <f>P455/ECO!O$64*100</f>
        <v>-2.9901966590619695</v>
      </c>
      <c r="Q469" s="727">
        <f>Q455/ECO!P$64*100</f>
        <v>-2.9789377438899174</v>
      </c>
      <c r="R469" s="727">
        <f>R455/ECO!Q$64*100</f>
        <v>-2.9757775686240375</v>
      </c>
      <c r="S469" s="74"/>
    </row>
    <row r="470" spans="2:20" s="61" customFormat="1" ht="25.5">
      <c r="B470" s="308" t="s">
        <v>1118</v>
      </c>
      <c r="C470" s="727"/>
      <c r="D470" s="727"/>
      <c r="E470" s="727"/>
      <c r="F470" s="727"/>
      <c r="G470" s="727"/>
      <c r="H470" s="727">
        <f>H456/ECO!G$64*100</f>
        <v>0</v>
      </c>
      <c r="I470" s="727">
        <f>I456/ECO!H$64*100</f>
        <v>-7.6481756358407676E-2</v>
      </c>
      <c r="J470" s="727">
        <f>J456/ECO!I$64*100</f>
        <v>-0.17226791323923257</v>
      </c>
      <c r="K470" s="727">
        <f>K456/ECO!J$64*100</f>
        <v>-0.22106732707720753</v>
      </c>
      <c r="L470" s="727">
        <f>L456/ECO!K$64*100</f>
        <v>-0.27704163939870985</v>
      </c>
      <c r="M470" s="727">
        <f>M456/ECO!L$64*100</f>
        <v>-0.3215423067810626</v>
      </c>
      <c r="N470" s="727">
        <f>N456/ECO!M$64*100</f>
        <v>-0.37927904362562764</v>
      </c>
      <c r="O470" s="727">
        <f>O456/ECO!N$64*100</f>
        <v>-0.44022530358475437</v>
      </c>
      <c r="P470" s="727">
        <f>P456/ECO!O$64*100</f>
        <v>-0.48812402648701197</v>
      </c>
      <c r="Q470" s="727">
        <f>Q456/ECO!P$64*100</f>
        <v>-0.56133483457740418</v>
      </c>
      <c r="R470" s="727">
        <f>R456/ECO!Q$64*100</f>
        <v>-0.60250257673300389</v>
      </c>
      <c r="S470" s="74"/>
    </row>
    <row r="471" spans="2:20" s="61" customFormat="1" ht="12.75">
      <c r="B471" s="308" t="s">
        <v>1108</v>
      </c>
      <c r="C471" s="727"/>
      <c r="D471" s="727"/>
      <c r="E471" s="727"/>
      <c r="F471" s="727"/>
      <c r="G471" s="727"/>
      <c r="H471" s="727">
        <f>H457/ECO!G$64*100</f>
        <v>0</v>
      </c>
      <c r="I471" s="727">
        <f>I457/ECO!H$64*100</f>
        <v>-9.8761085462372819E-2</v>
      </c>
      <c r="J471" s="727">
        <f>J457/ECO!I$64*100</f>
        <v>-0.2310217328188236</v>
      </c>
      <c r="K471" s="727">
        <f>K457/ECO!J$64*100</f>
        <v>-0.29001509507730311</v>
      </c>
      <c r="L471" s="727">
        <f>L457/ECO!K$64*100</f>
        <v>-0.34484086873381609</v>
      </c>
      <c r="M471" s="727">
        <f>M457/ECO!L$64*100</f>
        <v>-0.39882102290283655</v>
      </c>
      <c r="N471" s="727">
        <f>N457/ECO!M$64*100</f>
        <v>-0.46914078369009687</v>
      </c>
      <c r="O471" s="727">
        <f>O457/ECO!N$64*100</f>
        <v>-0.51119079212710039</v>
      </c>
      <c r="P471" s="727">
        <f>P457/ECO!O$64*100</f>
        <v>-0.56402756459667358</v>
      </c>
      <c r="Q471" s="727">
        <f>Q457/ECO!P$64*100</f>
        <v>-0.64109530194321163</v>
      </c>
      <c r="R471" s="727">
        <f>R457/ECO!Q$64*100</f>
        <v>-0.75516828554998428</v>
      </c>
      <c r="S471" s="74"/>
    </row>
    <row r="472" spans="2:20" s="61" customFormat="1" ht="25.5">
      <c r="B472" s="1042" t="s">
        <v>1109</v>
      </c>
      <c r="C472" s="727"/>
      <c r="D472" s="727"/>
      <c r="E472" s="727"/>
      <c r="F472" s="727"/>
      <c r="G472" s="727"/>
      <c r="H472" s="727">
        <f>H458/ECO!G$64*100</f>
        <v>0</v>
      </c>
      <c r="I472" s="727">
        <f>I458/ECO!H$64*100</f>
        <v>-0.23656098230020253</v>
      </c>
      <c r="J472" s="727">
        <f>J458/ECO!I$64*100</f>
        <v>-0.47317831008327838</v>
      </c>
      <c r="K472" s="727">
        <f>K458/ECO!J$64*100</f>
        <v>-0.54195122982304422</v>
      </c>
      <c r="L472" s="727">
        <f>L458/ECO!K$64*100</f>
        <v>-0.59958036507729484</v>
      </c>
      <c r="M472" s="727">
        <f>M458/ECO!L$64*100</f>
        <v>-0.74269096813190105</v>
      </c>
      <c r="N472" s="727">
        <f>N458/ECO!M$64*100</f>
        <v>-0.8691432344746427</v>
      </c>
      <c r="O472" s="727">
        <f>O458/ECO!N$64*100</f>
        <v>-0.8189414057595944</v>
      </c>
      <c r="P472" s="727">
        <f>P458/ECO!O$64*100</f>
        <v>-0.77529649586100569</v>
      </c>
      <c r="Q472" s="727">
        <f>Q458/ECO!P$64*100</f>
        <v>-0.73730811594077217</v>
      </c>
      <c r="R472" s="727">
        <f>R458/ECO!Q$64*100</f>
        <v>-0.70443414467270349</v>
      </c>
      <c r="S472" s="74"/>
    </row>
    <row r="473" spans="2:20" s="61" customFormat="1" ht="25.5">
      <c r="B473" s="308" t="s">
        <v>1117</v>
      </c>
      <c r="C473" s="727"/>
      <c r="D473" s="727"/>
      <c r="E473" s="727"/>
      <c r="F473" s="727"/>
      <c r="G473" s="727"/>
      <c r="H473" s="727">
        <f>H459/ECO!G$64*100</f>
        <v>0</v>
      </c>
      <c r="I473" s="727">
        <f>I459/ECO!H$64*100</f>
        <v>-0.12834785888084813</v>
      </c>
      <c r="J473" s="727">
        <f>J459/ECO!I$64*100</f>
        <v>-0.25505977188648149</v>
      </c>
      <c r="K473" s="727">
        <f>K459/ECO!J$64*100</f>
        <v>-0.29271140367035764</v>
      </c>
      <c r="L473" s="727">
        <f>L459/ECO!K$64*100</f>
        <v>-0.32453083766872681</v>
      </c>
      <c r="M473" s="727">
        <f>M459/ECO!L$64*100</f>
        <v>-0.40288815495369956</v>
      </c>
      <c r="N473" s="727">
        <f>N459/ECO!M$64*100</f>
        <v>-0.47258142052365754</v>
      </c>
      <c r="O473" s="727">
        <f>O459/ECO!N$64*100</f>
        <v>-0.44633873768371335</v>
      </c>
      <c r="P473" s="727">
        <f>P459/ECO!O$64*100</f>
        <v>-0.42356338175811103</v>
      </c>
      <c r="Q473" s="727">
        <f>Q459/ECO!P$64*100</f>
        <v>-0.40377936149993537</v>
      </c>
      <c r="R473" s="727">
        <f>R459/ECO!Q$64*100</f>
        <v>-0.38670515228541869</v>
      </c>
      <c r="S473" s="74"/>
    </row>
    <row r="474" spans="2:20" s="61" customFormat="1" ht="12.75">
      <c r="B474" s="308" t="s">
        <v>1116</v>
      </c>
      <c r="C474" s="727"/>
      <c r="D474" s="727"/>
      <c r="E474" s="727"/>
      <c r="F474" s="727"/>
      <c r="G474" s="727"/>
      <c r="H474" s="727">
        <f>H460/ECO!G$64*100</f>
        <v>0</v>
      </c>
      <c r="I474" s="727">
        <f>I460/ECO!H$64*100</f>
        <v>-0.42390700550183824</v>
      </c>
      <c r="J474" s="727">
        <f>J460/ECO!I$64*100</f>
        <v>-0.86247284695467974</v>
      </c>
      <c r="K474" s="727">
        <f>K460/ECO!J$64*100</f>
        <v>-1.0048534111917509</v>
      </c>
      <c r="L474" s="727">
        <f>L460/ECO!K$64*100</f>
        <v>-1.1379858403547507</v>
      </c>
      <c r="M474" s="727">
        <f>M460/ECO!L$64*100</f>
        <v>-1.1024998034793752</v>
      </c>
      <c r="N474" s="727">
        <f>N460/ECO!M$64*100</f>
        <v>-1.0766767531565706</v>
      </c>
      <c r="O474" s="727">
        <f>O460/ECO!N$64*100</f>
        <v>-1.0539955292479177</v>
      </c>
      <c r="P474" s="727">
        <f>P460/ECO!O$64*100</f>
        <v>-1.0325452416827277</v>
      </c>
      <c r="Q474" s="727">
        <f>Q460/ECO!P$64*100</f>
        <v>-1.0125828141550952</v>
      </c>
      <c r="R474" s="727">
        <f>R460/ECO!Q$64*100</f>
        <v>-0.99461641629182718</v>
      </c>
      <c r="S474" s="74"/>
    </row>
    <row r="475" spans="2:20" s="61" customFormat="1" ht="12.75">
      <c r="B475" s="1461" t="s">
        <v>1119</v>
      </c>
      <c r="C475" s="1462">
        <f>'Interest calculation expensive'!C82*-1</f>
        <v>0</v>
      </c>
      <c r="D475" s="1462">
        <f>'Interest calculation expensive'!D82*-1</f>
        <v>0</v>
      </c>
      <c r="E475" s="1462">
        <f>'Interest calculation expensive'!E82*-1</f>
        <v>0</v>
      </c>
      <c r="F475" s="1462">
        <f>'Interest calculation expensive'!F82*-1</f>
        <v>0</v>
      </c>
      <c r="G475" s="1462">
        <f>'Interest calculation expensive'!G82*-1</f>
        <v>0</v>
      </c>
      <c r="H475" s="1462">
        <f>'Interest calculation expensive'!H82*-1</f>
        <v>0</v>
      </c>
      <c r="I475" s="1462">
        <f>'Interest calculation expensive'!I82*-1</f>
        <v>-4.5270806399629458E-2</v>
      </c>
      <c r="J475" s="1462">
        <f>'Interest calculation expensive'!J82*-1</f>
        <v>-0.12308602617352013</v>
      </c>
      <c r="K475" s="1462">
        <f>'Interest calculation expensive'!K82*-1</f>
        <v>-0.24077967367502087</v>
      </c>
      <c r="L475" s="1462">
        <f>'Interest calculation expensive'!L82*-1</f>
        <v>-0.3570503988117385</v>
      </c>
      <c r="M475" s="1462">
        <f>'Interest calculation expensive'!M82*-1</f>
        <v>-0.46916301966962598</v>
      </c>
      <c r="N475" s="1462">
        <f>'Interest calculation expensive'!N82*-1</f>
        <v>-0.56528899509159036</v>
      </c>
      <c r="O475" s="1462">
        <f>'Interest calculation expensive'!O82*-1</f>
        <v>-0.66465129542913925</v>
      </c>
      <c r="P475" s="1462">
        <f>'Interest calculation expensive'!P82*-1</f>
        <v>-0.77499781985248695</v>
      </c>
      <c r="Q475" s="1462">
        <f>'Interest calculation expensive'!Q82*-1</f>
        <v>-0.88544888477239181</v>
      </c>
      <c r="R475" s="1462">
        <f>'Interest calculation expensive'!R82*-1</f>
        <v>-1.045746725392807</v>
      </c>
      <c r="S475" s="74"/>
    </row>
    <row r="476" spans="2:20" s="61" customFormat="1" ht="12.75">
      <c r="B476" s="1461" t="s">
        <v>1120</v>
      </c>
      <c r="C476" s="1462">
        <f>'Interest "modest scenario"'!C82*-1</f>
        <v>0</v>
      </c>
      <c r="D476" s="1462">
        <f>'Interest "modest scenario"'!D82*-1</f>
        <v>0</v>
      </c>
      <c r="E476" s="1462">
        <f>'Interest "modest scenario"'!E82*-1</f>
        <v>0</v>
      </c>
      <c r="F476" s="1462">
        <f>'Interest "modest scenario"'!F82*-1</f>
        <v>0</v>
      </c>
      <c r="G476" s="1462">
        <f>'Interest "modest scenario"'!G82*-1</f>
        <v>0</v>
      </c>
      <c r="H476" s="1462">
        <f>'Interest "modest scenario"'!H82*-1</f>
        <v>0</v>
      </c>
      <c r="I476" s="1462">
        <f>'Interest "modest scenario"'!I82*-1</f>
        <v>-3.813696107920829E-2</v>
      </c>
      <c r="J476" s="1462">
        <f>'Interest "modest scenario"'!J82*-1</f>
        <v>-0.10349760356930283</v>
      </c>
      <c r="K476" s="1462">
        <f>'Interest "modest scenario"'!K82*-1</f>
        <v>-0.20261963142935058</v>
      </c>
      <c r="L476" s="1462">
        <f>'Interest "modest scenario"'!L82*-1</f>
        <v>-0.30158832184862178</v>
      </c>
      <c r="M476" s="1462">
        <f>'Interest "modest scenario"'!M82*-1</f>
        <v>-0.39600726736694197</v>
      </c>
      <c r="N476" s="1462">
        <f>'Interest "modest scenario"'!N82*-1</f>
        <v>-0.47442243497391945</v>
      </c>
      <c r="O476" s="1462">
        <f>'Interest "modest scenario"'!O82*-1</f>
        <v>-0.55624852242666367</v>
      </c>
      <c r="P476" s="1462">
        <f>'Interest "modest scenario"'!P82*-1</f>
        <v>-0.64932246323520459</v>
      </c>
      <c r="Q476" s="1462">
        <f>'Interest "modest scenario"'!Q82*-1</f>
        <v>-0.74393040391411569</v>
      </c>
      <c r="R476" s="1462">
        <f>'Interest "modest scenario"'!R82*-1</f>
        <v>-0.88004713722424444</v>
      </c>
      <c r="S476" s="74"/>
    </row>
    <row r="477" spans="2:20" s="61" customFormat="1" ht="12.75">
      <c r="B477" s="1461" t="s">
        <v>1121</v>
      </c>
      <c r="C477" s="1462">
        <f>'Interest calculation interm'!C82*-1</f>
        <v>0</v>
      </c>
      <c r="D477" s="1462">
        <f>'Interest calculation interm'!D82*-1</f>
        <v>0</v>
      </c>
      <c r="E477" s="1462">
        <f>'Interest calculation interm'!E82*-1</f>
        <v>0</v>
      </c>
      <c r="F477" s="1462">
        <f>'Interest calculation interm'!F82*-1</f>
        <v>0</v>
      </c>
      <c r="G477" s="1462">
        <f>'Interest calculation interm'!G82*-1</f>
        <v>0</v>
      </c>
      <c r="H477" s="1462">
        <f>'Interest calculation interm'!H82*-1</f>
        <v>0</v>
      </c>
      <c r="I477" s="1462">
        <f>'Interest calculation interm'!I82*-1</f>
        <v>-4.4700790097529475E-2</v>
      </c>
      <c r="J477" s="1462">
        <f>'Interest calculation interm'!J82*-1</f>
        <v>-0.12114921375760764</v>
      </c>
      <c r="K477" s="1462">
        <f>'Interest calculation interm'!K82*-1</f>
        <v>-0.23671540743961683</v>
      </c>
      <c r="L477" s="1462">
        <f>'Interest calculation interm'!L82*-1</f>
        <v>-0.3514409426992669</v>
      </c>
      <c r="M477" s="1462">
        <f>'Interest calculation interm'!M82*-1</f>
        <v>-0.46243285720623756</v>
      </c>
      <c r="N477" s="1462">
        <f>'Interest calculation interm'!N82*-1</f>
        <v>-0.55754783129901031</v>
      </c>
      <c r="O477" s="1462">
        <f>'Interest calculation interm'!O82*-1</f>
        <v>-0.65656828233739584</v>
      </c>
      <c r="P477" s="1462">
        <f>'Interest calculation interm'!P82*-1</f>
        <v>-0.76715118402114735</v>
      </c>
      <c r="Q477" s="1462">
        <f>'Interest calculation interm'!Q82*-1</f>
        <v>-0.87804141378709288</v>
      </c>
      <c r="R477" s="1462">
        <f>'Interest calculation interm'!R82*-1</f>
        <v>-1.0365224926040912</v>
      </c>
      <c r="S477" s="74"/>
    </row>
    <row r="478" spans="2:20" s="1214" customFormat="1" ht="12.75">
      <c r="B478" s="1463"/>
      <c r="C478" s="1464"/>
      <c r="D478" s="1464"/>
      <c r="E478" s="1464"/>
      <c r="F478" s="1464"/>
      <c r="G478" s="1464"/>
      <c r="H478" s="1464"/>
      <c r="I478" s="1464">
        <f>I470+I472+I474</f>
        <v>-0.73694974416044845</v>
      </c>
      <c r="J478" s="1464">
        <f t="shared" ref="J478:R478" si="113">J470+J472+J474</f>
        <v>-1.5079190702771905</v>
      </c>
      <c r="K478" s="1464">
        <f t="shared" si="113"/>
        <v>-1.7678719680920025</v>
      </c>
      <c r="L478" s="1464">
        <f t="shared" si="113"/>
        <v>-2.0146078448307554</v>
      </c>
      <c r="M478" s="1464">
        <f t="shared" si="113"/>
        <v>-2.1667330783923386</v>
      </c>
      <c r="N478" s="1464">
        <f t="shared" si="113"/>
        <v>-2.3250990312568409</v>
      </c>
      <c r="O478" s="1464">
        <f t="shared" si="113"/>
        <v>-2.3131622385922666</v>
      </c>
      <c r="P478" s="1464">
        <f t="shared" si="113"/>
        <v>-2.2959657640307451</v>
      </c>
      <c r="Q478" s="1464">
        <f t="shared" si="113"/>
        <v>-2.3112257646732717</v>
      </c>
      <c r="R478" s="1464">
        <f t="shared" si="113"/>
        <v>-2.3015531376975344</v>
      </c>
      <c r="S478" s="1218"/>
    </row>
    <row r="479" spans="2:20" s="61" customFormat="1" ht="12.75">
      <c r="B479" s="306" t="s">
        <v>573</v>
      </c>
      <c r="C479" s="1056"/>
      <c r="D479" s="1056"/>
      <c r="E479" s="1056"/>
      <c r="F479" s="1056"/>
      <c r="G479" s="1056"/>
      <c r="H479" s="1003">
        <f>H461/ECO!G$64*100</f>
        <v>0</v>
      </c>
      <c r="I479" s="1056"/>
      <c r="J479" s="1056">
        <f>J478+J476</f>
        <v>-1.6114166738464935</v>
      </c>
      <c r="K479" s="1056">
        <f t="shared" ref="K479:R479" si="114">K478+K476</f>
        <v>-1.970491599521353</v>
      </c>
      <c r="L479" s="1056">
        <f t="shared" si="114"/>
        <v>-2.3161961666793771</v>
      </c>
      <c r="M479" s="1056">
        <f t="shared" si="114"/>
        <v>-2.5627403457592806</v>
      </c>
      <c r="N479" s="1056">
        <f t="shared" si="114"/>
        <v>-2.7995214662307601</v>
      </c>
      <c r="O479" s="1056">
        <f t="shared" si="114"/>
        <v>-2.8694107610189303</v>
      </c>
      <c r="P479" s="1056">
        <f t="shared" si="114"/>
        <v>-2.9452882272659497</v>
      </c>
      <c r="Q479" s="1056">
        <f t="shared" si="114"/>
        <v>-3.0551561685873874</v>
      </c>
      <c r="R479" s="1056">
        <f t="shared" si="114"/>
        <v>-3.1816002749217791</v>
      </c>
      <c r="S479" s="410"/>
    </row>
    <row r="480" spans="2:20" s="61" customFormat="1" ht="12.75">
      <c r="B480" s="1057" t="s">
        <v>682</v>
      </c>
      <c r="C480" s="1058">
        <f>C462/ECO!B$74</f>
        <v>-2.6963869779684515</v>
      </c>
      <c r="D480" s="1058">
        <f>D462/ECO!C$74</f>
        <v>-0.16990310360503863</v>
      </c>
      <c r="E480" s="1058">
        <f>E462/ECO!D$74</f>
        <v>-2.1332496833016155</v>
      </c>
      <c r="F480" s="1058">
        <f>F462/ECO!E$74</f>
        <v>-1.0174670865163866</v>
      </c>
      <c r="G480" s="1058">
        <f>G462/ECO!F$74</f>
        <v>-7.7484582839889198</v>
      </c>
      <c r="H480" s="1058">
        <f>H462/ECO!G$64*100</f>
        <v>-6.4139757811575144</v>
      </c>
      <c r="I480" s="1058">
        <f>I462/ECO!H$64*100</f>
        <v>-4.6963886847370944</v>
      </c>
      <c r="J480" s="1058">
        <f>J462/ECO!I$64*100</f>
        <v>-5.3236959794639187</v>
      </c>
      <c r="K480" s="1058">
        <f>K462/ECO!J$64*100</f>
        <v>-5.4013341283777372</v>
      </c>
      <c r="L480" s="1058">
        <f>L462/ECO!K$64*100</f>
        <v>-5.4320526287006423</v>
      </c>
      <c r="M480" s="1058">
        <f>M462/ECO!L$64*100</f>
        <v>-5.2821075911951771</v>
      </c>
      <c r="N480" s="1058">
        <f>N462/ECO!M$64*100</f>
        <v>-5.3537759433849734</v>
      </c>
      <c r="O480" s="1058">
        <f>O462/ECO!N$64*100</f>
        <v>-5.4135579768655386</v>
      </c>
      <c r="P480" s="1058">
        <f>P462/ECO!O$64*100</f>
        <v>-5.3620659612023776</v>
      </c>
      <c r="Q480" s="1058">
        <f>Q462/ECO!P$64*100</f>
        <v>-5.3699239759289963</v>
      </c>
      <c r="R480" s="1058">
        <f>R462/ECO!Q$64*100</f>
        <v>-5.4299964151385529</v>
      </c>
      <c r="S480" s="410"/>
    </row>
    <row r="481" spans="2:19" s="61" customFormat="1" ht="25.5">
      <c r="B481" s="1059" t="s">
        <v>683</v>
      </c>
      <c r="C481" s="1060">
        <f>C463/ECO!B$74</f>
        <v>-2.6963869779684515</v>
      </c>
      <c r="D481" s="1060">
        <f>D463/ECO!C$74</f>
        <v>-0.16990310360503863</v>
      </c>
      <c r="E481" s="1060">
        <f>E463/ECO!D$74</f>
        <v>-2.1332496833016155</v>
      </c>
      <c r="F481" s="1060">
        <f>F463/ECO!E$74</f>
        <v>-1.0174670865163866</v>
      </c>
      <c r="G481" s="1060">
        <f>G463/ECO!F$74</f>
        <v>-7.7484582839889198</v>
      </c>
      <c r="H481" s="1060">
        <f>H463/ECO!G$64*100</f>
        <v>-6.4139757811575144</v>
      </c>
      <c r="I481" s="1060">
        <f>I463/ECO!H$64*100</f>
        <v>-4.5881755613177395</v>
      </c>
      <c r="J481" s="1060">
        <f>J463/ECO!I$64*100</f>
        <v>-5.1055774412671218</v>
      </c>
      <c r="K481" s="1060">
        <f>K463/ECO!J$64*100</f>
        <v>-5.1520943022250503</v>
      </c>
      <c r="L481" s="1060">
        <f>L463/ECO!K$64*100</f>
        <v>-5.1570031012920747</v>
      </c>
      <c r="M481" s="1060">
        <f>M463/ECO!L$64*100</f>
        <v>-4.9423047780169762</v>
      </c>
      <c r="N481" s="1060">
        <f>N463/ECO!M$64*100</f>
        <v>-4.9572141294339884</v>
      </c>
      <c r="O481" s="1060">
        <f>O463/ECO!N$64*100</f>
        <v>-5.0409553087896573</v>
      </c>
      <c r="P481" s="1060">
        <f>P463/ECO!O$64*100</f>
        <v>-5.0103328470994812</v>
      </c>
      <c r="Q481" s="1060">
        <f>Q463/ECO!P$64*100</f>
        <v>-5.0363952214881591</v>
      </c>
      <c r="R481" s="1060">
        <f>R463/ECO!Q$64*100</f>
        <v>-5.1122674227512679</v>
      </c>
      <c r="S481" s="412"/>
    </row>
    <row r="482" spans="2:19" s="61" customFormat="1" ht="12.75">
      <c r="B482" s="1053"/>
      <c r="S482" s="74"/>
    </row>
    <row r="483" spans="2:19" s="61" customFormat="1" ht="25.5">
      <c r="B483" s="256" t="s">
        <v>575</v>
      </c>
      <c r="S483" s="74"/>
    </row>
    <row r="484" spans="2:19" s="61" customFormat="1">
      <c r="B484" s="662"/>
      <c r="C484" s="663">
        <v>2005</v>
      </c>
      <c r="D484" s="664">
        <v>2006</v>
      </c>
      <c r="E484" s="664">
        <v>2007</v>
      </c>
      <c r="F484" s="664">
        <v>2008</v>
      </c>
      <c r="G484" s="664">
        <v>2009</v>
      </c>
      <c r="H484" s="664">
        <v>2010</v>
      </c>
      <c r="I484" s="665">
        <v>2011</v>
      </c>
      <c r="J484" s="665">
        <v>2012</v>
      </c>
      <c r="K484" s="665">
        <v>2013</v>
      </c>
      <c r="L484" s="665">
        <v>2014</v>
      </c>
      <c r="M484" s="665">
        <v>2015</v>
      </c>
      <c r="N484" s="665">
        <v>2016</v>
      </c>
      <c r="O484" s="665">
        <v>2017</v>
      </c>
      <c r="P484" s="665">
        <v>2018</v>
      </c>
      <c r="Q484" s="665">
        <v>2019</v>
      </c>
      <c r="R484" s="665">
        <v>2020</v>
      </c>
      <c r="S484" s="662" t="s">
        <v>744</v>
      </c>
    </row>
    <row r="485" spans="2:19" s="61" customFormat="1" ht="12.75">
      <c r="B485" s="306" t="s">
        <v>576</v>
      </c>
      <c r="C485" s="727">
        <f>C455/C$190*100</f>
        <v>-10.79236917967382</v>
      </c>
      <c r="D485" s="727">
        <f t="shared" ref="D485:R485" si="115">D455/D$190*100</f>
        <v>-0.70843370069564349</v>
      </c>
      <c r="E485" s="727">
        <f t="shared" si="115"/>
        <v>-8.1305810868753969</v>
      </c>
      <c r="F485" s="727">
        <f t="shared" si="115"/>
        <v>-3.9599161190951206</v>
      </c>
      <c r="G485" s="727">
        <f t="shared" si="115"/>
        <v>-25.213762518226641</v>
      </c>
      <c r="H485" s="727">
        <f t="shared" si="115"/>
        <v>-18.547084492579351</v>
      </c>
      <c r="I485" s="727">
        <f t="shared" si="115"/>
        <v>-12.411240956104939</v>
      </c>
      <c r="J485" s="727">
        <f t="shared" si="115"/>
        <v>-11.794362183230312</v>
      </c>
      <c r="K485" s="727">
        <f t="shared" si="115"/>
        <v>-11.247279524464748</v>
      </c>
      <c r="L485" s="727">
        <f t="shared" si="115"/>
        <v>-10.599690483101661</v>
      </c>
      <c r="M485" s="727">
        <f t="shared" si="115"/>
        <v>-9.6438653080861592</v>
      </c>
      <c r="N485" s="727">
        <f t="shared" si="115"/>
        <v>-9.3730962233885258</v>
      </c>
      <c r="O485" s="727">
        <f t="shared" si="115"/>
        <v>-9.6862443888778209</v>
      </c>
      <c r="P485" s="727">
        <f t="shared" si="115"/>
        <v>-9.607815873685368</v>
      </c>
      <c r="Q485" s="727">
        <f t="shared" si="115"/>
        <v>-9.6166425181921387</v>
      </c>
      <c r="R485" s="727">
        <f t="shared" si="115"/>
        <v>-9.6510443709312757</v>
      </c>
      <c r="S485" s="74"/>
    </row>
    <row r="486" spans="2:19" s="61" customFormat="1" ht="25.5">
      <c r="B486" s="308" t="s">
        <v>1118</v>
      </c>
      <c r="C486" s="727">
        <f>C456/C$190*100</f>
        <v>0</v>
      </c>
      <c r="D486" s="727">
        <f t="shared" ref="D486:I486" si="116">D456/D$190*100</f>
        <v>0</v>
      </c>
      <c r="E486" s="727">
        <f t="shared" si="116"/>
        <v>0</v>
      </c>
      <c r="F486" s="727">
        <f t="shared" si="116"/>
        <v>0</v>
      </c>
      <c r="G486" s="727">
        <f t="shared" si="116"/>
        <v>0</v>
      </c>
      <c r="H486" s="727">
        <f t="shared" si="116"/>
        <v>0</v>
      </c>
      <c r="I486" s="727">
        <f t="shared" si="116"/>
        <v>-0.24109601859784685</v>
      </c>
      <c r="J486" s="727">
        <f>J456/J$190*100</f>
        <v>-0.54079789046632254</v>
      </c>
      <c r="K486" s="727">
        <f>K456/K$190*100</f>
        <v>-0.6975441105651683</v>
      </c>
      <c r="L486" s="727">
        <f t="shared" ref="L486:Q486" si="117">L456/L$190*100</f>
        <v>-0.87667652614225133</v>
      </c>
      <c r="M486" s="727">
        <f t="shared" si="117"/>
        <v>-1.020675747234647</v>
      </c>
      <c r="N486" s="727">
        <f t="shared" si="117"/>
        <v>-1.2096776296827865</v>
      </c>
      <c r="O486" s="727">
        <f t="shared" si="117"/>
        <v>-1.4075682637250362</v>
      </c>
      <c r="P486" s="727">
        <f t="shared" si="117"/>
        <v>-1.5683937562422172</v>
      </c>
      <c r="Q486" s="727">
        <f t="shared" si="117"/>
        <v>-1.8121078388467653</v>
      </c>
      <c r="R486" s="727">
        <f>R456/R$190*100</f>
        <v>-1.9540368752558772</v>
      </c>
      <c r="S486" s="74"/>
    </row>
    <row r="487" spans="2:19" s="61" customFormat="1" ht="12.75">
      <c r="B487" s="308" t="s">
        <v>1108</v>
      </c>
      <c r="C487" s="727">
        <f t="shared" ref="C487:I490" si="118">C457/C$190*100</f>
        <v>0</v>
      </c>
      <c r="D487" s="727">
        <f t="shared" si="118"/>
        <v>0</v>
      </c>
      <c r="E487" s="727">
        <f t="shared" si="118"/>
        <v>0</v>
      </c>
      <c r="F487" s="727">
        <f t="shared" si="118"/>
        <v>0</v>
      </c>
      <c r="G487" s="727">
        <f t="shared" si="118"/>
        <v>0</v>
      </c>
      <c r="H487" s="727">
        <f t="shared" si="118"/>
        <v>0</v>
      </c>
      <c r="I487" s="727">
        <f t="shared" si="118"/>
        <v>-0.31132789871871497</v>
      </c>
      <c r="J487" s="727">
        <f t="shared" ref="J487:Q487" si="119">J457/J$190*100</f>
        <v>-0.72524281168247784</v>
      </c>
      <c r="K487" s="727">
        <f t="shared" si="119"/>
        <v>-0.9150982382643893</v>
      </c>
      <c r="L487" s="727">
        <f t="shared" si="119"/>
        <v>-1.0912218666103006</v>
      </c>
      <c r="M487" s="727">
        <f t="shared" si="119"/>
        <v>-1.2659825378481528</v>
      </c>
      <c r="N487" s="727">
        <f t="shared" si="119"/>
        <v>-1.4962838594423595</v>
      </c>
      <c r="O487" s="727">
        <f t="shared" si="119"/>
        <v>-1.6344720075093091</v>
      </c>
      <c r="P487" s="727">
        <f t="shared" si="119"/>
        <v>-1.8122797950112064</v>
      </c>
      <c r="Q487" s="727">
        <f t="shared" si="119"/>
        <v>-2.0695915352798804</v>
      </c>
      <c r="R487" s="727">
        <f>R457/R$190*100</f>
        <v>-2.4491624334452364</v>
      </c>
      <c r="S487" s="74"/>
    </row>
    <row r="488" spans="2:19" s="61" customFormat="1" ht="25.5">
      <c r="B488" s="1042" t="s">
        <v>1125</v>
      </c>
      <c r="C488" s="727">
        <f t="shared" si="118"/>
        <v>0</v>
      </c>
      <c r="D488" s="727">
        <f t="shared" si="118"/>
        <v>0</v>
      </c>
      <c r="E488" s="727">
        <f t="shared" si="118"/>
        <v>0</v>
      </c>
      <c r="F488" s="727">
        <f t="shared" si="118"/>
        <v>0</v>
      </c>
      <c r="G488" s="727">
        <f t="shared" si="118"/>
        <v>0</v>
      </c>
      <c r="H488" s="727">
        <f t="shared" si="118"/>
        <v>0</v>
      </c>
      <c r="I488" s="727">
        <f t="shared" si="118"/>
        <v>-0.74571915844744829</v>
      </c>
      <c r="J488" s="727">
        <f t="shared" ref="J488:Q488" si="120">J458/J$190*100</f>
        <v>-1.4854410615173035</v>
      </c>
      <c r="K488" s="727">
        <f t="shared" si="120"/>
        <v>-1.7100441461645133</v>
      </c>
      <c r="L488" s="727">
        <f t="shared" si="120"/>
        <v>-1.8973250112867817</v>
      </c>
      <c r="M488" s="727">
        <f t="shared" si="120"/>
        <v>-2.3575331857608517</v>
      </c>
      <c r="N488" s="727">
        <f t="shared" si="120"/>
        <v>-2.7720569997320958</v>
      </c>
      <c r="O488" s="727">
        <f t="shared" si="120"/>
        <v>-2.6184681416788349</v>
      </c>
      <c r="P488" s="727">
        <f t="shared" si="120"/>
        <v>-2.4911090570486927</v>
      </c>
      <c r="Q488" s="727">
        <f t="shared" si="120"/>
        <v>-2.3801868942401727</v>
      </c>
      <c r="R488" s="727">
        <f>R458/R$190*100</f>
        <v>-2.2846214241002012</v>
      </c>
      <c r="S488" s="74"/>
    </row>
    <row r="489" spans="2:19" s="61" customFormat="1" ht="25.5">
      <c r="B489" s="308" t="s">
        <v>1127</v>
      </c>
      <c r="C489" s="727">
        <f t="shared" si="118"/>
        <v>0</v>
      </c>
      <c r="D489" s="727">
        <f t="shared" si="118"/>
        <v>0</v>
      </c>
      <c r="E489" s="727">
        <f t="shared" si="118"/>
        <v>0</v>
      </c>
      <c r="F489" s="727">
        <f t="shared" si="118"/>
        <v>0</v>
      </c>
      <c r="G489" s="727">
        <f t="shared" si="118"/>
        <v>0</v>
      </c>
      <c r="H489" s="727">
        <f t="shared" si="118"/>
        <v>0</v>
      </c>
      <c r="I489" s="727">
        <f t="shared" si="118"/>
        <v>-0.40459528186984522</v>
      </c>
      <c r="J489" s="727">
        <f t="shared" ref="J489:Q489" si="121">J459/J$190*100</f>
        <v>-0.8007050412660186</v>
      </c>
      <c r="K489" s="727">
        <f t="shared" si="121"/>
        <v>-0.92360602729055585</v>
      </c>
      <c r="L489" s="727">
        <f t="shared" si="121"/>
        <v>-1.0269523671999294</v>
      </c>
      <c r="M489" s="727">
        <f t="shared" si="121"/>
        <v>-1.2788928857481672</v>
      </c>
      <c r="N489" s="727">
        <f t="shared" si="121"/>
        <v>-1.5072574723518279</v>
      </c>
      <c r="O489" s="727">
        <f t="shared" si="121"/>
        <v>-1.4271152451229658</v>
      </c>
      <c r="P489" s="727">
        <f t="shared" si="121"/>
        <v>-1.3609536250515546</v>
      </c>
      <c r="Q489" s="727">
        <f t="shared" si="121"/>
        <v>-1.3034853728424356</v>
      </c>
      <c r="R489" s="727">
        <f>R459/R$190*100</f>
        <v>-1.2541624826145834</v>
      </c>
      <c r="S489" s="74"/>
    </row>
    <row r="490" spans="2:19" s="61" customFormat="1" ht="12.75">
      <c r="B490" s="308" t="s">
        <v>1126</v>
      </c>
      <c r="C490" s="727">
        <f t="shared" si="118"/>
        <v>0</v>
      </c>
      <c r="D490" s="727">
        <f t="shared" si="118"/>
        <v>0</v>
      </c>
      <c r="E490" s="727">
        <f t="shared" si="118"/>
        <v>0</v>
      </c>
      <c r="F490" s="727">
        <f t="shared" si="118"/>
        <v>0</v>
      </c>
      <c r="G490" s="727">
        <f t="shared" si="118"/>
        <v>0</v>
      </c>
      <c r="H490" s="727">
        <f t="shared" si="118"/>
        <v>0</v>
      </c>
      <c r="I490" s="727">
        <f t="shared" si="118"/>
        <v>-1.3362963424021002</v>
      </c>
      <c r="J490" s="727">
        <f t="shared" ref="J490:Q490" si="122">J460/J$190*100</f>
        <v>-2.707547142396975</v>
      </c>
      <c r="K490" s="727">
        <f t="shared" si="122"/>
        <v>-3.1706611204166153</v>
      </c>
      <c r="L490" s="727">
        <f t="shared" si="122"/>
        <v>-3.6010668846984868</v>
      </c>
      <c r="M490" s="727">
        <f t="shared" si="122"/>
        <v>-3.4996788509966543</v>
      </c>
      <c r="N490" s="727">
        <f t="shared" si="122"/>
        <v>-3.4339671663446336</v>
      </c>
      <c r="O490" s="727">
        <f t="shared" si="122"/>
        <v>-3.3700258594786057</v>
      </c>
      <c r="P490" s="727">
        <f t="shared" si="122"/>
        <v>-3.3176762917157725</v>
      </c>
      <c r="Q490" s="727">
        <f t="shared" si="122"/>
        <v>-3.2688319733325653</v>
      </c>
      <c r="R490" s="727">
        <f>R460/R$190*100</f>
        <v>-3.2257408170892203</v>
      </c>
      <c r="S490" s="74"/>
    </row>
    <row r="491" spans="2:19" s="61" customFormat="1" ht="12.75">
      <c r="B491" s="306" t="s">
        <v>573</v>
      </c>
      <c r="C491" s="1055"/>
      <c r="D491" s="1055"/>
      <c r="E491" s="1055"/>
      <c r="F491" s="1055"/>
      <c r="G491" s="1055"/>
      <c r="H491" s="1055"/>
      <c r="I491" s="1055"/>
      <c r="J491" s="1055"/>
      <c r="K491" s="1055"/>
      <c r="L491" s="1055"/>
      <c r="M491" s="1055"/>
      <c r="N491" s="1055"/>
      <c r="O491" s="1055"/>
      <c r="P491" s="1055"/>
      <c r="Q491" s="1055"/>
      <c r="R491" s="1055"/>
      <c r="S491" s="401"/>
    </row>
    <row r="492" spans="2:19" s="61" customFormat="1" ht="12.75">
      <c r="B492" s="1057" t="s">
        <v>1128</v>
      </c>
      <c r="C492" s="1003">
        <f>C$485+C487+C488+C490</f>
        <v>-10.79236917967382</v>
      </c>
      <c r="D492" s="1003">
        <f t="shared" ref="D492:R492" si="123">D$485+D487+D488+D490</f>
        <v>-0.70843370069564349</v>
      </c>
      <c r="E492" s="1003">
        <f t="shared" si="123"/>
        <v>-8.1305810868753969</v>
      </c>
      <c r="F492" s="1003">
        <f t="shared" si="123"/>
        <v>-3.9599161190951206</v>
      </c>
      <c r="G492" s="1003">
        <f t="shared" si="123"/>
        <v>-25.213762518226641</v>
      </c>
      <c r="H492" s="1003">
        <f t="shared" si="123"/>
        <v>-18.547084492579351</v>
      </c>
      <c r="I492" s="1003">
        <f t="shared" si="123"/>
        <v>-14.804584355673203</v>
      </c>
      <c r="J492" s="1003">
        <f t="shared" si="123"/>
        <v>-16.712593198827069</v>
      </c>
      <c r="K492" s="1003">
        <f t="shared" si="123"/>
        <v>-17.043083029310267</v>
      </c>
      <c r="L492" s="1003">
        <f t="shared" si="123"/>
        <v>-17.18930424569723</v>
      </c>
      <c r="M492" s="1003">
        <f t="shared" si="123"/>
        <v>-16.767059882691818</v>
      </c>
      <c r="N492" s="1003">
        <f t="shared" si="123"/>
        <v>-17.075404248907613</v>
      </c>
      <c r="O492" s="1003">
        <f t="shared" si="123"/>
        <v>-17.309210397544572</v>
      </c>
      <c r="P492" s="1003">
        <f t="shared" si="123"/>
        <v>-17.228881017461042</v>
      </c>
      <c r="Q492" s="1003">
        <f t="shared" si="123"/>
        <v>-17.335252921044756</v>
      </c>
      <c r="R492" s="1003">
        <f t="shared" si="123"/>
        <v>-17.610569045565935</v>
      </c>
      <c r="S492" s="74"/>
    </row>
    <row r="493" spans="2:19" s="61" customFormat="1" ht="25.5">
      <c r="B493" s="1059" t="s">
        <v>1129</v>
      </c>
      <c r="C493" s="1061">
        <f>C$485+C487+C489+C490</f>
        <v>-10.79236917967382</v>
      </c>
      <c r="D493" s="1061">
        <f t="shared" ref="D493:R493" si="124">D$485+D487+D489+D490</f>
        <v>-0.70843370069564349</v>
      </c>
      <c r="E493" s="1061">
        <f t="shared" si="124"/>
        <v>-8.1305810868753969</v>
      </c>
      <c r="F493" s="1061">
        <f t="shared" si="124"/>
        <v>-3.9599161190951206</v>
      </c>
      <c r="G493" s="1061">
        <f t="shared" si="124"/>
        <v>-25.213762518226641</v>
      </c>
      <c r="H493" s="1061">
        <f t="shared" si="124"/>
        <v>-18.547084492579351</v>
      </c>
      <c r="I493" s="1061">
        <f t="shared" si="124"/>
        <v>-14.4634604790956</v>
      </c>
      <c r="J493" s="1061">
        <f t="shared" si="124"/>
        <v>-16.027857178575783</v>
      </c>
      <c r="K493" s="1061">
        <f t="shared" si="124"/>
        <v>-16.256644910436307</v>
      </c>
      <c r="L493" s="1061">
        <f t="shared" si="124"/>
        <v>-16.318931601610377</v>
      </c>
      <c r="M493" s="1061">
        <f t="shared" si="124"/>
        <v>-15.688419582679133</v>
      </c>
      <c r="N493" s="1061">
        <f t="shared" si="124"/>
        <v>-15.810604721527346</v>
      </c>
      <c r="O493" s="1061">
        <f t="shared" si="124"/>
        <v>-16.117857500988702</v>
      </c>
      <c r="P493" s="1061">
        <f t="shared" si="124"/>
        <v>-16.098725585463903</v>
      </c>
      <c r="Q493" s="1061">
        <f t="shared" si="124"/>
        <v>-16.258551399647018</v>
      </c>
      <c r="R493" s="1061">
        <f t="shared" si="124"/>
        <v>-16.580110104080315</v>
      </c>
      <c r="S493" s="412"/>
    </row>
    <row r="494" spans="2:19" s="61" customFormat="1" ht="12.75">
      <c r="B494" s="302"/>
      <c r="S494" s="74"/>
    </row>
    <row r="495" spans="2:19" s="61" customFormat="1" ht="12.75">
      <c r="B495" s="301" t="s">
        <v>566</v>
      </c>
      <c r="S495" s="74"/>
    </row>
    <row r="496" spans="2:19" s="61" customFormat="1" ht="12.75">
      <c r="B496" s="302"/>
      <c r="S496" s="74"/>
    </row>
    <row r="497" spans="2:19" s="61" customFormat="1" ht="20.25" customHeight="1">
      <c r="B497" s="201" t="s">
        <v>504</v>
      </c>
      <c r="C497" s="202"/>
      <c r="D497" s="202"/>
      <c r="E497" s="202"/>
      <c r="F497" s="202"/>
      <c r="G497" s="202"/>
      <c r="H497" s="202"/>
      <c r="I497" s="202"/>
      <c r="J497" s="202"/>
      <c r="K497" s="202"/>
      <c r="L497" s="202"/>
      <c r="M497" s="202"/>
      <c r="N497" s="202"/>
      <c r="O497" s="202"/>
      <c r="P497" s="202"/>
      <c r="Q497" s="202"/>
      <c r="R497" s="202"/>
      <c r="S497" s="410"/>
    </row>
    <row r="498" spans="2:19" s="100" customFormat="1">
      <c r="B498" s="662"/>
      <c r="C498" s="663">
        <v>2005</v>
      </c>
      <c r="D498" s="664">
        <v>2006</v>
      </c>
      <c r="E498" s="664">
        <v>2007</v>
      </c>
      <c r="F498" s="664">
        <v>2008</v>
      </c>
      <c r="G498" s="664">
        <v>2009</v>
      </c>
      <c r="H498" s="664">
        <v>2010</v>
      </c>
      <c r="I498" s="665">
        <v>2011</v>
      </c>
      <c r="J498" s="665">
        <v>2012</v>
      </c>
      <c r="K498" s="665">
        <v>2013</v>
      </c>
      <c r="L498" s="665">
        <v>2014</v>
      </c>
      <c r="M498" s="665">
        <v>2015</v>
      </c>
      <c r="N498" s="665">
        <v>2016</v>
      </c>
      <c r="O498" s="665">
        <v>2017</v>
      </c>
      <c r="P498" s="665">
        <v>2018</v>
      </c>
      <c r="Q498" s="665">
        <v>2019</v>
      </c>
      <c r="R498" s="665">
        <v>2020</v>
      </c>
      <c r="S498" s="662" t="s">
        <v>744</v>
      </c>
    </row>
    <row r="499" spans="2:19" s="61" customFormat="1" ht="12.75">
      <c r="B499" s="256" t="s">
        <v>568</v>
      </c>
      <c r="C499" s="62"/>
      <c r="D499" s="62"/>
      <c r="E499" s="62"/>
      <c r="F499" s="62"/>
      <c r="G499" s="62"/>
      <c r="H499" s="62"/>
      <c r="I499" s="62"/>
      <c r="J499" s="62"/>
      <c r="K499" s="62"/>
      <c r="L499" s="62"/>
      <c r="M499" s="62"/>
      <c r="N499" s="62"/>
      <c r="O499" s="62"/>
      <c r="P499" s="62"/>
      <c r="Q499" s="62"/>
      <c r="R499" s="62"/>
      <c r="S499" s="302"/>
    </row>
    <row r="500" spans="2:19" s="61" customFormat="1" ht="12.75">
      <c r="B500" s="204" t="s">
        <v>502</v>
      </c>
      <c r="C500" s="205">
        <f>C190</f>
        <v>255907479.99999997</v>
      </c>
      <c r="D500" s="205">
        <f t="shared" ref="D500:R500" si="125">D190</f>
        <v>281466000</v>
      </c>
      <c r="E500" s="205">
        <f t="shared" si="125"/>
        <v>356931178.92700005</v>
      </c>
      <c r="F500" s="205">
        <f t="shared" si="125"/>
        <v>448286780.48000002</v>
      </c>
      <c r="G500" s="205">
        <f t="shared" si="125"/>
        <v>591473799.05000007</v>
      </c>
      <c r="H500" s="205">
        <f t="shared" si="125"/>
        <v>685042000</v>
      </c>
      <c r="I500" s="205">
        <f t="shared" si="125"/>
        <v>763802586.29371738</v>
      </c>
      <c r="J500" s="205">
        <f t="shared" si="125"/>
        <v>877373099.71108425</v>
      </c>
      <c r="K500" s="205">
        <f t="shared" si="125"/>
        <v>1002389012.8821763</v>
      </c>
      <c r="L500" s="205">
        <f t="shared" si="125"/>
        <v>1144676302.8963153</v>
      </c>
      <c r="M500" s="205">
        <f t="shared" si="125"/>
        <v>1300851167.6789532</v>
      </c>
      <c r="N500" s="205">
        <f t="shared" si="125"/>
        <v>1469895442.276958</v>
      </c>
      <c r="O500" s="205">
        <f t="shared" si="125"/>
        <v>1661713214.4005201</v>
      </c>
      <c r="P500" s="205">
        <f t="shared" si="125"/>
        <v>1874029225.4743962</v>
      </c>
      <c r="Q500" s="205">
        <f t="shared" si="125"/>
        <v>2114604066.9078875</v>
      </c>
      <c r="R500" s="205">
        <f t="shared" si="125"/>
        <v>2387002378.7881999</v>
      </c>
      <c r="S500" s="302"/>
    </row>
    <row r="501" spans="2:19" s="61" customFormat="1" ht="12.75">
      <c r="B501" s="204" t="s">
        <v>503</v>
      </c>
      <c r="C501" s="205">
        <f>C277</f>
        <v>262697000</v>
      </c>
      <c r="D501" s="205">
        <f t="shared" ref="D501:R501" si="126">D277</f>
        <v>308058000</v>
      </c>
      <c r="E501" s="205">
        <f t="shared" si="126"/>
        <v>368000000</v>
      </c>
      <c r="F501" s="205">
        <f t="shared" si="126"/>
        <v>474300000</v>
      </c>
      <c r="G501" s="205">
        <f t="shared" si="126"/>
        <v>0</v>
      </c>
      <c r="H501" s="205">
        <f t="shared" si="126"/>
        <v>615876414.00400448</v>
      </c>
      <c r="I501" s="205">
        <f t="shared" si="126"/>
        <v>685165401.60587716</v>
      </c>
      <c r="J501" s="205">
        <f t="shared" si="126"/>
        <v>762249725.56700397</v>
      </c>
      <c r="K501" s="205">
        <f t="shared" si="126"/>
        <v>848006397.82040751</v>
      </c>
      <c r="L501" s="205">
        <f t="shared" si="126"/>
        <v>943411098.25841594</v>
      </c>
      <c r="M501" s="205">
        <f t="shared" si="126"/>
        <v>1049549275.3412479</v>
      </c>
      <c r="N501" s="205">
        <f t="shared" si="126"/>
        <v>1178012845.3441195</v>
      </c>
      <c r="O501" s="205">
        <f t="shared" si="126"/>
        <v>1322200201.9338734</v>
      </c>
      <c r="P501" s="205">
        <f t="shared" si="126"/>
        <v>1484035917.6926374</v>
      </c>
      <c r="Q501" s="205">
        <f t="shared" si="126"/>
        <v>1665680130.5737317</v>
      </c>
      <c r="R501" s="205">
        <f t="shared" si="126"/>
        <v>1869557376.8200104</v>
      </c>
      <c r="S501" s="302"/>
    </row>
    <row r="502" spans="2:19" s="61" customFormat="1" ht="12.75">
      <c r="B502" s="204"/>
      <c r="C502" s="205"/>
      <c r="D502" s="205"/>
      <c r="E502" s="205"/>
      <c r="F502" s="205"/>
      <c r="G502" s="205"/>
      <c r="H502" s="205"/>
      <c r="I502" s="205"/>
      <c r="J502" s="205"/>
      <c r="K502" s="205"/>
      <c r="L502" s="205"/>
      <c r="M502" s="205"/>
      <c r="N502" s="205"/>
      <c r="O502" s="205"/>
      <c r="P502" s="205"/>
      <c r="Q502" s="205"/>
      <c r="R502" s="205"/>
      <c r="S502" s="302"/>
    </row>
    <row r="503" spans="2:19" s="61" customFormat="1" ht="12.75">
      <c r="B503" s="257" t="s">
        <v>567</v>
      </c>
      <c r="C503" s="205">
        <f>C271</f>
        <v>22955874.837359536</v>
      </c>
      <c r="D503" s="205">
        <f t="shared" ref="D503:R503" si="127">D271</f>
        <v>27481026.851028074</v>
      </c>
      <c r="E503" s="205">
        <f t="shared" si="127"/>
        <v>30800249.266938992</v>
      </c>
      <c r="F503" s="205">
        <f t="shared" si="127"/>
        <v>43480593.436612725</v>
      </c>
      <c r="G503" s="205">
        <f t="shared" si="127"/>
        <v>38946372.852656752</v>
      </c>
      <c r="H503" s="205">
        <f t="shared" si="127"/>
        <v>62966374.340553626</v>
      </c>
      <c r="I503" s="205">
        <f t="shared" si="127"/>
        <v>72843303.374720573</v>
      </c>
      <c r="J503" s="205">
        <f t="shared" si="127"/>
        <v>79225980.764490381</v>
      </c>
      <c r="K503" s="205">
        <f t="shared" si="127"/>
        <v>89560023.266188189</v>
      </c>
      <c r="L503" s="205">
        <f t="shared" si="127"/>
        <v>117304081.83027484</v>
      </c>
      <c r="M503" s="205">
        <f t="shared" si="127"/>
        <v>131538276.57117532</v>
      </c>
      <c r="N503" s="205">
        <f t="shared" si="127"/>
        <v>133349379.75002503</v>
      </c>
      <c r="O503" s="205">
        <f t="shared" si="127"/>
        <v>143722614.29896736</v>
      </c>
      <c r="P503" s="205">
        <f t="shared" si="127"/>
        <v>145057088.3470355</v>
      </c>
      <c r="Q503" s="205">
        <f t="shared" si="127"/>
        <v>161638592.28353873</v>
      </c>
      <c r="R503" s="205">
        <f t="shared" si="127"/>
        <v>172536531.42518765</v>
      </c>
      <c r="S503" s="302"/>
    </row>
    <row r="504" spans="2:19" s="61" customFormat="1" ht="12.75">
      <c r="B504" s="204"/>
      <c r="C504" s="205"/>
      <c r="D504" s="205"/>
      <c r="E504" s="205"/>
      <c r="F504" s="205"/>
      <c r="G504" s="205"/>
      <c r="H504" s="205"/>
      <c r="I504" s="205"/>
      <c r="J504" s="205"/>
      <c r="K504" s="205"/>
      <c r="L504" s="205"/>
      <c r="M504" s="205"/>
      <c r="N504" s="205"/>
      <c r="O504" s="205"/>
      <c r="P504" s="205"/>
      <c r="Q504" s="205"/>
      <c r="R504" s="205"/>
      <c r="S504" s="302"/>
    </row>
    <row r="505" spans="2:19" s="61" customFormat="1" ht="12.75">
      <c r="B505" s="258" t="s">
        <v>570</v>
      </c>
      <c r="C505" s="205"/>
      <c r="D505" s="205"/>
      <c r="E505" s="205"/>
      <c r="F505" s="205"/>
      <c r="G505" s="205"/>
      <c r="H505" s="205"/>
      <c r="I505" s="205"/>
      <c r="J505" s="205"/>
      <c r="K505" s="205"/>
      <c r="L505" s="205"/>
      <c r="M505" s="205"/>
      <c r="N505" s="205"/>
      <c r="O505" s="205"/>
      <c r="P505" s="205"/>
      <c r="Q505" s="205"/>
      <c r="R505" s="205"/>
      <c r="S505" s="302"/>
    </row>
    <row r="506" spans="2:19" s="61" customFormat="1" ht="6" customHeight="1">
      <c r="B506" s="204"/>
      <c r="C506" s="62"/>
      <c r="D506" s="62"/>
      <c r="E506" s="62"/>
      <c r="F506" s="62"/>
      <c r="G506" s="62"/>
      <c r="H506" s="205"/>
      <c r="I506" s="205"/>
      <c r="J506" s="205"/>
      <c r="K506" s="205"/>
      <c r="L506" s="205"/>
      <c r="M506" s="205"/>
      <c r="N506" s="205"/>
      <c r="O506" s="205"/>
      <c r="P506" s="205"/>
      <c r="Q506" s="205"/>
      <c r="R506" s="205"/>
      <c r="S506" s="302"/>
    </row>
    <row r="507" spans="2:19" s="68" customFormat="1" ht="12.75">
      <c r="B507" s="256" t="s">
        <v>569</v>
      </c>
      <c r="C507" s="69"/>
      <c r="D507" s="69"/>
      <c r="E507" s="69"/>
      <c r="F507" s="69"/>
      <c r="G507" s="69"/>
      <c r="H507" s="69"/>
      <c r="I507" s="69"/>
      <c r="J507" s="69"/>
      <c r="K507" s="69"/>
      <c r="L507" s="69"/>
      <c r="M507" s="69"/>
      <c r="N507" s="69"/>
      <c r="O507" s="69"/>
      <c r="P507" s="69"/>
      <c r="Q507" s="69"/>
      <c r="R507" s="69"/>
      <c r="S507" s="203"/>
    </row>
    <row r="508" spans="2:19" s="260" customFormat="1" ht="12.75">
      <c r="B508" s="1057" t="s">
        <v>682</v>
      </c>
      <c r="C508" s="259">
        <f>C426*ECO!B$64/100</f>
        <v>0</v>
      </c>
      <c r="D508" s="259">
        <f>D426*ECO!C$64/100</f>
        <v>0</v>
      </c>
      <c r="E508" s="259">
        <f>E426*ECO!D$64/100</f>
        <v>0</v>
      </c>
      <c r="F508" s="259">
        <f>F426*ECO!E$64/100</f>
        <v>0</v>
      </c>
      <c r="G508" s="259">
        <f>G426*ECO!F$64/100</f>
        <v>0</v>
      </c>
      <c r="H508" s="259">
        <f>H426*ECO!G$64/100</f>
        <v>0</v>
      </c>
      <c r="I508" s="259">
        <f>I426*ECO!H$64/100</f>
        <v>18280418.784792375</v>
      </c>
      <c r="J508" s="259">
        <f>J426*ECO!I$64/100</f>
        <v>43151235.912493199</v>
      </c>
      <c r="K508" s="259">
        <f>K426*ECO!J$64/100</f>
        <v>58096497.540811561</v>
      </c>
      <c r="L508" s="259">
        <f>L426*ECO!K$64/100</f>
        <v>75429747.192825735</v>
      </c>
      <c r="M508" s="259">
        <f>M426*ECO!L$64/100</f>
        <v>92662159.799801543</v>
      </c>
      <c r="N508" s="259">
        <f>N426*ECO!M$64/100</f>
        <v>113215874.61723745</v>
      </c>
      <c r="O508" s="259">
        <f>O426*ECO!N$64/100</f>
        <v>126671833.49527527</v>
      </c>
      <c r="P508" s="259">
        <f>P426*ECO!O$64/100</f>
        <v>142820988.0867984</v>
      </c>
      <c r="Q508" s="259">
        <f>Q426*ECO!P$64/100</f>
        <v>163218049.48749673</v>
      </c>
      <c r="R508" s="259">
        <f>R426*ECO!Q$64/100</f>
        <v>189994043.32376298</v>
      </c>
      <c r="S508" s="411"/>
    </row>
    <row r="509" spans="2:19" s="61" customFormat="1" ht="25.5">
      <c r="B509" s="1059" t="s">
        <v>683</v>
      </c>
      <c r="C509" s="62">
        <f>C427*ECO!B$64/100</f>
        <v>0</v>
      </c>
      <c r="D509" s="62">
        <f>D427*ECO!C$64/100</f>
        <v>0</v>
      </c>
      <c r="E509" s="62">
        <f>E427*ECO!D$64/100</f>
        <v>0</v>
      </c>
      <c r="F509" s="62">
        <f>F427*ECO!E$64/100</f>
        <v>0</v>
      </c>
      <c r="G509" s="62">
        <f>G427*ECO!F$64/100</f>
        <v>0</v>
      </c>
      <c r="H509" s="62">
        <f>H427*ECO!G$64/100</f>
        <v>0</v>
      </c>
      <c r="I509" s="62">
        <f>I427*ECO!H$64/100</f>
        <v>15674905.793027254</v>
      </c>
      <c r="J509" s="62">
        <f>J427*ECO!I$64/100</f>
        <v>37143546.266776182</v>
      </c>
      <c r="K509" s="62">
        <f>K427*ECO!J$64/100</f>
        <v>50213328.24410174</v>
      </c>
      <c r="L509" s="62">
        <f>L427*ECO!K$64/100</f>
        <v>65466797.789071456</v>
      </c>
      <c r="M509" s="62">
        <f>M427*ECO!L$64/100</f>
        <v>78630654.862030774</v>
      </c>
      <c r="N509" s="62">
        <f>N427*ECO!M$64/100</f>
        <v>94624644.010334373</v>
      </c>
      <c r="O509" s="62">
        <f>O427*ECO!N$64/100</f>
        <v>106874964.98306304</v>
      </c>
      <c r="P509" s="62">
        <f>P427*ECO!O$64/100</f>
        <v>121641544.99788561</v>
      </c>
      <c r="Q509" s="62">
        <f>Q427*ECO!P$64/100</f>
        <v>140450075.32756108</v>
      </c>
      <c r="R509" s="62">
        <f>R427*ECO!Q$64/100</f>
        <v>165396963.87806565</v>
      </c>
      <c r="S509" s="302"/>
    </row>
    <row r="510" spans="2:19" s="61" customFormat="1" ht="5.25" customHeight="1">
      <c r="B510" s="204"/>
      <c r="C510" s="62"/>
      <c r="D510" s="62"/>
      <c r="E510" s="62"/>
      <c r="F510" s="62"/>
      <c r="G510" s="62"/>
      <c r="H510" s="62"/>
      <c r="I510" s="62"/>
      <c r="J510" s="62"/>
      <c r="K510" s="62"/>
      <c r="L510" s="62"/>
      <c r="M510" s="62"/>
      <c r="N510" s="62"/>
      <c r="O510" s="62"/>
      <c r="P510" s="62"/>
      <c r="Q510" s="62"/>
      <c r="R510" s="62"/>
      <c r="S510" s="302"/>
    </row>
    <row r="511" spans="2:19" s="68" customFormat="1" ht="12.75">
      <c r="B511" s="256" t="s">
        <v>571</v>
      </c>
      <c r="C511" s="69"/>
      <c r="D511" s="69"/>
      <c r="E511" s="69"/>
      <c r="F511" s="69"/>
      <c r="G511" s="69"/>
      <c r="H511" s="69"/>
      <c r="I511" s="69"/>
      <c r="J511" s="69"/>
      <c r="K511" s="69"/>
      <c r="L511" s="69"/>
      <c r="M511" s="69"/>
      <c r="N511" s="69"/>
      <c r="O511" s="69"/>
      <c r="P511" s="69"/>
      <c r="Q511" s="69"/>
      <c r="R511" s="69"/>
      <c r="S511" s="203"/>
    </row>
    <row r="512" spans="2:19" s="68" customFormat="1" ht="12.75">
      <c r="B512" s="206" t="s">
        <v>505</v>
      </c>
      <c r="C512" s="261"/>
      <c r="D512" s="261"/>
      <c r="E512" s="261"/>
      <c r="F512" s="261"/>
      <c r="G512" s="261"/>
      <c r="H512" s="261"/>
      <c r="I512" s="261"/>
      <c r="J512" s="261"/>
      <c r="K512" s="261"/>
      <c r="L512" s="261"/>
      <c r="M512" s="261"/>
      <c r="N512" s="261"/>
      <c r="O512" s="261"/>
      <c r="P512" s="261"/>
      <c r="Q512" s="261"/>
      <c r="R512" s="261"/>
      <c r="S512" s="203"/>
    </row>
    <row r="513" spans="1:23" s="260" customFormat="1" ht="12.75">
      <c r="B513" s="1057" t="s">
        <v>682</v>
      </c>
      <c r="C513" s="262"/>
      <c r="D513" s="262">
        <f t="shared" ref="D513:R513" si="128">D508/D500*100</f>
        <v>0</v>
      </c>
      <c r="E513" s="262">
        <f t="shared" si="128"/>
        <v>0</v>
      </c>
      <c r="F513" s="262">
        <f t="shared" si="128"/>
        <v>0</v>
      </c>
      <c r="G513" s="262">
        <f t="shared" si="128"/>
        <v>0</v>
      </c>
      <c r="H513" s="262">
        <f t="shared" si="128"/>
        <v>0</v>
      </c>
      <c r="I513" s="262">
        <f t="shared" si="128"/>
        <v>2.3933433995682636</v>
      </c>
      <c r="J513" s="262">
        <f t="shared" si="128"/>
        <v>4.9182310155967564</v>
      </c>
      <c r="K513" s="262">
        <f t="shared" si="128"/>
        <v>5.7958035048455177</v>
      </c>
      <c r="L513" s="262">
        <f t="shared" si="128"/>
        <v>6.589613762595568</v>
      </c>
      <c r="M513" s="262">
        <f t="shared" si="128"/>
        <v>7.123194574605658</v>
      </c>
      <c r="N513" s="262">
        <f t="shared" si="128"/>
        <v>7.7023080255190894</v>
      </c>
      <c r="O513" s="262">
        <f t="shared" si="128"/>
        <v>7.6229660086667499</v>
      </c>
      <c r="P513" s="262">
        <f t="shared" si="128"/>
        <v>7.6210651437756711</v>
      </c>
      <c r="Q513" s="262">
        <f t="shared" si="128"/>
        <v>7.718610402852617</v>
      </c>
      <c r="R513" s="262">
        <f t="shared" si="128"/>
        <v>7.9595246746346566</v>
      </c>
      <c r="S513" s="411"/>
    </row>
    <row r="514" spans="1:23" s="61" customFormat="1" ht="25.5">
      <c r="B514" s="1059" t="s">
        <v>683</v>
      </c>
      <c r="C514" s="263"/>
      <c r="D514" s="263">
        <f t="shared" ref="D514:R514" si="129">D509/D500*100</f>
        <v>0</v>
      </c>
      <c r="E514" s="263">
        <f t="shared" si="129"/>
        <v>0</v>
      </c>
      <c r="F514" s="263">
        <f t="shared" si="129"/>
        <v>0</v>
      </c>
      <c r="G514" s="263">
        <f t="shared" si="129"/>
        <v>0</v>
      </c>
      <c r="H514" s="263">
        <f t="shared" si="129"/>
        <v>0</v>
      </c>
      <c r="I514" s="263">
        <f t="shared" si="129"/>
        <v>2.0522195229906606</v>
      </c>
      <c r="J514" s="263">
        <f t="shared" si="129"/>
        <v>4.2334949953454712</v>
      </c>
      <c r="K514" s="263">
        <f t="shared" si="129"/>
        <v>5.0093653859715603</v>
      </c>
      <c r="L514" s="263">
        <f t="shared" si="129"/>
        <v>5.7192411185087177</v>
      </c>
      <c r="M514" s="263">
        <f t="shared" si="129"/>
        <v>6.044554274592973</v>
      </c>
      <c r="N514" s="263">
        <f t="shared" si="129"/>
        <v>6.4375084981388202</v>
      </c>
      <c r="O514" s="263">
        <f t="shared" si="129"/>
        <v>6.4316131121108802</v>
      </c>
      <c r="P514" s="263">
        <f t="shared" si="129"/>
        <v>6.4909097117785333</v>
      </c>
      <c r="Q514" s="263">
        <f t="shared" si="129"/>
        <v>6.6419088814548806</v>
      </c>
      <c r="R514" s="263">
        <f t="shared" si="129"/>
        <v>6.9290657331490406</v>
      </c>
      <c r="S514" s="302"/>
    </row>
    <row r="515" spans="1:23" s="61" customFormat="1" ht="12.75">
      <c r="B515" s="206" t="s">
        <v>506</v>
      </c>
      <c r="C515" s="263"/>
      <c r="D515" s="263"/>
      <c r="E515" s="263"/>
      <c r="F515" s="263"/>
      <c r="G515" s="263"/>
      <c r="H515" s="263"/>
      <c r="I515" s="263"/>
      <c r="J515" s="263"/>
      <c r="K515" s="263"/>
      <c r="L515" s="263"/>
      <c r="M515" s="263"/>
      <c r="N515" s="263"/>
      <c r="O515" s="263"/>
      <c r="P515" s="263"/>
      <c r="Q515" s="263"/>
      <c r="R515" s="263"/>
      <c r="S515" s="302"/>
    </row>
    <row r="516" spans="1:23" s="260" customFormat="1" ht="12.75">
      <c r="B516" s="1057" t="s">
        <v>682</v>
      </c>
      <c r="C516" s="262">
        <f>C508/C501*100</f>
        <v>0</v>
      </c>
      <c r="D516" s="262">
        <f t="shared" ref="D516:R516" si="130">D508/D501*100</f>
        <v>0</v>
      </c>
      <c r="E516" s="262">
        <f t="shared" si="130"/>
        <v>0</v>
      </c>
      <c r="F516" s="262">
        <f t="shared" si="130"/>
        <v>0</v>
      </c>
      <c r="G516" s="262" t="e">
        <f t="shared" si="130"/>
        <v>#DIV/0!</v>
      </c>
      <c r="H516" s="262">
        <f t="shared" si="130"/>
        <v>0</v>
      </c>
      <c r="I516" s="262">
        <f t="shared" si="130"/>
        <v>2.6680300467517899</v>
      </c>
      <c r="J516" s="262">
        <f t="shared" si="130"/>
        <v>5.6610365953749469</v>
      </c>
      <c r="K516" s="262">
        <f t="shared" si="130"/>
        <v>6.850950380814858</v>
      </c>
      <c r="L516" s="262">
        <f t="shared" si="130"/>
        <v>7.9954271612950931</v>
      </c>
      <c r="M516" s="262">
        <f t="shared" si="130"/>
        <v>8.8287574463498721</v>
      </c>
      <c r="N516" s="262">
        <f t="shared" si="130"/>
        <v>9.6107504315171521</v>
      </c>
      <c r="O516" s="262">
        <f t="shared" si="130"/>
        <v>9.5803822530054674</v>
      </c>
      <c r="P516" s="262">
        <f t="shared" si="130"/>
        <v>9.6238228727546495</v>
      </c>
      <c r="Q516" s="262">
        <f t="shared" si="130"/>
        <v>9.798883140382868</v>
      </c>
      <c r="R516" s="262">
        <f t="shared" si="130"/>
        <v>10.162514704252077</v>
      </c>
      <c r="S516" s="411"/>
    </row>
    <row r="517" spans="1:23" s="61" customFormat="1" ht="25.5">
      <c r="B517" s="1059" t="s">
        <v>683</v>
      </c>
      <c r="C517" s="264">
        <f>C509/C501*100</f>
        <v>0</v>
      </c>
      <c r="D517" s="264">
        <f t="shared" ref="D517:R517" si="131">D509/D501*100</f>
        <v>0</v>
      </c>
      <c r="E517" s="264">
        <f t="shared" si="131"/>
        <v>0</v>
      </c>
      <c r="F517" s="264">
        <f t="shared" si="131"/>
        <v>0</v>
      </c>
      <c r="G517" s="264" t="e">
        <f t="shared" si="131"/>
        <v>#DIV/0!</v>
      </c>
      <c r="H517" s="264">
        <f t="shared" si="131"/>
        <v>0</v>
      </c>
      <c r="I517" s="264">
        <f t="shared" si="131"/>
        <v>2.2877550086867666</v>
      </c>
      <c r="J517" s="264">
        <f t="shared" si="131"/>
        <v>4.8728841770519153</v>
      </c>
      <c r="K517" s="264">
        <f t="shared" si="131"/>
        <v>5.9213383735267549</v>
      </c>
      <c r="L517" s="264">
        <f t="shared" si="131"/>
        <v>6.9393711723263003</v>
      </c>
      <c r="M517" s="264">
        <f t="shared" si="131"/>
        <v>7.4918497596470637</v>
      </c>
      <c r="N517" s="264">
        <f t="shared" si="131"/>
        <v>8.0325647028655904</v>
      </c>
      <c r="O517" s="264">
        <f t="shared" si="131"/>
        <v>8.083115161134133</v>
      </c>
      <c r="P517" s="264">
        <f t="shared" si="131"/>
        <v>8.1966712225545422</v>
      </c>
      <c r="Q517" s="264">
        <f t="shared" si="131"/>
        <v>8.4319956004508541</v>
      </c>
      <c r="R517" s="264">
        <f t="shared" si="131"/>
        <v>8.8468514488383665</v>
      </c>
      <c r="S517" s="412"/>
    </row>
    <row r="518" spans="1:23" s="61" customFormat="1" ht="12.75">
      <c r="B518" s="302"/>
      <c r="C518" s="120"/>
      <c r="D518" s="120"/>
      <c r="E518" s="120"/>
      <c r="F518" s="120"/>
      <c r="G518" s="120"/>
      <c r="H518" s="120"/>
      <c r="I518" s="120"/>
      <c r="J518" s="120"/>
      <c r="K518" s="120"/>
      <c r="L518" s="120"/>
      <c r="M518" s="120"/>
      <c r="N518" s="120"/>
      <c r="O518" s="120"/>
      <c r="P518" s="120"/>
      <c r="Q518" s="120"/>
      <c r="R518" s="120"/>
      <c r="S518" s="74"/>
    </row>
    <row r="519" spans="1:23" s="68" customFormat="1" ht="25.5">
      <c r="B519" s="256" t="s">
        <v>572</v>
      </c>
      <c r="C519" s="261"/>
      <c r="D519" s="261"/>
      <c r="E519" s="261"/>
      <c r="F519" s="261"/>
      <c r="G519" s="261"/>
      <c r="H519" s="261"/>
      <c r="I519" s="261"/>
      <c r="J519" s="261"/>
      <c r="K519" s="261"/>
      <c r="L519" s="261"/>
      <c r="M519" s="261"/>
      <c r="N519" s="261"/>
      <c r="O519" s="261"/>
      <c r="P519" s="261"/>
      <c r="Q519" s="261"/>
      <c r="R519" s="261"/>
      <c r="S519" s="203"/>
    </row>
    <row r="520" spans="1:23" s="260" customFormat="1" ht="12.75">
      <c r="B520" s="1057" t="s">
        <v>682</v>
      </c>
      <c r="C520" s="262">
        <f>C508/C503*100</f>
        <v>0</v>
      </c>
      <c r="D520" s="262">
        <f t="shared" ref="D520:R520" si="132">D508/D503*100</f>
        <v>0</v>
      </c>
      <c r="E520" s="262">
        <f t="shared" si="132"/>
        <v>0</v>
      </c>
      <c r="F520" s="262">
        <f t="shared" si="132"/>
        <v>0</v>
      </c>
      <c r="G520" s="262">
        <f t="shared" si="132"/>
        <v>0</v>
      </c>
      <c r="H520" s="262">
        <f t="shared" si="132"/>
        <v>0</v>
      </c>
      <c r="I520" s="262">
        <f t="shared" si="132"/>
        <v>25.095537870865396</v>
      </c>
      <c r="J520" s="262">
        <f t="shared" si="132"/>
        <v>54.466016698191353</v>
      </c>
      <c r="K520" s="262">
        <f t="shared" si="132"/>
        <v>64.868783439390725</v>
      </c>
      <c r="L520" s="262">
        <f t="shared" si="132"/>
        <v>64.302747198485108</v>
      </c>
      <c r="M520" s="262">
        <f t="shared" si="132"/>
        <v>70.445015865524184</v>
      </c>
      <c r="N520" s="262">
        <f t="shared" si="132"/>
        <v>84.901688203927478</v>
      </c>
      <c r="O520" s="262">
        <f t="shared" si="132"/>
        <v>88.136327127877337</v>
      </c>
      <c r="P520" s="262">
        <f t="shared" si="132"/>
        <v>98.458468809957466</v>
      </c>
      <c r="Q520" s="262">
        <f t="shared" si="132"/>
        <v>100.97715352605113</v>
      </c>
      <c r="R520" s="262">
        <f t="shared" si="132"/>
        <v>110.11815396679918</v>
      </c>
      <c r="S520" s="411"/>
    </row>
    <row r="521" spans="1:23" s="61" customFormat="1" ht="25.5">
      <c r="B521" s="1059" t="s">
        <v>683</v>
      </c>
      <c r="C521" s="264">
        <f>C509/C503*100</f>
        <v>0</v>
      </c>
      <c r="D521" s="264">
        <f t="shared" ref="D521:R521" si="133">D509/D503*100</f>
        <v>0</v>
      </c>
      <c r="E521" s="264">
        <f t="shared" si="133"/>
        <v>0</v>
      </c>
      <c r="F521" s="264">
        <f t="shared" si="133"/>
        <v>0</v>
      </c>
      <c r="G521" s="264">
        <f t="shared" si="133"/>
        <v>0</v>
      </c>
      <c r="H521" s="264">
        <f t="shared" si="133"/>
        <v>0</v>
      </c>
      <c r="I521" s="264">
        <f t="shared" si="133"/>
        <v>21.518664128111258</v>
      </c>
      <c r="J521" s="264">
        <f t="shared" si="133"/>
        <v>46.8830374939633</v>
      </c>
      <c r="K521" s="264">
        <f t="shared" si="133"/>
        <v>56.066676194197576</v>
      </c>
      <c r="L521" s="264">
        <f t="shared" si="133"/>
        <v>55.809479744953961</v>
      </c>
      <c r="M521" s="264">
        <f t="shared" si="133"/>
        <v>59.777774889337053</v>
      </c>
      <c r="N521" s="264">
        <f t="shared" si="133"/>
        <v>70.959943111633862</v>
      </c>
      <c r="O521" s="264">
        <f t="shared" si="133"/>
        <v>74.361968368279904</v>
      </c>
      <c r="P521" s="264">
        <f t="shared" si="133"/>
        <v>83.857704841606633</v>
      </c>
      <c r="Q521" s="264">
        <f t="shared" si="133"/>
        <v>86.891424469467196</v>
      </c>
      <c r="R521" s="264">
        <f t="shared" si="133"/>
        <v>95.861996593911044</v>
      </c>
      <c r="S521" s="412"/>
    </row>
    <row r="522" spans="1:23" s="61" customFormat="1" ht="12.75">
      <c r="B522" s="302"/>
      <c r="S522" s="74"/>
    </row>
    <row r="523" spans="1:23">
      <c r="B523" s="302"/>
      <c r="C523" s="61"/>
      <c r="D523" s="61"/>
      <c r="E523" s="61"/>
      <c r="F523" s="61"/>
      <c r="G523" s="61"/>
      <c r="H523" s="61"/>
      <c r="I523" s="61"/>
      <c r="J523" s="61"/>
      <c r="K523" s="61"/>
      <c r="L523" s="61"/>
      <c r="M523" s="61"/>
      <c r="N523" s="61"/>
      <c r="O523" s="61"/>
      <c r="P523" s="61"/>
      <c r="Q523" s="61"/>
      <c r="R523" s="61"/>
      <c r="S523" s="74"/>
      <c r="T523" s="61"/>
      <c r="U523" s="61"/>
      <c r="V523" s="61"/>
      <c r="W523" s="61"/>
    </row>
    <row r="524" spans="1:23" ht="53.25">
      <c r="A524" s="714" t="s">
        <v>670</v>
      </c>
      <c r="B524" s="311" t="s">
        <v>623</v>
      </c>
      <c r="C524" s="61"/>
      <c r="D524" s="61"/>
      <c r="E524" s="61"/>
      <c r="F524" s="61"/>
      <c r="G524" s="61"/>
      <c r="H524" s="61"/>
      <c r="I524" s="61"/>
      <c r="J524" s="61"/>
      <c r="K524" s="61"/>
      <c r="L524" s="61"/>
      <c r="M524" s="61"/>
      <c r="N524" s="61"/>
      <c r="O524" s="61"/>
      <c r="P524" s="61"/>
      <c r="Q524" s="61"/>
      <c r="R524" s="61"/>
      <c r="S524" s="74"/>
      <c r="T524" s="61"/>
      <c r="U524" s="61"/>
      <c r="V524" s="61"/>
      <c r="W524" s="61"/>
    </row>
    <row r="525" spans="1:23">
      <c r="B525" s="302"/>
      <c r="C525" s="61"/>
      <c r="D525" s="61"/>
      <c r="E525" s="61"/>
      <c r="F525" s="61"/>
      <c r="G525" s="61"/>
      <c r="H525" s="61"/>
      <c r="I525" s="61"/>
      <c r="J525" s="61"/>
      <c r="K525" s="61"/>
      <c r="L525" s="61"/>
      <c r="M525" s="61"/>
      <c r="N525" s="61"/>
      <c r="O525" s="61"/>
      <c r="P525" s="61"/>
      <c r="Q525" s="61"/>
      <c r="R525" s="61"/>
      <c r="S525" s="74"/>
      <c r="T525" s="61"/>
      <c r="U525" s="61"/>
      <c r="V525" s="61"/>
      <c r="W525" s="61"/>
    </row>
    <row r="526" spans="1:23" ht="45">
      <c r="B526" s="652" t="s">
        <v>584</v>
      </c>
      <c r="C526" s="653">
        <v>2005</v>
      </c>
      <c r="D526" s="653">
        <v>2006</v>
      </c>
      <c r="E526" s="653">
        <v>2007</v>
      </c>
      <c r="F526" s="653">
        <v>2008</v>
      </c>
      <c r="G526" s="653"/>
      <c r="H526" s="653">
        <v>2010</v>
      </c>
      <c r="I526" s="653">
        <v>2011</v>
      </c>
      <c r="J526" s="653">
        <v>2012</v>
      </c>
      <c r="K526" s="653">
        <v>2013</v>
      </c>
      <c r="L526" s="653">
        <v>2014</v>
      </c>
      <c r="M526" s="653">
        <v>2015</v>
      </c>
      <c r="N526" s="653">
        <v>2016</v>
      </c>
      <c r="O526" s="653">
        <v>2017</v>
      </c>
      <c r="P526" s="653">
        <v>2018</v>
      </c>
      <c r="Q526" s="653">
        <v>2019</v>
      </c>
      <c r="R526" s="653">
        <v>2020</v>
      </c>
      <c r="S526" s="655" t="s">
        <v>744</v>
      </c>
      <c r="T526" s="61"/>
      <c r="U526" s="61"/>
      <c r="V526" s="61"/>
      <c r="W526" s="61"/>
    </row>
    <row r="527" spans="1:23">
      <c r="B527" s="234" t="s">
        <v>364</v>
      </c>
      <c r="C527" s="669">
        <v>1346</v>
      </c>
      <c r="D527" s="669">
        <v>1660</v>
      </c>
      <c r="E527" s="669">
        <v>2090</v>
      </c>
      <c r="F527" s="669">
        <v>2367</v>
      </c>
      <c r="G527" s="669">
        <v>2522.2163186679632</v>
      </c>
      <c r="H527" s="669">
        <v>2677.4326373359263</v>
      </c>
      <c r="I527" s="669">
        <v>4025.8967386713048</v>
      </c>
      <c r="J527" s="669">
        <v>4530.0174546554754</v>
      </c>
      <c r="K527" s="669">
        <v>4947.4304672634798</v>
      </c>
      <c r="L527" s="669">
        <v>5252.3475301963663</v>
      </c>
      <c r="M527" s="669">
        <v>5621.2490330140427</v>
      </c>
      <c r="N527" s="669">
        <v>6112.3988956979956</v>
      </c>
      <c r="O527" s="669">
        <v>6695.044593545088</v>
      </c>
      <c r="P527" s="669">
        <v>7340.4833889486354</v>
      </c>
      <c r="Q527" s="669">
        <v>8072.3003749502595</v>
      </c>
      <c r="R527" s="669">
        <v>8957.4135110518801</v>
      </c>
      <c r="S527" s="402"/>
      <c r="T527" s="233"/>
      <c r="U527" s="231"/>
      <c r="V527" s="231"/>
      <c r="W527" s="61"/>
    </row>
    <row r="528" spans="1:23">
      <c r="B528" s="235" t="s">
        <v>509</v>
      </c>
      <c r="C528" s="670">
        <v>2281.508578317143</v>
      </c>
      <c r="D528" s="670">
        <v>3248.8990706407144</v>
      </c>
      <c r="E528" s="670">
        <v>4373.9444122067853</v>
      </c>
      <c r="F528" s="670">
        <v>11211.492359865446</v>
      </c>
      <c r="G528" s="670">
        <v>11896.931866342238</v>
      </c>
      <c r="H528" s="670">
        <v>18868.67668072203</v>
      </c>
      <c r="I528" s="670">
        <v>23813.782969712131</v>
      </c>
      <c r="J528" s="670">
        <v>27292.965734593505</v>
      </c>
      <c r="K528" s="670">
        <v>32988.543262433079</v>
      </c>
      <c r="L528" s="670">
        <v>60002.258536777335</v>
      </c>
      <c r="M528" s="670">
        <v>69039.909299002524</v>
      </c>
      <c r="N528" s="670">
        <v>68303.580805536549</v>
      </c>
      <c r="O528" s="670">
        <v>74247.992798612715</v>
      </c>
      <c r="P528" s="670">
        <v>73825.326350810617</v>
      </c>
      <c r="Q528" s="670">
        <v>83367.385972463773</v>
      </c>
      <c r="R528" s="670">
        <v>88020.049200731504</v>
      </c>
      <c r="S528" s="308"/>
      <c r="T528" s="233"/>
      <c r="U528" s="231"/>
      <c r="V528" s="231"/>
      <c r="W528" s="61"/>
    </row>
    <row r="529" spans="2:23" ht="26.25">
      <c r="B529" s="235" t="s">
        <v>510</v>
      </c>
      <c r="C529" s="670">
        <v>8699.3182177933995</v>
      </c>
      <c r="D529" s="670">
        <v>9640.2121451956009</v>
      </c>
      <c r="E529" s="670">
        <v>10581.1060725978</v>
      </c>
      <c r="F529" s="670">
        <v>11522</v>
      </c>
      <c r="G529" s="670">
        <v>11800</v>
      </c>
      <c r="H529" s="670">
        <v>17955.735297508691</v>
      </c>
      <c r="I529" s="670">
        <v>20139.356723616125</v>
      </c>
      <c r="J529" s="670">
        <v>20917.6857740704</v>
      </c>
      <c r="K529" s="670">
        <v>23511.588814841092</v>
      </c>
      <c r="L529" s="670">
        <v>21701.624722572393</v>
      </c>
      <c r="M529" s="670">
        <v>24770.393607921033</v>
      </c>
      <c r="N529" s="670">
        <v>24295.512799180284</v>
      </c>
      <c r="O529" s="670">
        <v>26055.758471762638</v>
      </c>
      <c r="P529" s="670">
        <v>25196.934918942788</v>
      </c>
      <c r="Q529" s="670">
        <v>29005.545279253754</v>
      </c>
      <c r="R529" s="670">
        <v>31422.392982009816</v>
      </c>
      <c r="S529" s="308"/>
      <c r="T529" s="233"/>
      <c r="U529" s="231"/>
      <c r="V529" s="231"/>
      <c r="W529" s="61"/>
    </row>
    <row r="530" spans="2:23">
      <c r="B530" s="235" t="s">
        <v>396</v>
      </c>
      <c r="C530" s="670">
        <v>10537.690958992951</v>
      </c>
      <c r="D530" s="670">
        <v>12840.304495112432</v>
      </c>
      <c r="E530" s="670">
        <v>13649.2339598443</v>
      </c>
      <c r="F530" s="670">
        <v>18213.479955475865</v>
      </c>
      <c r="G530" s="670">
        <v>12546.155667646548</v>
      </c>
      <c r="H530" s="670">
        <v>23269.012865206045</v>
      </c>
      <c r="I530" s="670">
        <v>24620.585417257676</v>
      </c>
      <c r="J530" s="670">
        <v>26193.465610025291</v>
      </c>
      <c r="K530" s="670">
        <v>27796.532197663611</v>
      </c>
      <c r="L530" s="670">
        <v>29995.799017480018</v>
      </c>
      <c r="M530" s="670">
        <v>31718.549108727206</v>
      </c>
      <c r="N530" s="670">
        <v>34188.681609779756</v>
      </c>
      <c r="O530" s="670">
        <v>36213.58267789652</v>
      </c>
      <c r="P530" s="670">
        <v>38153.592872523106</v>
      </c>
      <c r="Q530" s="670">
        <v>40606.837253070633</v>
      </c>
      <c r="R530" s="670">
        <v>43504.379739604185</v>
      </c>
      <c r="S530" s="308"/>
      <c r="T530" s="233"/>
      <c r="U530" s="231"/>
      <c r="V530" s="231"/>
      <c r="W530" s="61"/>
    </row>
    <row r="531" spans="2:23">
      <c r="B531" s="236" t="s">
        <v>511</v>
      </c>
      <c r="C531" s="670">
        <v>250</v>
      </c>
      <c r="D531" s="670">
        <v>400</v>
      </c>
      <c r="E531" s="670">
        <v>550</v>
      </c>
      <c r="F531" s="670">
        <v>2035.6</v>
      </c>
      <c r="G531" s="670"/>
      <c r="H531" s="670">
        <v>2919.9605759999999</v>
      </c>
      <c r="I531" s="670"/>
      <c r="J531" s="670"/>
      <c r="K531" s="670"/>
      <c r="L531" s="670"/>
      <c r="M531" s="670">
        <v>4952.8200959999995</v>
      </c>
      <c r="N531" s="670"/>
      <c r="O531" s="670"/>
      <c r="P531" s="670"/>
      <c r="Q531" s="670"/>
      <c r="R531" s="670">
        <v>7918.3825344000006</v>
      </c>
      <c r="S531" s="308"/>
      <c r="T531" s="233"/>
      <c r="U531" s="231"/>
      <c r="V531" s="231"/>
      <c r="W531" s="61"/>
    </row>
    <row r="532" spans="2:23">
      <c r="B532" s="236" t="s">
        <v>512</v>
      </c>
      <c r="C532" s="670">
        <v>4471</v>
      </c>
      <c r="D532" s="670">
        <v>3136</v>
      </c>
      <c r="E532" s="670">
        <v>2608</v>
      </c>
      <c r="F532" s="670">
        <v>3333.2142857142858</v>
      </c>
      <c r="G532" s="670"/>
      <c r="H532" s="670">
        <v>3500</v>
      </c>
      <c r="I532" s="670"/>
      <c r="J532" s="670"/>
      <c r="K532" s="670"/>
      <c r="L532" s="670"/>
      <c r="M532" s="670">
        <v>5000</v>
      </c>
      <c r="N532" s="670"/>
      <c r="O532" s="670"/>
      <c r="P532" s="670"/>
      <c r="Q532" s="670"/>
      <c r="R532" s="670">
        <v>7000</v>
      </c>
      <c r="S532" s="308"/>
      <c r="T532" s="233"/>
      <c r="U532" s="231"/>
      <c r="V532" s="231"/>
      <c r="W532" s="61"/>
    </row>
    <row r="533" spans="2:23">
      <c r="B533" s="236" t="s">
        <v>513</v>
      </c>
      <c r="C533" s="670">
        <v>5816.690958992951</v>
      </c>
      <c r="D533" s="670">
        <v>9304.3044951124321</v>
      </c>
      <c r="E533" s="670">
        <v>10491.2339598443</v>
      </c>
      <c r="F533" s="670">
        <v>12844.665669761578</v>
      </c>
      <c r="G533" s="670"/>
      <c r="H533" s="670">
        <v>16849.052289206043</v>
      </c>
      <c r="I533" s="670"/>
      <c r="J533" s="670"/>
      <c r="K533" s="670"/>
      <c r="L533" s="670"/>
      <c r="M533" s="670">
        <v>21765.729012727206</v>
      </c>
      <c r="N533" s="670"/>
      <c r="O533" s="670"/>
      <c r="P533" s="670"/>
      <c r="Q533" s="670"/>
      <c r="R533" s="670">
        <v>28585.997205204185</v>
      </c>
      <c r="S533" s="308"/>
      <c r="T533" s="233"/>
      <c r="U533" s="231"/>
      <c r="V533" s="231"/>
      <c r="W533" s="61"/>
    </row>
    <row r="534" spans="2:23" ht="29.25" customHeight="1">
      <c r="B534" s="942" t="s">
        <v>994</v>
      </c>
      <c r="C534" s="729">
        <f>(C416*ECO!B$64/100)/1000</f>
        <v>0</v>
      </c>
      <c r="D534" s="729">
        <f>(D416*ECO!C$64/100)/1000</f>
        <v>0</v>
      </c>
      <c r="E534" s="729">
        <f>(E416*ECO!D$64/100)/1000</f>
        <v>0</v>
      </c>
      <c r="F534" s="729">
        <f>(F416*ECO!E$64/100)/1000</f>
        <v>0</v>
      </c>
      <c r="G534" s="729">
        <f>(G416*ECO!F$64/100)/1000</f>
        <v>0</v>
      </c>
      <c r="H534" s="729">
        <f>(H416*ECO!G$64/100)/1000</f>
        <v>0</v>
      </c>
      <c r="I534" s="729">
        <f>(I416*ECO!H$64/100)/1000</f>
        <v>1841.497625501536</v>
      </c>
      <c r="J534" s="729">
        <f>(J416*ECO!I$64/100)/1000</f>
        <v>4744.8152147565279</v>
      </c>
      <c r="K534" s="729">
        <f>(K416*ECO!J$64/100)/1000</f>
        <v>6992.1055243119463</v>
      </c>
      <c r="L534" s="729">
        <f>(L416*ECO!K$64/100)/1000</f>
        <v>10035.108447804972</v>
      </c>
      <c r="M534" s="729">
        <f>(M416*ECO!L$64/100)/1000</f>
        <v>13277.472376117788</v>
      </c>
      <c r="N534" s="729">
        <f>(N416*ECO!M$64/100)/1000</f>
        <v>17780.996344951218</v>
      </c>
      <c r="O534" s="729">
        <f>(O416*ECO!N$64/100)/1000</f>
        <v>23389.747840026888</v>
      </c>
      <c r="P534" s="729">
        <f>(P416*ECO!O$64/100)/1000</f>
        <v>29392.157362494814</v>
      </c>
      <c r="Q534" s="729">
        <f>(Q416*ECO!P$64/100)/1000</f>
        <v>38318.906057010325</v>
      </c>
      <c r="R534" s="729">
        <f>(R416*ECO!Q$64/100)/1000</f>
        <v>46642.906694756399</v>
      </c>
      <c r="S534" s="308"/>
      <c r="T534" s="233"/>
      <c r="U534" s="231"/>
      <c r="V534" s="231"/>
      <c r="W534" s="61"/>
    </row>
    <row r="535" spans="2:23">
      <c r="B535" s="942" t="s">
        <v>995</v>
      </c>
      <c r="C535" s="729"/>
      <c r="D535" s="729"/>
      <c r="E535" s="729"/>
      <c r="F535" s="729"/>
      <c r="G535" s="729"/>
      <c r="H535" s="729">
        <f>(H417*ECO!G$64/100)/1000</f>
        <v>0</v>
      </c>
      <c r="I535" s="729">
        <f>(I417*ECO!H$64/100)/1000</f>
        <v>2377.9305422674297</v>
      </c>
      <c r="J535" s="729">
        <f>(J417*ECO!I$64/100)/1000</f>
        <v>6363.0853372903775</v>
      </c>
      <c r="K535" s="729">
        <f>(K417*ECO!J$64/100)/1000</f>
        <v>9172.844197440596</v>
      </c>
      <c r="L535" s="729">
        <f>(L417*ECO!K$64/100)/1000</f>
        <v>12490.958119110952</v>
      </c>
      <c r="M535" s="729">
        <f>(M417*ECO!L$64/100)/1000</f>
        <v>16468.548626209344</v>
      </c>
      <c r="N535" s="729">
        <f>(N417*ECO!M$64/100)/1000</f>
        <v>21993.808253469007</v>
      </c>
      <c r="O535" s="729">
        <f>(O417*ECO!N$64/100)/1000</f>
        <v>27160.237334459653</v>
      </c>
      <c r="P535" s="729">
        <f>(P417*ECO!O$64/100)/1000</f>
        <v>33962.653005877488</v>
      </c>
      <c r="Q535" s="729">
        <f>(Q417*ECO!P$64/100)/1000</f>
        <v>43763.666773409728</v>
      </c>
      <c r="R535" s="729">
        <f>(R417*ECO!Q$64/100)/1000</f>
        <v>58461.565546724756</v>
      </c>
      <c r="S535" s="308"/>
      <c r="T535" s="233"/>
      <c r="U535" s="231"/>
      <c r="V535" s="231"/>
      <c r="W535" s="61"/>
    </row>
    <row r="536" spans="2:23" ht="26.25">
      <c r="B536" s="1062" t="s">
        <v>678</v>
      </c>
      <c r="C536" s="729"/>
      <c r="D536" s="729"/>
      <c r="E536" s="729"/>
      <c r="F536" s="729"/>
      <c r="G536" s="729"/>
      <c r="H536" s="729">
        <f>(H418*ECO!G$64/100)/1000</f>
        <v>0</v>
      </c>
      <c r="I536" s="729">
        <f>(I419*ECO!H$64/100)/1000</f>
        <v>5695.8222187093543</v>
      </c>
      <c r="J536" s="729">
        <f>(J419*ECO!I$64/100)/1000</f>
        <v>13032.860285815599</v>
      </c>
      <c r="K536" s="729">
        <f>(K419*ECO!J$64/100)/1000</f>
        <v>17141.294636587903</v>
      </c>
      <c r="L536" s="729">
        <f>(L419*ECO!K$64/100)/1000</f>
        <v>21718.229793124632</v>
      </c>
      <c r="M536" s="729">
        <f>(M419*ECO!L$64/100)/1000</f>
        <v>30667.997975388862</v>
      </c>
      <c r="N536" s="729">
        <f>(N419*ECO!M$64/100)/1000</f>
        <v>40746.339496381464</v>
      </c>
      <c r="O536" s="729">
        <f>(O419*ECO!N$64/100)/1000</f>
        <v>43511.431125144925</v>
      </c>
      <c r="P536" s="729">
        <f>(P419*ECO!O$64/100)/1000</f>
        <v>46684.111767532144</v>
      </c>
      <c r="Q536" s="729">
        <f>(Q419*ECO!P$64/100)/1000</f>
        <v>50331.528865611224</v>
      </c>
      <c r="R536" s="729">
        <f>(R419*ECO!Q$64/100)/1000</f>
        <v>54533.967739576648</v>
      </c>
      <c r="S536" s="308"/>
      <c r="T536" s="233"/>
      <c r="U536" s="231"/>
      <c r="V536" s="231"/>
      <c r="W536" s="61"/>
    </row>
    <row r="537" spans="2:23" ht="26.25">
      <c r="B537" s="942" t="s">
        <v>679</v>
      </c>
      <c r="C537" s="729">
        <f>(C420*ECO!B$64/100)/1000</f>
        <v>0</v>
      </c>
      <c r="D537" s="729">
        <f>(D420*ECO!C$64/100)/1000</f>
        <v>0</v>
      </c>
      <c r="E537" s="729">
        <f>(E420*ECO!D$64/100)/1000</f>
        <v>0</v>
      </c>
      <c r="F537" s="729">
        <f>(F420*ECO!E$64/100)/1000</f>
        <v>0</v>
      </c>
      <c r="G537" s="729">
        <f>(G420*ECO!F$64/100)/1000</f>
        <v>0</v>
      </c>
      <c r="H537" s="729">
        <f>(H419*ECO!G$64/100)/1000</f>
        <v>0</v>
      </c>
      <c r="I537" s="729">
        <f>(I420*ECO!H$64/100)/1000</f>
        <v>3090.3092269442332</v>
      </c>
      <c r="J537" s="729">
        <f>(J420*ECO!I$64/100)/1000</f>
        <v>7025.1706400985831</v>
      </c>
      <c r="K537" s="729">
        <f>(K420*ECO!J$64/100)/1000</f>
        <v>9258.1253398780864</v>
      </c>
      <c r="L537" s="729">
        <f>(L420*ECO!K$64/100)/1000</f>
        <v>11755.280389370344</v>
      </c>
      <c r="M537" s="729">
        <f>(M420*ECO!L$64/100)/1000</f>
        <v>16636.493037618093</v>
      </c>
      <c r="N537" s="729">
        <f>(N420*ECO!M$64/100)/1000</f>
        <v>22155.108889478397</v>
      </c>
      <c r="O537" s="729">
        <f>(O420*ECO!N$64/100)/1000</f>
        <v>23714.562612932696</v>
      </c>
      <c r="P537" s="729">
        <f>(P420*ECO!O$64/100)/1000</f>
        <v>25504.668678619368</v>
      </c>
      <c r="Q537" s="729">
        <f>(Q420*ECO!P$64/100)/1000</f>
        <v>27563.554705675582</v>
      </c>
      <c r="R537" s="729">
        <f>(R420*ECO!Q$64/100)/1000</f>
        <v>29936.888293879249</v>
      </c>
      <c r="S537" s="308"/>
      <c r="T537" s="233"/>
      <c r="U537" s="231"/>
      <c r="V537" s="231"/>
      <c r="W537" s="61"/>
    </row>
    <row r="538" spans="2:23">
      <c r="B538" s="323" t="s">
        <v>484</v>
      </c>
      <c r="C538" s="729">
        <f>(C421*ECO!B$64/100)/1000</f>
        <v>0</v>
      </c>
      <c r="D538" s="729">
        <f>(D421*ECO!C$64/100)/1000</f>
        <v>0</v>
      </c>
      <c r="E538" s="729">
        <f>(E421*ECO!D$64/100)/1000</f>
        <v>0</v>
      </c>
      <c r="F538" s="729">
        <f>(F421*ECO!E$64/100)/1000</f>
        <v>0</v>
      </c>
      <c r="G538" s="729">
        <f>(G421*ECO!F$64/100)/1000</f>
        <v>0</v>
      </c>
      <c r="H538" s="729">
        <f>(H420*ECO!G$64/100)/1000</f>
        <v>0</v>
      </c>
      <c r="I538" s="729">
        <f>(I421*ECO!H$64/100)/1000</f>
        <v>10206.666023815591</v>
      </c>
      <c r="J538" s="729">
        <f>(J421*ECO!I$64/100)/1000</f>
        <v>23755.290289387223</v>
      </c>
      <c r="K538" s="729">
        <f>(K421*ECO!J$64/100)/1000</f>
        <v>31782.358706783059</v>
      </c>
      <c r="L538" s="729">
        <f>(L421*ECO!K$64/100)/1000</f>
        <v>41220.559280590154</v>
      </c>
      <c r="M538" s="729">
        <f>(M421*ECO!L$64/100)/1000</f>
        <v>45525.613198203348</v>
      </c>
      <c r="N538" s="729">
        <f>(N421*ECO!M$64/100)/1000</f>
        <v>50475.726867386969</v>
      </c>
      <c r="O538" s="729">
        <f>(O421*ECO!N$64/100)/1000</f>
        <v>56000.165035670696</v>
      </c>
      <c r="P538" s="729">
        <f>(P421*ECO!O$64/100)/1000</f>
        <v>62174.223313388757</v>
      </c>
      <c r="Q538" s="729">
        <f>(Q421*ECO!P$64/100)/1000</f>
        <v>69122.853848475774</v>
      </c>
      <c r="R538" s="729">
        <f>(R421*ECO!Q$64/100)/1000</f>
        <v>76998.510037461616</v>
      </c>
      <c r="S538" s="308"/>
      <c r="T538" s="233"/>
      <c r="U538" s="231"/>
      <c r="V538" s="231"/>
      <c r="W538" s="61"/>
    </row>
    <row r="539" spans="2:23" ht="26.25">
      <c r="B539" s="235" t="s">
        <v>514</v>
      </c>
      <c r="C539" s="670">
        <v>91.357082256044848</v>
      </c>
      <c r="D539" s="670">
        <v>91.611140079323235</v>
      </c>
      <c r="E539" s="670">
        <v>105.96482229010947</v>
      </c>
      <c r="F539" s="670">
        <v>166.62112127141651</v>
      </c>
      <c r="G539" s="670">
        <v>181.06899999999999</v>
      </c>
      <c r="H539" s="670">
        <v>195.51685978093391</v>
      </c>
      <c r="I539" s="670">
        <v>243.68152546332706</v>
      </c>
      <c r="J539" s="670">
        <v>291.84619114572024</v>
      </c>
      <c r="K539" s="670">
        <v>315.92852398691684</v>
      </c>
      <c r="L539" s="670">
        <v>352.05202324871175</v>
      </c>
      <c r="M539" s="670">
        <v>388.1755225105066</v>
      </c>
      <c r="N539" s="670">
        <v>449.20563983044275</v>
      </c>
      <c r="O539" s="670">
        <v>510.23575715037884</v>
      </c>
      <c r="P539" s="670">
        <v>540.75081581034692</v>
      </c>
      <c r="Q539" s="670">
        <v>586.52340380029909</v>
      </c>
      <c r="R539" s="670">
        <v>632.29599179025126</v>
      </c>
      <c r="S539" s="308"/>
      <c r="T539" s="233"/>
      <c r="U539" s="231"/>
      <c r="V539" s="231"/>
      <c r="W539" s="61"/>
    </row>
    <row r="540" spans="2:23">
      <c r="B540" s="312" t="s">
        <v>515</v>
      </c>
      <c r="C540" s="675">
        <f>C527+C528+C529+C530+C539</f>
        <v>22955.874837359537</v>
      </c>
      <c r="D540" s="675">
        <v>27481.026851028073</v>
      </c>
      <c r="E540" s="675">
        <v>30800.249266938994</v>
      </c>
      <c r="F540" s="675">
        <v>43480.593436612726</v>
      </c>
      <c r="G540" s="675"/>
      <c r="H540" s="675">
        <v>62966.374340553615</v>
      </c>
      <c r="I540" s="675"/>
      <c r="J540" s="675"/>
      <c r="K540" s="675"/>
      <c r="L540" s="675"/>
      <c r="M540" s="675">
        <v>131538.27657117532</v>
      </c>
      <c r="N540" s="675"/>
      <c r="O540" s="675"/>
      <c r="P540" s="675"/>
      <c r="Q540" s="675"/>
      <c r="R540" s="675">
        <v>172536.53142518763</v>
      </c>
      <c r="S540" s="397"/>
      <c r="T540" s="233"/>
      <c r="U540" s="231"/>
      <c r="V540" s="231"/>
      <c r="W540" s="61"/>
    </row>
    <row r="541" spans="2:23">
      <c r="B541" s="308" t="s">
        <v>517</v>
      </c>
      <c r="C541" s="671">
        <v>262697</v>
      </c>
      <c r="D541" s="671">
        <v>308058</v>
      </c>
      <c r="E541" s="671">
        <v>368000</v>
      </c>
      <c r="F541" s="671">
        <v>474300</v>
      </c>
      <c r="G541" s="671"/>
      <c r="H541" s="671">
        <v>615876.41400400444</v>
      </c>
      <c r="I541" s="671"/>
      <c r="J541" s="671"/>
      <c r="K541" s="671"/>
      <c r="L541" s="671"/>
      <c r="M541" s="671">
        <v>1049549.2753412479</v>
      </c>
      <c r="N541" s="671">
        <v>1869557.3768200104</v>
      </c>
      <c r="O541" s="671"/>
      <c r="P541" s="671"/>
      <c r="Q541" s="671"/>
      <c r="R541" s="671">
        <v>1869557.3768200104</v>
      </c>
      <c r="S541" s="232"/>
      <c r="T541" s="231"/>
      <c r="U541" s="231"/>
      <c r="V541" s="231"/>
      <c r="W541" s="61"/>
    </row>
    <row r="542" spans="2:23">
      <c r="B542" s="308" t="s">
        <v>442</v>
      </c>
      <c r="C542" s="671">
        <v>839211</v>
      </c>
      <c r="D542" s="671">
        <v>974266</v>
      </c>
      <c r="E542" s="671">
        <v>1144015</v>
      </c>
      <c r="F542" s="671">
        <v>1452856.7879999999</v>
      </c>
      <c r="G542" s="671">
        <v>1452856.7879999999</v>
      </c>
      <c r="H542" s="671">
        <v>1830606.87</v>
      </c>
      <c r="I542" s="671">
        <v>2029267.0291500001</v>
      </c>
      <c r="J542" s="671">
        <v>2249805.1242517503</v>
      </c>
      <c r="K542" s="671">
        <v>2496881.7300496502</v>
      </c>
      <c r="L542" s="671">
        <v>2781307.1382028381</v>
      </c>
      <c r="M542" s="671">
        <v>3104671.2425122424</v>
      </c>
      <c r="N542" s="671">
        <v>3481576.7520480994</v>
      </c>
      <c r="O542" s="671">
        <v>3910674.705913879</v>
      </c>
      <c r="P542" s="671">
        <v>4408696.9602723923</v>
      </c>
      <c r="Q542" s="671">
        <v>4974319.0619407538</v>
      </c>
      <c r="R542" s="671">
        <v>5553919.7360699372</v>
      </c>
      <c r="S542" s="232"/>
      <c r="T542" s="231"/>
      <c r="U542" s="231"/>
      <c r="V542" s="231"/>
      <c r="W542" s="61"/>
    </row>
    <row r="543" spans="2:23">
      <c r="B543" s="256" t="s">
        <v>518</v>
      </c>
      <c r="C543" s="61"/>
      <c r="D543" s="61"/>
      <c r="E543" s="61"/>
      <c r="F543" s="61"/>
      <c r="G543" s="61"/>
      <c r="H543" s="61"/>
      <c r="I543" s="61"/>
      <c r="J543" s="61"/>
      <c r="K543" s="61"/>
      <c r="L543" s="61"/>
      <c r="M543" s="61"/>
      <c r="N543" s="61"/>
      <c r="O543" s="61"/>
      <c r="P543" s="61"/>
      <c r="Q543" s="61"/>
      <c r="R543" s="61"/>
      <c r="S543" s="74"/>
      <c r="T543" s="61"/>
      <c r="U543" s="61"/>
      <c r="V543" s="61"/>
      <c r="W543" s="61"/>
    </row>
    <row r="544" spans="2:23" ht="7.5" customHeight="1">
      <c r="B544" s="256"/>
      <c r="C544" s="61"/>
      <c r="D544" s="61"/>
      <c r="E544" s="61"/>
      <c r="F544" s="61"/>
      <c r="G544" s="61"/>
      <c r="H544" s="61"/>
      <c r="I544" s="61"/>
      <c r="J544" s="61"/>
      <c r="K544" s="61"/>
      <c r="L544" s="61"/>
      <c r="M544" s="61"/>
      <c r="N544" s="61"/>
      <c r="O544" s="61"/>
      <c r="P544" s="61"/>
      <c r="Q544" s="61"/>
      <c r="R544" s="61"/>
      <c r="S544" s="74"/>
      <c r="T544" s="61"/>
      <c r="U544" s="61"/>
      <c r="V544" s="61"/>
      <c r="W544" s="61"/>
    </row>
    <row r="545" spans="2:23">
      <c r="B545" s="256" t="s">
        <v>583</v>
      </c>
      <c r="C545" s="61"/>
      <c r="D545" s="61"/>
      <c r="E545" s="61"/>
      <c r="F545" s="61"/>
      <c r="G545" s="61"/>
      <c r="H545" s="61"/>
      <c r="I545" s="61"/>
      <c r="J545" s="61"/>
      <c r="K545" s="61"/>
      <c r="L545" s="61"/>
      <c r="M545" s="61"/>
      <c r="N545" s="61"/>
      <c r="O545" s="61"/>
      <c r="P545" s="61"/>
      <c r="Q545" s="61"/>
      <c r="R545" s="61"/>
      <c r="S545" s="74"/>
      <c r="T545" s="61"/>
      <c r="U545" s="61"/>
      <c r="V545" s="61"/>
      <c r="W545" s="61"/>
    </row>
    <row r="546" spans="2:23">
      <c r="B546" s="662"/>
      <c r="C546" s="663">
        <v>2005</v>
      </c>
      <c r="D546" s="664">
        <v>2006</v>
      </c>
      <c r="E546" s="664">
        <v>2007</v>
      </c>
      <c r="F546" s="664">
        <v>2008</v>
      </c>
      <c r="G546" s="664">
        <v>2009</v>
      </c>
      <c r="H546" s="664">
        <v>2010</v>
      </c>
      <c r="I546" s="665">
        <v>2011</v>
      </c>
      <c r="J546" s="665">
        <v>2012</v>
      </c>
      <c r="K546" s="665">
        <v>2013</v>
      </c>
      <c r="L546" s="665">
        <v>2014</v>
      </c>
      <c r="M546" s="665">
        <v>2015</v>
      </c>
      <c r="N546" s="665">
        <v>2016</v>
      </c>
      <c r="O546" s="665">
        <v>2017</v>
      </c>
      <c r="P546" s="665">
        <v>2018</v>
      </c>
      <c r="Q546" s="665">
        <v>2019</v>
      </c>
      <c r="R546" s="665">
        <v>2020</v>
      </c>
      <c r="S546" s="662" t="s">
        <v>744</v>
      </c>
      <c r="T546" s="661"/>
      <c r="U546" s="52" t="s">
        <v>450</v>
      </c>
      <c r="V546" s="52" t="s">
        <v>451</v>
      </c>
      <c r="W546" s="63" t="s">
        <v>439</v>
      </c>
    </row>
    <row r="547" spans="2:23">
      <c r="B547" s="327" t="s">
        <v>603</v>
      </c>
      <c r="C547" s="283"/>
      <c r="D547" s="283"/>
      <c r="E547" s="283"/>
      <c r="F547" s="283"/>
      <c r="G547" s="283"/>
      <c r="H547" s="284">
        <f>H326</f>
        <v>140071715.84913051</v>
      </c>
      <c r="I547" s="284">
        <f t="shared" ref="I547:R547" si="134">I326</f>
        <v>171989769.83199418</v>
      </c>
      <c r="J547" s="284">
        <f t="shared" si="134"/>
        <v>197781877.89698407</v>
      </c>
      <c r="K547" s="284">
        <f t="shared" si="134"/>
        <v>235304244.26688436</v>
      </c>
      <c r="L547" s="284">
        <f t="shared" si="134"/>
        <v>303277594.17617017</v>
      </c>
      <c r="M547" s="284">
        <f t="shared" si="134"/>
        <v>355333296.96211851</v>
      </c>
      <c r="N547" s="284">
        <f t="shared" si="134"/>
        <v>390285027.29000419</v>
      </c>
      <c r="O547" s="284">
        <f t="shared" si="134"/>
        <v>430568074.6678592</v>
      </c>
      <c r="P547" s="284">
        <f t="shared" si="134"/>
        <v>452627813.84383148</v>
      </c>
      <c r="Q547" s="284">
        <f t="shared" si="134"/>
        <v>539324660.31508827</v>
      </c>
      <c r="R547" s="284">
        <f t="shared" si="134"/>
        <v>618813375.54347849</v>
      </c>
      <c r="S547" s="74" t="s">
        <v>432</v>
      </c>
      <c r="T547" s="61"/>
      <c r="U547" s="52">
        <f>POWER(M547/H547,1/5)</f>
        <v>1.204639477327323</v>
      </c>
      <c r="V547" s="52">
        <f>POWER(R547/M547,1/5)</f>
        <v>1.1173384843189769</v>
      </c>
      <c r="W547" s="98">
        <f>SUM(I547:M547)</f>
        <v>1263686783.1341515</v>
      </c>
    </row>
    <row r="548" spans="2:23">
      <c r="B548" s="324" t="s">
        <v>602</v>
      </c>
      <c r="C548" s="696"/>
      <c r="D548" s="696"/>
      <c r="E548" s="696"/>
      <c r="F548" s="696"/>
      <c r="G548" s="696"/>
      <c r="H548" s="697">
        <f>H547/ECO!G$64*100</f>
        <v>7.0710663932606916</v>
      </c>
      <c r="I548" s="697">
        <f>I547/ECO!H$64*100</f>
        <v>7.143142347982474</v>
      </c>
      <c r="J548" s="697">
        <f>J547/ECO!I$64*100</f>
        <v>7.1807794065165647</v>
      </c>
      <c r="K548" s="697">
        <f>K547/ECO!J$64*100</f>
        <v>7.439544519048324</v>
      </c>
      <c r="L548" s="697">
        <f>L547/ECO!K$64*100</f>
        <v>8.3726570889067986</v>
      </c>
      <c r="M548" s="697">
        <f>M547/ECO!L$64*100</f>
        <v>8.6051535069905345</v>
      </c>
      <c r="N548" s="697">
        <f>N547/ECO!M$64*100</f>
        <v>8.3250077228650881</v>
      </c>
      <c r="O548" s="697">
        <f>O547/ECO!N$64*100</f>
        <v>8.1038480055860056</v>
      </c>
      <c r="P548" s="697">
        <f>P547/ECO!O$64*100</f>
        <v>7.5169205264050545</v>
      </c>
      <c r="Q548" s="697">
        <f>Q547/ECO!P$64*100</f>
        <v>7.9005835534832327</v>
      </c>
      <c r="R548" s="697">
        <f>R547/ECO!Q$64*100</f>
        <v>7.9934266473085849</v>
      </c>
      <c r="S548" s="74"/>
      <c r="T548" s="61"/>
      <c r="U548" s="52"/>
      <c r="V548" s="52"/>
      <c r="W548" s="98"/>
    </row>
    <row r="549" spans="2:23">
      <c r="B549" s="325" t="s">
        <v>601</v>
      </c>
      <c r="C549" s="696"/>
      <c r="D549" s="696"/>
      <c r="E549" s="696"/>
      <c r="F549" s="696"/>
      <c r="G549" s="696"/>
      <c r="H549" s="698">
        <f>H321</f>
        <v>2677432.6373359263</v>
      </c>
      <c r="I549" s="698">
        <f t="shared" ref="I549:R549" si="135">I321</f>
        <v>4025896.7386713047</v>
      </c>
      <c r="J549" s="698">
        <f t="shared" si="135"/>
        <v>4530017.454655475</v>
      </c>
      <c r="K549" s="698">
        <f t="shared" si="135"/>
        <v>4947430.4672634797</v>
      </c>
      <c r="L549" s="698">
        <f t="shared" si="135"/>
        <v>5252347.5301963659</v>
      </c>
      <c r="M549" s="698">
        <f t="shared" si="135"/>
        <v>5621249.0330140423</v>
      </c>
      <c r="N549" s="698">
        <f t="shared" si="135"/>
        <v>6112398.895697996</v>
      </c>
      <c r="O549" s="698">
        <f t="shared" si="135"/>
        <v>6695044.5935450876</v>
      </c>
      <c r="P549" s="698">
        <f t="shared" si="135"/>
        <v>7340483.3889486352</v>
      </c>
      <c r="Q549" s="698">
        <f t="shared" si="135"/>
        <v>8072300.3749502599</v>
      </c>
      <c r="R549" s="698">
        <f t="shared" si="135"/>
        <v>8957413.5110518802</v>
      </c>
      <c r="S549" s="74"/>
      <c r="T549" s="61"/>
      <c r="U549" s="52"/>
      <c r="V549" s="52"/>
      <c r="W549" s="98"/>
    </row>
    <row r="550" spans="2:23">
      <c r="B550" s="104" t="s">
        <v>602</v>
      </c>
      <c r="C550" s="699"/>
      <c r="D550" s="699"/>
      <c r="E550" s="699"/>
      <c r="F550" s="699"/>
      <c r="G550" s="699"/>
      <c r="H550" s="697">
        <f>H549/ECO!G$64*100</f>
        <v>0.13516150514267389</v>
      </c>
      <c r="I550" s="697">
        <f>I549/ECO!H$64*100</f>
        <v>0.16720502336097634</v>
      </c>
      <c r="J550" s="697">
        <f>J549/ECO!I$64*100</f>
        <v>0.16446934570261074</v>
      </c>
      <c r="K550" s="697">
        <f>K549/ECO!J$64*100</f>
        <v>0.15642144208141132</v>
      </c>
      <c r="L550" s="697">
        <f>L549/ECO!K$64*100</f>
        <v>0.14500281467069259</v>
      </c>
      <c r="M550" s="697">
        <f>M549/ECO!L$64*100</f>
        <v>0.13613053221765695</v>
      </c>
      <c r="N550" s="697">
        <f>N549/ECO!M$64*100</f>
        <v>0.13038104065956599</v>
      </c>
      <c r="O550" s="697">
        <f>O549/ECO!N$64*100</f>
        <v>0.12600939774404454</v>
      </c>
      <c r="P550" s="697">
        <f>P549/ECO!O$64*100</f>
        <v>0.12190552275508446</v>
      </c>
      <c r="Q550" s="697">
        <f>Q549/ECO!P$64*100</f>
        <v>0.11825137671963477</v>
      </c>
      <c r="R550" s="697">
        <f>R549/ECO!Q$64*100</f>
        <v>0.11570601198999671</v>
      </c>
      <c r="S550" s="232"/>
      <c r="T550" s="231"/>
      <c r="U550" s="237"/>
      <c r="V550" s="237"/>
      <c r="W550" s="238"/>
    </row>
    <row r="551" spans="2:23">
      <c r="B551" s="325" t="s">
        <v>445</v>
      </c>
      <c r="C551" s="696"/>
      <c r="D551" s="696"/>
      <c r="E551" s="696"/>
      <c r="F551" s="696"/>
      <c r="G551" s="696"/>
      <c r="H551" s="698">
        <f>H322</f>
        <v>42116690.729634427</v>
      </c>
      <c r="I551" s="698">
        <f t="shared" ref="I551:R551" si="136">I322</f>
        <v>51866122.732543446</v>
      </c>
      <c r="J551" s="698">
        <f t="shared" si="136"/>
        <v>57082409.737335384</v>
      </c>
      <c r="K551" s="698">
        <f t="shared" si="136"/>
        <v>67494050.637220815</v>
      </c>
      <c r="L551" s="698">
        <f t="shared" si="136"/>
        <v>118281261.11425336</v>
      </c>
      <c r="M551" s="698">
        <f t="shared" si="136"/>
        <v>132384765.75190812</v>
      </c>
      <c r="N551" s="698">
        <f t="shared" si="136"/>
        <v>134003977.97773229</v>
      </c>
      <c r="O551" s="698">
        <f t="shared" si="136"/>
        <v>148769923.58272913</v>
      </c>
      <c r="P551" s="698">
        <f t="shared" si="136"/>
        <v>150225992.24147487</v>
      </c>
      <c r="Q551" s="698">
        <f t="shared" si="136"/>
        <v>174475222.09233132</v>
      </c>
      <c r="R551" s="698">
        <f t="shared" si="136"/>
        <v>188466542.58107615</v>
      </c>
      <c r="S551" s="74"/>
      <c r="T551" s="61"/>
      <c r="U551" s="52"/>
      <c r="V551" s="52"/>
      <c r="W551" s="98"/>
    </row>
    <row r="552" spans="2:23" s="282" customFormat="1">
      <c r="B552" s="324" t="s">
        <v>602</v>
      </c>
      <c r="C552" s="700"/>
      <c r="D552" s="700"/>
      <c r="E552" s="700"/>
      <c r="F552" s="700"/>
      <c r="G552" s="700"/>
      <c r="H552" s="697">
        <f>H551/ECO!G$64*100</f>
        <v>2.126124568463482</v>
      </c>
      <c r="I552" s="697">
        <f>I551/ECO!H$64*100</f>
        <v>2.1541228764849953</v>
      </c>
      <c r="J552" s="697">
        <f>J551/ECO!I$64*100</f>
        <v>2.0724658733885395</v>
      </c>
      <c r="K552" s="697">
        <f>K551/ECO!J$64*100</f>
        <v>2.1339393857978659</v>
      </c>
      <c r="L552" s="697">
        <f>L551/ECO!K$64*100</f>
        <v>3.2654190694279253</v>
      </c>
      <c r="M552" s="697">
        <f>M551/ECO!L$64*100</f>
        <v>3.2059794030605575</v>
      </c>
      <c r="N552" s="697">
        <f>N551/ECO!M$64*100</f>
        <v>2.8583831650049984</v>
      </c>
      <c r="O552" s="697">
        <f>O551/ECO!N$64*100</f>
        <v>2.8000423613550316</v>
      </c>
      <c r="P552" s="697">
        <f>P551/ECO!O$64*100</f>
        <v>2.4948463398431926</v>
      </c>
      <c r="Q552" s="697">
        <f>Q551/ECO!P$64*100</f>
        <v>2.5558929001089536</v>
      </c>
      <c r="R552" s="697">
        <f>R551/ECO!Q$64*100</f>
        <v>2.4344875904962473</v>
      </c>
      <c r="S552" s="413"/>
      <c r="T552" s="279"/>
      <c r="U552" s="280"/>
      <c r="V552" s="280"/>
      <c r="W552" s="281"/>
    </row>
    <row r="553" spans="2:23">
      <c r="B553" s="325" t="s">
        <v>441</v>
      </c>
      <c r="C553" s="696"/>
      <c r="D553" s="696"/>
      <c r="E553" s="696"/>
      <c r="F553" s="696"/>
      <c r="G553" s="696"/>
      <c r="H553" s="698">
        <f>H323</f>
        <v>65159260.184131965</v>
      </c>
      <c r="I553" s="698">
        <f t="shared" ref="I553:R553" si="137">I323</f>
        <v>84309366.334606886</v>
      </c>
      <c r="J553" s="698">
        <f t="shared" si="137"/>
        <v>102445445.78181715</v>
      </c>
      <c r="K553" s="698">
        <f t="shared" si="137"/>
        <v>127190996.00121681</v>
      </c>
      <c r="L553" s="698">
        <f t="shared" si="137"/>
        <v>141396974.68749571</v>
      </c>
      <c r="M553" s="698">
        <f t="shared" si="137"/>
        <v>176876847.72421321</v>
      </c>
      <c r="N553" s="698">
        <f t="shared" si="137"/>
        <v>206693026.84500778</v>
      </c>
      <c r="O553" s="698">
        <f t="shared" si="137"/>
        <v>229136571.52095878</v>
      </c>
      <c r="P553" s="698">
        <f t="shared" si="137"/>
        <v>246736275.9505699</v>
      </c>
      <c r="Q553" s="698">
        <f t="shared" si="137"/>
        <v>305462409.74032164</v>
      </c>
      <c r="R553" s="698">
        <f t="shared" si="137"/>
        <v>366551867.77203518</v>
      </c>
      <c r="S553" s="74"/>
      <c r="T553" s="61"/>
      <c r="U553" s="52"/>
      <c r="V553" s="52"/>
      <c r="W553" s="98"/>
    </row>
    <row r="554" spans="2:23" s="282" customFormat="1">
      <c r="B554" s="324" t="s">
        <v>602</v>
      </c>
      <c r="C554" s="700"/>
      <c r="D554" s="700"/>
      <c r="E554" s="700"/>
      <c r="F554" s="700"/>
      <c r="G554" s="700"/>
      <c r="H554" s="697">
        <f>H553/ECO!G$64*100</f>
        <v>3.2893539720324987</v>
      </c>
      <c r="I554" s="697">
        <f>I553/ECO!H$64*100</f>
        <v>3.5015675966342772</v>
      </c>
      <c r="J554" s="697">
        <f>J553/ECO!I$64*100</f>
        <v>3.7194416150939955</v>
      </c>
      <c r="K554" s="697">
        <f>K553/ECO!J$64*100</f>
        <v>4.0213600061540404</v>
      </c>
      <c r="L554" s="697">
        <f>L553/ECO!K$64*100</f>
        <v>3.9035801035124997</v>
      </c>
      <c r="M554" s="697">
        <f>M553/ECO!L$64*100</f>
        <v>4.2834500439785907</v>
      </c>
      <c r="N554" s="697">
        <f>N553/ECO!M$64*100</f>
        <v>4.4088830583512397</v>
      </c>
      <c r="O554" s="697">
        <f>O553/ECO!N$64*100</f>
        <v>4.3126466112457207</v>
      </c>
      <c r="P554" s="697">
        <f>P553/ECO!O$64*100</f>
        <v>4.0976204302405073</v>
      </c>
      <c r="Q554" s="697">
        <f>Q553/ECO!P$64*100</f>
        <v>4.47472824474929</v>
      </c>
      <c r="R554" s="697">
        <f>R553/ECO!Q$64*100</f>
        <v>4.7348774012785606</v>
      </c>
      <c r="S554" s="413"/>
      <c r="T554" s="279"/>
      <c r="U554" s="280"/>
      <c r="V554" s="280"/>
      <c r="W554" s="281"/>
    </row>
    <row r="555" spans="2:23">
      <c r="B555" s="325" t="s">
        <v>396</v>
      </c>
      <c r="C555" s="696"/>
      <c r="D555" s="696"/>
      <c r="E555" s="696"/>
      <c r="F555" s="696"/>
      <c r="G555" s="696"/>
      <c r="H555" s="698">
        <f>H324</f>
        <v>29922815.438247252</v>
      </c>
      <c r="I555" s="698">
        <f t="shared" ref="I555:R555" si="138">I324</f>
        <v>31544702.500709213</v>
      </c>
      <c r="J555" s="698">
        <f t="shared" si="138"/>
        <v>33432158.732030351</v>
      </c>
      <c r="K555" s="698">
        <f t="shared" si="138"/>
        <v>35355838.637196332</v>
      </c>
      <c r="L555" s="698">
        <f t="shared" si="138"/>
        <v>37994958.820976026</v>
      </c>
      <c r="M555" s="698">
        <f t="shared" si="138"/>
        <v>40062258.930472642</v>
      </c>
      <c r="N555" s="698">
        <f t="shared" si="138"/>
        <v>43026417.931735702</v>
      </c>
      <c r="O555" s="698">
        <f t="shared" si="138"/>
        <v>45456299.213475823</v>
      </c>
      <c r="P555" s="698">
        <f t="shared" si="138"/>
        <v>47784311.447027728</v>
      </c>
      <c r="Q555" s="698">
        <f t="shared" si="138"/>
        <v>50728204.703684755</v>
      </c>
      <c r="R555" s="698">
        <f t="shared" si="138"/>
        <v>54205255.687525027</v>
      </c>
      <c r="S555" s="74"/>
      <c r="T555" s="61"/>
      <c r="U555" s="52"/>
      <c r="V555" s="52"/>
      <c r="W555" s="98"/>
    </row>
    <row r="556" spans="2:23" s="282" customFormat="1">
      <c r="B556" s="324" t="s">
        <v>602</v>
      </c>
      <c r="C556" s="700"/>
      <c r="D556" s="700"/>
      <c r="E556" s="700"/>
      <c r="F556" s="700"/>
      <c r="G556" s="700"/>
      <c r="H556" s="697">
        <f>H555/ECO!G$64*100</f>
        <v>1.5105563129177997</v>
      </c>
      <c r="I556" s="697">
        <f>I555/ECO!H$64*100</f>
        <v>1.3101261808038551</v>
      </c>
      <c r="J556" s="697">
        <f>J555/ECO!I$64*100</f>
        <v>1.2138066413920787</v>
      </c>
      <c r="K556" s="697">
        <f>K555/ECO!J$64*100</f>
        <v>1.1178350665505985</v>
      </c>
      <c r="L556" s="697">
        <f>L555/ECO!K$64*100</f>
        <v>1.0489359168761263</v>
      </c>
      <c r="M556" s="697">
        <f>M555/ECO!L$64*100</f>
        <v>0.9701930297015533</v>
      </c>
      <c r="N556" s="697">
        <f>N555/ECO!M$64*100</f>
        <v>0.91777864002648757</v>
      </c>
      <c r="O556" s="697">
        <f>O555/ECO!N$64*100</f>
        <v>0.85554633841956029</v>
      </c>
      <c r="P556" s="697">
        <f>P555/ECO!O$64*100</f>
        <v>0.79356782895411082</v>
      </c>
      <c r="Q556" s="697">
        <f>Q555/ECO!P$64*100</f>
        <v>0.74311903250541977</v>
      </c>
      <c r="R556" s="697">
        <f>R555/ECO!Q$64*100</f>
        <v>0.70018805727381161</v>
      </c>
      <c r="S556" s="413"/>
      <c r="T556" s="279"/>
      <c r="U556" s="280"/>
      <c r="V556" s="280"/>
      <c r="W556" s="281"/>
    </row>
    <row r="557" spans="2:23">
      <c r="B557" s="326" t="s">
        <v>427</v>
      </c>
      <c r="C557" s="696"/>
      <c r="D557" s="696"/>
      <c r="E557" s="696"/>
      <c r="F557" s="696"/>
      <c r="G557" s="696"/>
      <c r="H557" s="698">
        <f>H325</f>
        <v>195516.85978093391</v>
      </c>
      <c r="I557" s="698">
        <f t="shared" ref="I557:R557" si="139">I325</f>
        <v>243681.52546332707</v>
      </c>
      <c r="J557" s="698">
        <f t="shared" si="139"/>
        <v>291846.19114572025</v>
      </c>
      <c r="K557" s="698">
        <f t="shared" si="139"/>
        <v>315928.52398691687</v>
      </c>
      <c r="L557" s="698">
        <f t="shared" si="139"/>
        <v>352052.02324871178</v>
      </c>
      <c r="M557" s="698">
        <f t="shared" si="139"/>
        <v>388175.52251050662</v>
      </c>
      <c r="N557" s="698">
        <f t="shared" si="139"/>
        <v>449205.63983044273</v>
      </c>
      <c r="O557" s="698">
        <f t="shared" si="139"/>
        <v>510235.75715037883</v>
      </c>
      <c r="P557" s="698">
        <f t="shared" si="139"/>
        <v>540750.81581034698</v>
      </c>
      <c r="Q557" s="698">
        <f t="shared" si="139"/>
        <v>586523.40380029904</v>
      </c>
      <c r="R557" s="698">
        <f t="shared" si="139"/>
        <v>632295.99179025122</v>
      </c>
      <c r="S557" s="74"/>
      <c r="T557" s="61"/>
      <c r="U557" s="52"/>
      <c r="V557" s="52"/>
      <c r="W557" s="98"/>
    </row>
    <row r="558" spans="2:23" s="282" customFormat="1">
      <c r="B558" s="324" t="s">
        <v>602</v>
      </c>
      <c r="C558" s="700"/>
      <c r="D558" s="700"/>
      <c r="E558" s="700"/>
      <c r="F558" s="700"/>
      <c r="G558" s="700"/>
      <c r="H558" s="697">
        <f>H557/ECO!G$64*100</f>
        <v>9.8700347042361622E-3</v>
      </c>
      <c r="I558" s="697">
        <f>I557/ECO!H$64*100</f>
        <v>1.0120670698369983E-2</v>
      </c>
      <c r="J558" s="697">
        <f>J557/ECO!I$64*100</f>
        <v>1.0595930939340329E-2</v>
      </c>
      <c r="K558" s="697">
        <f>K557/ECO!J$64*100</f>
        <v>9.988618464408525E-3</v>
      </c>
      <c r="L558" s="697">
        <f>L557/ECO!K$64*100</f>
        <v>9.719184419555495E-3</v>
      </c>
      <c r="M558" s="697">
        <f>M557/ECO!L$64*100</f>
        <v>9.4004980321764613E-3</v>
      </c>
      <c r="N558" s="697">
        <f>N557/ECO!M$64*100</f>
        <v>9.5818188227964514E-3</v>
      </c>
      <c r="O558" s="697">
        <f>O557/ECO!N$64*100</f>
        <v>9.6032968216498878E-3</v>
      </c>
      <c r="P558" s="697">
        <f>P557/ECO!O$64*100</f>
        <v>8.9804046121600752E-3</v>
      </c>
      <c r="Q558" s="697">
        <f>Q557/ECO!P$64*100</f>
        <v>8.5919993999354852E-3</v>
      </c>
      <c r="R558" s="697">
        <f>R557/ECO!Q$64*100</f>
        <v>8.1675862699698391E-3</v>
      </c>
      <c r="S558" s="413"/>
      <c r="T558" s="279"/>
      <c r="U558" s="280"/>
      <c r="V558" s="280"/>
      <c r="W558" s="281"/>
    </row>
    <row r="559" spans="2:23" ht="7.5" customHeight="1">
      <c r="B559" s="747"/>
      <c r="C559" s="747"/>
      <c r="D559" s="747"/>
      <c r="E559" s="747"/>
      <c r="F559" s="747"/>
      <c r="G559" s="747"/>
      <c r="H559" s="748"/>
      <c r="I559" s="748"/>
      <c r="J559" s="748"/>
      <c r="K559" s="748"/>
      <c r="L559" s="748"/>
      <c r="M559" s="748"/>
      <c r="N559" s="748"/>
      <c r="O559" s="748"/>
      <c r="P559" s="748"/>
      <c r="Q559" s="748"/>
      <c r="R559" s="748"/>
      <c r="S559" s="74"/>
      <c r="T559" s="61"/>
      <c r="U559" s="52"/>
      <c r="V559" s="52"/>
      <c r="W559" s="98"/>
    </row>
    <row r="560" spans="2:23">
      <c r="B560" s="327" t="s">
        <v>599</v>
      </c>
      <c r="C560" s="283"/>
      <c r="D560" s="283"/>
      <c r="E560" s="283"/>
      <c r="F560" s="283"/>
      <c r="G560" s="283"/>
      <c r="H560" s="284">
        <f t="shared" ref="H560:R560" si="140">H547-H585</f>
        <v>77105341.508576885</v>
      </c>
      <c r="I560" s="284">
        <f t="shared" si="140"/>
        <v>99146466.457273602</v>
      </c>
      <c r="J560" s="284">
        <f t="shared" si="140"/>
        <v>118555897.13249369</v>
      </c>
      <c r="K560" s="284">
        <f t="shared" si="140"/>
        <v>145744221.00069618</v>
      </c>
      <c r="L560" s="284">
        <f t="shared" si="140"/>
        <v>185973512.34589535</v>
      </c>
      <c r="M560" s="284">
        <f t="shared" si="140"/>
        <v>223795020.39094317</v>
      </c>
      <c r="N560" s="284">
        <f t="shared" si="140"/>
        <v>256935647.53997916</v>
      </c>
      <c r="O560" s="284">
        <f t="shared" si="140"/>
        <v>286845460.36889184</v>
      </c>
      <c r="P560" s="284">
        <f t="shared" si="140"/>
        <v>307570725.49679601</v>
      </c>
      <c r="Q560" s="284">
        <f t="shared" si="140"/>
        <v>377686068.03154957</v>
      </c>
      <c r="R560" s="284">
        <f t="shared" si="140"/>
        <v>446276844.11829084</v>
      </c>
      <c r="S560" s="74"/>
      <c r="T560" s="61"/>
      <c r="U560" s="52"/>
      <c r="V560" s="52"/>
      <c r="W560" s="98"/>
    </row>
    <row r="561" spans="2:23" s="285" customFormat="1" ht="12">
      <c r="B561" s="295" t="s">
        <v>600</v>
      </c>
      <c r="C561" s="701"/>
      <c r="D561" s="701"/>
      <c r="E561" s="701"/>
      <c r="F561" s="701"/>
      <c r="G561" s="701"/>
      <c r="H561" s="702">
        <f>H560/H$547*100</f>
        <v>55.047045751639168</v>
      </c>
      <c r="I561" s="702">
        <f t="shared" ref="I561:R561" si="141">I560/I$547*100</f>
        <v>57.646723147617131</v>
      </c>
      <c r="J561" s="702">
        <f t="shared" si="141"/>
        <v>59.942750262612165</v>
      </c>
      <c r="K561" s="702">
        <f t="shared" si="141"/>
        <v>61.938628202299519</v>
      </c>
      <c r="L561" s="702">
        <f t="shared" si="141"/>
        <v>61.321217233695691</v>
      </c>
      <c r="M561" s="702">
        <f t="shared" si="141"/>
        <v>62.981719502296343</v>
      </c>
      <c r="N561" s="702">
        <f t="shared" si="141"/>
        <v>65.832822059315447</v>
      </c>
      <c r="O561" s="702">
        <f t="shared" si="141"/>
        <v>66.620234347417608</v>
      </c>
      <c r="P561" s="702">
        <f t="shared" si="141"/>
        <v>67.952237155915483</v>
      </c>
      <c r="Q561" s="702">
        <f t="shared" si="141"/>
        <v>70.029445308674553</v>
      </c>
      <c r="R561" s="702">
        <f t="shared" si="141"/>
        <v>72.118163852929669</v>
      </c>
      <c r="S561" s="414"/>
      <c r="U561" s="286"/>
      <c r="V561" s="286"/>
      <c r="W561" s="287"/>
    </row>
    <row r="562" spans="2:23" s="285" customFormat="1" ht="12">
      <c r="B562" s="295" t="s">
        <v>604</v>
      </c>
      <c r="C562" s="701"/>
      <c r="D562" s="701"/>
      <c r="E562" s="701"/>
      <c r="F562" s="701"/>
      <c r="G562" s="701"/>
      <c r="H562" s="702">
        <f t="shared" ref="H562:R562" si="142">H560/H$629*100</f>
        <v>3.8924131526269945</v>
      </c>
      <c r="I562" s="702">
        <f t="shared" si="142"/>
        <v>4.1177874933816545</v>
      </c>
      <c r="J562" s="702">
        <f t="shared" si="142"/>
        <v>4.3043566665573083</v>
      </c>
      <c r="K562" s="702">
        <f t="shared" si="142"/>
        <v>4.6079518195978935</v>
      </c>
      <c r="L562" s="702">
        <f t="shared" si="142"/>
        <v>5.1342152417209599</v>
      </c>
      <c r="M562" s="702">
        <f t="shared" si="142"/>
        <v>5.4196736445147948</v>
      </c>
      <c r="N562" s="702">
        <f t="shared" si="142"/>
        <v>5.480587520618041</v>
      </c>
      <c r="O562" s="702">
        <f t="shared" si="142"/>
        <v>5.3988025324799258</v>
      </c>
      <c r="P562" s="702">
        <f t="shared" si="142"/>
        <v>5.1079156629244533</v>
      </c>
      <c r="Q562" s="702">
        <f t="shared" si="142"/>
        <v>5.5327348386526776</v>
      </c>
      <c r="R562" s="702">
        <f t="shared" si="142"/>
        <v>5.7647125269697481</v>
      </c>
      <c r="S562" s="414"/>
      <c r="U562" s="286"/>
      <c r="V562" s="286"/>
      <c r="W562" s="287"/>
    </row>
    <row r="563" spans="2:23" s="285" customFormat="1" ht="24">
      <c r="B563" s="295" t="s">
        <v>605</v>
      </c>
      <c r="C563" s="701"/>
      <c r="D563" s="701"/>
      <c r="E563" s="701"/>
      <c r="F563" s="701"/>
      <c r="G563" s="701"/>
      <c r="H563" s="702">
        <f t="shared" ref="H563:R563" si="143">H560/H$635*100</f>
        <v>11.255564112649573</v>
      </c>
      <c r="I563" s="702">
        <f t="shared" si="143"/>
        <v>12.980640316809192</v>
      </c>
      <c r="J563" s="702">
        <f t="shared" si="143"/>
        <v>13.512597681822443</v>
      </c>
      <c r="K563" s="702">
        <f t="shared" si="143"/>
        <v>14.539686601475887</v>
      </c>
      <c r="L563" s="702">
        <f t="shared" si="143"/>
        <v>16.246821208348262</v>
      </c>
      <c r="M563" s="702">
        <f t="shared" si="143"/>
        <v>17.203737518278125</v>
      </c>
      <c r="N563" s="702">
        <f t="shared" si="143"/>
        <v>17.479858781109638</v>
      </c>
      <c r="O563" s="702">
        <f t="shared" si="143"/>
        <v>17.262031611897257</v>
      </c>
      <c r="P563" s="702">
        <f t="shared" si="143"/>
        <v>16.412269420128002</v>
      </c>
      <c r="Q563" s="702">
        <f t="shared" si="143"/>
        <v>17.860840898874599</v>
      </c>
      <c r="R563" s="702">
        <f t="shared" si="143"/>
        <v>18.696120627447822</v>
      </c>
      <c r="S563" s="414"/>
      <c r="U563" s="286"/>
      <c r="V563" s="286"/>
      <c r="W563" s="287"/>
    </row>
    <row r="564" spans="2:23">
      <c r="B564" s="108" t="s">
        <v>601</v>
      </c>
      <c r="C564" s="696"/>
      <c r="D564" s="696"/>
      <c r="E564" s="696"/>
      <c r="F564" s="696"/>
      <c r="G564" s="696"/>
      <c r="H564" s="698">
        <f>H549-H589</f>
        <v>0</v>
      </c>
      <c r="I564" s="698">
        <f>I549-I589</f>
        <v>0</v>
      </c>
      <c r="J564" s="698">
        <f t="shared" ref="J564:R564" si="144">J549-J589</f>
        <v>0</v>
      </c>
      <c r="K564" s="698">
        <f t="shared" si="144"/>
        <v>0</v>
      </c>
      <c r="L564" s="698">
        <f t="shared" si="144"/>
        <v>0</v>
      </c>
      <c r="M564" s="698">
        <f t="shared" si="144"/>
        <v>0</v>
      </c>
      <c r="N564" s="698">
        <f t="shared" si="144"/>
        <v>0</v>
      </c>
      <c r="O564" s="698">
        <f t="shared" si="144"/>
        <v>0</v>
      </c>
      <c r="P564" s="698">
        <f t="shared" si="144"/>
        <v>0</v>
      </c>
      <c r="Q564" s="698">
        <f t="shared" si="144"/>
        <v>0</v>
      </c>
      <c r="R564" s="698">
        <f t="shared" si="144"/>
        <v>0</v>
      </c>
      <c r="S564" s="232"/>
      <c r="T564" s="231"/>
      <c r="U564" s="237"/>
      <c r="V564" s="237"/>
      <c r="W564" s="238"/>
    </row>
    <row r="565" spans="2:23">
      <c r="B565" s="295" t="s">
        <v>600</v>
      </c>
      <c r="C565" s="699"/>
      <c r="D565" s="699"/>
      <c r="E565" s="699"/>
      <c r="F565" s="699"/>
      <c r="G565" s="699"/>
      <c r="H565" s="703">
        <f t="shared" ref="H565:R565" si="145">H564/H549*100</f>
        <v>0</v>
      </c>
      <c r="I565" s="703">
        <f t="shared" si="145"/>
        <v>0</v>
      </c>
      <c r="J565" s="703">
        <f t="shared" si="145"/>
        <v>0</v>
      </c>
      <c r="K565" s="703">
        <f t="shared" si="145"/>
        <v>0</v>
      </c>
      <c r="L565" s="703">
        <f t="shared" si="145"/>
        <v>0</v>
      </c>
      <c r="M565" s="703">
        <f t="shared" si="145"/>
        <v>0</v>
      </c>
      <c r="N565" s="703">
        <f t="shared" si="145"/>
        <v>0</v>
      </c>
      <c r="O565" s="703">
        <f t="shared" si="145"/>
        <v>0</v>
      </c>
      <c r="P565" s="703">
        <f t="shared" si="145"/>
        <v>0</v>
      </c>
      <c r="Q565" s="703">
        <f t="shared" si="145"/>
        <v>0</v>
      </c>
      <c r="R565" s="703">
        <f t="shared" si="145"/>
        <v>0</v>
      </c>
      <c r="S565" s="232"/>
      <c r="T565" s="231"/>
      <c r="U565" s="237"/>
      <c r="V565" s="237"/>
      <c r="W565" s="238"/>
    </row>
    <row r="566" spans="2:23">
      <c r="B566" s="295" t="s">
        <v>604</v>
      </c>
      <c r="C566" s="699"/>
      <c r="D566" s="699"/>
      <c r="E566" s="699"/>
      <c r="F566" s="699"/>
      <c r="G566" s="699"/>
      <c r="H566" s="702">
        <f>H564/H$629*100</f>
        <v>0</v>
      </c>
      <c r="I566" s="702">
        <f>I564/I$629*100</f>
        <v>0</v>
      </c>
      <c r="J566" s="702">
        <f t="shared" ref="J566:R566" si="146">J564/J$629*100</f>
        <v>0</v>
      </c>
      <c r="K566" s="702">
        <f t="shared" si="146"/>
        <v>0</v>
      </c>
      <c r="L566" s="702">
        <f t="shared" si="146"/>
        <v>0</v>
      </c>
      <c r="M566" s="702">
        <f t="shared" si="146"/>
        <v>0</v>
      </c>
      <c r="N566" s="702">
        <f t="shared" si="146"/>
        <v>0</v>
      </c>
      <c r="O566" s="702">
        <f t="shared" si="146"/>
        <v>0</v>
      </c>
      <c r="P566" s="702">
        <f t="shared" si="146"/>
        <v>0</v>
      </c>
      <c r="Q566" s="702">
        <f t="shared" si="146"/>
        <v>0</v>
      </c>
      <c r="R566" s="702">
        <f t="shared" si="146"/>
        <v>0</v>
      </c>
      <c r="S566" s="232"/>
      <c r="T566" s="231"/>
      <c r="U566" s="237"/>
      <c r="V566" s="237"/>
      <c r="W566" s="238"/>
    </row>
    <row r="567" spans="2:23" ht="24.75">
      <c r="B567" s="295" t="s">
        <v>605</v>
      </c>
      <c r="C567" s="699"/>
      <c r="D567" s="699"/>
      <c r="E567" s="699"/>
      <c r="F567" s="699"/>
      <c r="G567" s="699"/>
      <c r="H567" s="702">
        <f t="shared" ref="H567:R567" si="147">H564/H$635*100</f>
        <v>0</v>
      </c>
      <c r="I567" s="702">
        <f t="shared" si="147"/>
        <v>0</v>
      </c>
      <c r="J567" s="702">
        <f t="shared" si="147"/>
        <v>0</v>
      </c>
      <c r="K567" s="702">
        <f t="shared" si="147"/>
        <v>0</v>
      </c>
      <c r="L567" s="702">
        <f t="shared" si="147"/>
        <v>0</v>
      </c>
      <c r="M567" s="702">
        <f t="shared" si="147"/>
        <v>0</v>
      </c>
      <c r="N567" s="702">
        <f t="shared" si="147"/>
        <v>0</v>
      </c>
      <c r="O567" s="702">
        <f t="shared" si="147"/>
        <v>0</v>
      </c>
      <c r="P567" s="702">
        <f t="shared" si="147"/>
        <v>0</v>
      </c>
      <c r="Q567" s="702">
        <f t="shared" si="147"/>
        <v>0</v>
      </c>
      <c r="R567" s="702">
        <f t="shared" si="147"/>
        <v>0</v>
      </c>
      <c r="S567" s="232"/>
      <c r="T567" s="231"/>
      <c r="U567" s="237"/>
      <c r="V567" s="237"/>
      <c r="W567" s="238"/>
    </row>
    <row r="568" spans="2:23">
      <c r="B568" s="325" t="s">
        <v>445</v>
      </c>
      <c r="C568" s="696"/>
      <c r="D568" s="696"/>
      <c r="E568" s="696"/>
      <c r="F568" s="696"/>
      <c r="G568" s="696"/>
      <c r="H568" s="698">
        <f>H551-H593</f>
        <v>23248014.048912395</v>
      </c>
      <c r="I568" s="698">
        <f t="shared" ref="I568:R568" si="148">I551-I593</f>
        <v>28052339.762831315</v>
      </c>
      <c r="J568" s="698">
        <f t="shared" si="148"/>
        <v>29789444.002741881</v>
      </c>
      <c r="K568" s="698">
        <f t="shared" si="148"/>
        <v>34505507.374787733</v>
      </c>
      <c r="L568" s="698">
        <f t="shared" si="148"/>
        <v>58279002.577476025</v>
      </c>
      <c r="M568" s="698">
        <f t="shared" si="148"/>
        <v>63344856.452905595</v>
      </c>
      <c r="N568" s="698">
        <f t="shared" si="148"/>
        <v>65700397.172195733</v>
      </c>
      <c r="O568" s="698">
        <f t="shared" si="148"/>
        <v>74521930.784116417</v>
      </c>
      <c r="P568" s="698">
        <f t="shared" si="148"/>
        <v>76400665.89066425</v>
      </c>
      <c r="Q568" s="698">
        <f t="shared" si="148"/>
        <v>91107836.119867548</v>
      </c>
      <c r="R568" s="698">
        <f t="shared" si="148"/>
        <v>100446493.38034464</v>
      </c>
      <c r="S568" s="74"/>
      <c r="T568" s="61"/>
      <c r="U568" s="52"/>
      <c r="V568" s="52"/>
      <c r="W568" s="98"/>
    </row>
    <row r="569" spans="2:23" s="282" customFormat="1">
      <c r="B569" s="295" t="s">
        <v>600</v>
      </c>
      <c r="C569" s="700"/>
      <c r="D569" s="700"/>
      <c r="E569" s="700"/>
      <c r="F569" s="700"/>
      <c r="G569" s="700"/>
      <c r="H569" s="703">
        <f t="shared" ref="H569:R569" si="149">H568/H551*100</f>
        <v>55.199052076887114</v>
      </c>
      <c r="I569" s="703">
        <f t="shared" si="149"/>
        <v>54.086055183820115</v>
      </c>
      <c r="J569" s="703">
        <f t="shared" si="149"/>
        <v>52.186731674114597</v>
      </c>
      <c r="K569" s="703">
        <f t="shared" si="149"/>
        <v>51.123776168442092</v>
      </c>
      <c r="L569" s="703">
        <f t="shared" si="149"/>
        <v>49.271543123962495</v>
      </c>
      <c r="M569" s="703">
        <f t="shared" si="149"/>
        <v>47.849052791780593</v>
      </c>
      <c r="N569" s="703">
        <f t="shared" si="149"/>
        <v>49.02869165802921</v>
      </c>
      <c r="O569" s="703">
        <f t="shared" si="149"/>
        <v>50.092067663579655</v>
      </c>
      <c r="P569" s="703">
        <f t="shared" si="149"/>
        <v>50.857155110586326</v>
      </c>
      <c r="Q569" s="703">
        <f t="shared" si="149"/>
        <v>52.218208996836111</v>
      </c>
      <c r="R569" s="703">
        <f t="shared" si="149"/>
        <v>53.296724184948488</v>
      </c>
      <c r="S569" s="413"/>
      <c r="T569" s="279"/>
      <c r="U569" s="280"/>
      <c r="V569" s="280"/>
      <c r="W569" s="281"/>
    </row>
    <row r="570" spans="2:23" s="282" customFormat="1">
      <c r="B570" s="295" t="s">
        <v>604</v>
      </c>
      <c r="C570" s="700"/>
      <c r="D570" s="700"/>
      <c r="E570" s="700"/>
      <c r="F570" s="700"/>
      <c r="G570" s="700"/>
      <c r="H570" s="702">
        <f>H568/H$629*100</f>
        <v>1.1736006077656489</v>
      </c>
      <c r="I570" s="702">
        <f>I568/I$629*100</f>
        <v>1.1650800877029677</v>
      </c>
      <c r="J570" s="702">
        <f t="shared" ref="J570:R570" si="150">J568/J$629*100</f>
        <v>1.0815522043828727</v>
      </c>
      <c r="K570" s="702">
        <f t="shared" si="150"/>
        <v>1.0909503951655288</v>
      </c>
      <c r="L570" s="702">
        <f t="shared" si="150"/>
        <v>1.6089223649712749</v>
      </c>
      <c r="M570" s="702">
        <f t="shared" si="150"/>
        <v>1.5340307770640587</v>
      </c>
      <c r="N570" s="702">
        <f t="shared" si="150"/>
        <v>1.4014278683753172</v>
      </c>
      <c r="O570" s="702">
        <f t="shared" si="150"/>
        <v>1.4025991142588561</v>
      </c>
      <c r="P570" s="702">
        <f t="shared" si="150"/>
        <v>1.2688078728248382</v>
      </c>
      <c r="Q570" s="702">
        <f t="shared" si="150"/>
        <v>1.3346414963141893</v>
      </c>
      <c r="R570" s="702">
        <f t="shared" si="150"/>
        <v>1.2975021364235828</v>
      </c>
      <c r="S570" s="413"/>
      <c r="T570" s="279"/>
      <c r="U570" s="280"/>
      <c r="V570" s="280"/>
      <c r="W570" s="281"/>
    </row>
    <row r="571" spans="2:23" s="282" customFormat="1" ht="24.75">
      <c r="B571" s="295" t="s">
        <v>605</v>
      </c>
      <c r="C571" s="700"/>
      <c r="D571" s="700"/>
      <c r="E571" s="700"/>
      <c r="F571" s="700"/>
      <c r="G571" s="700"/>
      <c r="H571" s="702">
        <f t="shared" ref="H571:R571" si="151">H568/H$635*100</f>
        <v>3.3936625854929181</v>
      </c>
      <c r="I571" s="702">
        <f t="shared" si="151"/>
        <v>3.6727212327144301</v>
      </c>
      <c r="J571" s="702">
        <f t="shared" si="151"/>
        <v>3.3952994470142106</v>
      </c>
      <c r="K571" s="702">
        <f t="shared" si="151"/>
        <v>3.4423269739932407</v>
      </c>
      <c r="L571" s="702">
        <f t="shared" si="151"/>
        <v>5.091308558586884</v>
      </c>
      <c r="M571" s="702">
        <f t="shared" si="151"/>
        <v>4.8694929924941999</v>
      </c>
      <c r="N571" s="702">
        <f t="shared" si="151"/>
        <v>4.4697326954372887</v>
      </c>
      <c r="O571" s="702">
        <f t="shared" si="151"/>
        <v>4.4846445306148066</v>
      </c>
      <c r="P571" s="702">
        <f t="shared" si="151"/>
        <v>4.0768129361122423</v>
      </c>
      <c r="Q571" s="702">
        <f t="shared" si="151"/>
        <v>4.308505669956995</v>
      </c>
      <c r="R571" s="702">
        <f t="shared" si="151"/>
        <v>4.2080600452245012</v>
      </c>
      <c r="S571" s="413"/>
      <c r="T571" s="279"/>
      <c r="U571" s="280"/>
      <c r="V571" s="280"/>
      <c r="W571" s="281"/>
    </row>
    <row r="572" spans="2:23">
      <c r="B572" s="325" t="s">
        <v>441</v>
      </c>
      <c r="C572" s="696"/>
      <c r="D572" s="696"/>
      <c r="E572" s="696"/>
      <c r="F572" s="696"/>
      <c r="G572" s="696"/>
      <c r="H572" s="698">
        <f>H553-H597</f>
        <v>47203524.886623278</v>
      </c>
      <c r="I572" s="698">
        <f t="shared" ref="I572:R572" si="152">I553-I597</f>
        <v>64170009.610990763</v>
      </c>
      <c r="J572" s="698">
        <f t="shared" si="152"/>
        <v>81527760.007746756</v>
      </c>
      <c r="K572" s="698">
        <f t="shared" si="152"/>
        <v>103679407.18637572</v>
      </c>
      <c r="L572" s="698">
        <f t="shared" si="152"/>
        <v>119695349.96492332</v>
      </c>
      <c r="M572" s="698">
        <f t="shared" si="152"/>
        <v>152106454.11629218</v>
      </c>
      <c r="N572" s="698">
        <f t="shared" si="152"/>
        <v>182397514.04582751</v>
      </c>
      <c r="O572" s="698">
        <f t="shared" si="152"/>
        <v>203080813.04919615</v>
      </c>
      <c r="P572" s="698">
        <f t="shared" si="152"/>
        <v>221539341.03162712</v>
      </c>
      <c r="Q572" s="698">
        <f t="shared" si="152"/>
        <v>276456864.46106786</v>
      </c>
      <c r="R572" s="698">
        <f t="shared" si="152"/>
        <v>335129474.79002535</v>
      </c>
      <c r="S572" s="74"/>
      <c r="T572" s="61"/>
      <c r="U572" s="52"/>
      <c r="V572" s="52"/>
      <c r="W572" s="98"/>
    </row>
    <row r="573" spans="2:23" s="60" customFormat="1">
      <c r="B573" s="295" t="s">
        <v>600</v>
      </c>
      <c r="C573" s="696"/>
      <c r="D573" s="696"/>
      <c r="E573" s="696"/>
      <c r="F573" s="696"/>
      <c r="G573" s="696"/>
      <c r="H573" s="703">
        <f>H572/H553*100</f>
        <v>72.443310057898131</v>
      </c>
      <c r="I573" s="703">
        <f t="shared" ref="I573:R573" si="153">I572/I553*100</f>
        <v>76.11255119189596</v>
      </c>
      <c r="J573" s="703">
        <f t="shared" si="153"/>
        <v>79.581634288927035</v>
      </c>
      <c r="K573" s="703">
        <f t="shared" si="153"/>
        <v>81.514738028613152</v>
      </c>
      <c r="L573" s="703">
        <f t="shared" si="153"/>
        <v>84.651987943493438</v>
      </c>
      <c r="M573" s="703">
        <f t="shared" si="153"/>
        <v>85.99568347885581</v>
      </c>
      <c r="N573" s="703">
        <f t="shared" si="153"/>
        <v>88.245605974216701</v>
      </c>
      <c r="O573" s="703">
        <f t="shared" si="153"/>
        <v>88.628721160131647</v>
      </c>
      <c r="P573" s="703">
        <f t="shared" si="153"/>
        <v>89.787908234462193</v>
      </c>
      <c r="Q573" s="703">
        <f t="shared" si="153"/>
        <v>90.504381437993672</v>
      </c>
      <c r="R573" s="703">
        <f t="shared" si="153"/>
        <v>91.427572536186901</v>
      </c>
      <c r="S573" s="99"/>
      <c r="T573" s="239"/>
      <c r="U573" s="250"/>
      <c r="V573" s="250"/>
      <c r="W573" s="240"/>
    </row>
    <row r="574" spans="2:23" s="60" customFormat="1">
      <c r="B574" s="295" t="s">
        <v>604</v>
      </c>
      <c r="C574" s="696"/>
      <c r="D574" s="696"/>
      <c r="E574" s="696"/>
      <c r="F574" s="696"/>
      <c r="G574" s="696"/>
      <c r="H574" s="702">
        <f t="shared" ref="H574:R574" si="154">H572/H$629*100</f>
        <v>2.3829168968612908</v>
      </c>
      <c r="I574" s="702">
        <f t="shared" si="154"/>
        <v>2.6651324295071053</v>
      </c>
      <c r="J574" s="702">
        <f t="shared" si="154"/>
        <v>2.9599924237142647</v>
      </c>
      <c r="K574" s="702">
        <f t="shared" si="154"/>
        <v>3.2780010742038881</v>
      </c>
      <c r="L574" s="702">
        <f t="shared" si="154"/>
        <v>3.3044581585900095</v>
      </c>
      <c r="M574" s="702">
        <f t="shared" si="154"/>
        <v>3.683582141794739</v>
      </c>
      <c r="N574" s="702">
        <f t="shared" si="154"/>
        <v>3.8906455715366293</v>
      </c>
      <c r="O574" s="702">
        <f t="shared" si="154"/>
        <v>3.8222435397028356</v>
      </c>
      <c r="P574" s="702">
        <f t="shared" si="154"/>
        <v>3.6791676717009212</v>
      </c>
      <c r="Q574" s="702">
        <f t="shared" si="154"/>
        <v>4.0498251189415369</v>
      </c>
      <c r="R574" s="702">
        <f t="shared" si="154"/>
        <v>4.3289834705534771</v>
      </c>
      <c r="S574" s="99"/>
      <c r="T574" s="239"/>
      <c r="U574" s="250"/>
      <c r="V574" s="250"/>
      <c r="W574" s="240"/>
    </row>
    <row r="575" spans="2:23" s="60" customFormat="1" ht="24.75">
      <c r="B575" s="295" t="s">
        <v>605</v>
      </c>
      <c r="C575" s="696"/>
      <c r="D575" s="696"/>
      <c r="E575" s="696"/>
      <c r="F575" s="696"/>
      <c r="G575" s="696"/>
      <c r="H575" s="702">
        <f t="shared" ref="H575:R575" si="155">H572/H$635*100</f>
        <v>6.8906030413643657</v>
      </c>
      <c r="I575" s="702">
        <f t="shared" si="155"/>
        <v>8.4013867931987374</v>
      </c>
      <c r="J575" s="702">
        <f t="shared" si="155"/>
        <v>9.2922566277212688</v>
      </c>
      <c r="K575" s="702">
        <f t="shared" si="155"/>
        <v>10.343230607472998</v>
      </c>
      <c r="L575" s="702">
        <f t="shared" si="155"/>
        <v>10.45669851486087</v>
      </c>
      <c r="M575" s="702">
        <f t="shared" si="155"/>
        <v>11.692840648918237</v>
      </c>
      <c r="N575" s="702">
        <f t="shared" si="155"/>
        <v>12.408876767675569</v>
      </c>
      <c r="O575" s="702">
        <f t="shared" si="155"/>
        <v>12.221170975188977</v>
      </c>
      <c r="P575" s="702">
        <f t="shared" si="155"/>
        <v>11.821552087884122</v>
      </c>
      <c r="Q575" s="702">
        <f t="shared" si="155"/>
        <v>13.073693973610917</v>
      </c>
      <c r="R575" s="702">
        <f t="shared" si="155"/>
        <v>14.039762916372089</v>
      </c>
      <c r="S575" s="99"/>
      <c r="T575" s="239"/>
      <c r="U575" s="250"/>
      <c r="V575" s="250"/>
      <c r="W575" s="240"/>
    </row>
    <row r="576" spans="2:23">
      <c r="B576" s="325" t="s">
        <v>396</v>
      </c>
      <c r="C576" s="696"/>
      <c r="D576" s="696"/>
      <c r="E576" s="696"/>
      <c r="F576" s="696"/>
      <c r="G576" s="696"/>
      <c r="H576" s="698">
        <f>H555-H601</f>
        <v>6653802.5730412081</v>
      </c>
      <c r="I576" s="698">
        <f t="shared" ref="I576:R576" si="156">I555-I601</f>
        <v>6924117.0834515356</v>
      </c>
      <c r="J576" s="698">
        <f t="shared" si="156"/>
        <v>7238693.1220050603</v>
      </c>
      <c r="K576" s="698">
        <f t="shared" si="156"/>
        <v>7559306.4395327196</v>
      </c>
      <c r="L576" s="698">
        <f t="shared" si="156"/>
        <v>7999159.8034960069</v>
      </c>
      <c r="M576" s="698">
        <f t="shared" si="156"/>
        <v>8343709.8217454366</v>
      </c>
      <c r="N576" s="698">
        <f t="shared" si="156"/>
        <v>8837736.3219559491</v>
      </c>
      <c r="O576" s="698">
        <f t="shared" si="156"/>
        <v>9242716.5355793014</v>
      </c>
      <c r="P576" s="698">
        <f t="shared" si="156"/>
        <v>9630718.5745046213</v>
      </c>
      <c r="Q576" s="698">
        <f t="shared" si="156"/>
        <v>10121367.450614125</v>
      </c>
      <c r="R576" s="698">
        <f t="shared" si="156"/>
        <v>10700875.947920844</v>
      </c>
      <c r="S576" s="74"/>
      <c r="T576" s="61"/>
      <c r="U576" s="52"/>
      <c r="V576" s="52"/>
      <c r="W576" s="98"/>
    </row>
    <row r="577" spans="2:23">
      <c r="B577" s="295" t="s">
        <v>600</v>
      </c>
      <c r="C577" s="696"/>
      <c r="D577" s="696"/>
      <c r="E577" s="696"/>
      <c r="F577" s="696"/>
      <c r="G577" s="696"/>
      <c r="H577" s="703">
        <f>H576/H555*100</f>
        <v>22.236552528865108</v>
      </c>
      <c r="I577" s="703">
        <f t="shared" ref="I577:R577" si="157">I576/I555*100</f>
        <v>21.950173989739994</v>
      </c>
      <c r="J577" s="703">
        <f t="shared" si="157"/>
        <v>21.651886676016183</v>
      </c>
      <c r="K577" s="703">
        <f t="shared" si="157"/>
        <v>21.380645265135652</v>
      </c>
      <c r="L577" s="703">
        <f t="shared" si="157"/>
        <v>21.053213509682443</v>
      </c>
      <c r="M577" s="703">
        <f t="shared" si="157"/>
        <v>20.826858106593043</v>
      </c>
      <c r="N577" s="703">
        <f t="shared" si="157"/>
        <v>20.540255839976293</v>
      </c>
      <c r="O577" s="703">
        <f t="shared" si="157"/>
        <v>20.333191868904358</v>
      </c>
      <c r="P577" s="703">
        <f t="shared" si="157"/>
        <v>20.154561785788104</v>
      </c>
      <c r="Q577" s="703">
        <f t="shared" si="157"/>
        <v>19.952149912923957</v>
      </c>
      <c r="R577" s="703">
        <f t="shared" si="157"/>
        <v>19.741399265059787</v>
      </c>
      <c r="S577" s="74"/>
      <c r="T577" s="61"/>
      <c r="U577" s="52"/>
      <c r="V577" s="52"/>
      <c r="W577" s="98"/>
    </row>
    <row r="578" spans="2:23">
      <c r="B578" s="295" t="s">
        <v>604</v>
      </c>
      <c r="C578" s="696"/>
      <c r="D578" s="696"/>
      <c r="E578" s="696"/>
      <c r="F578" s="696"/>
      <c r="G578" s="696"/>
      <c r="H578" s="702">
        <f t="shared" ref="H578:R578" si="158">H576/H$629*100</f>
        <v>0.3358956480000545</v>
      </c>
      <c r="I578" s="702">
        <f t="shared" si="158"/>
        <v>0.28757497617158179</v>
      </c>
      <c r="J578" s="702">
        <f t="shared" si="158"/>
        <v>0.26281203846017104</v>
      </c>
      <c r="K578" s="702">
        <f t="shared" si="158"/>
        <v>0.23900035022847654</v>
      </c>
      <c r="L578" s="702">
        <f t="shared" si="158"/>
        <v>0.22083471815967609</v>
      </c>
      <c r="M578" s="702">
        <f t="shared" si="158"/>
        <v>0.20206072565599861</v>
      </c>
      <c r="N578" s="702">
        <f t="shared" si="158"/>
        <v>0.18851408070609557</v>
      </c>
      <c r="O578" s="702">
        <f t="shared" si="158"/>
        <v>0.17395987851823502</v>
      </c>
      <c r="P578" s="702">
        <f t="shared" si="158"/>
        <v>0.15994011839869351</v>
      </c>
      <c r="Q578" s="702">
        <f t="shared" si="158"/>
        <v>0.14826822339695148</v>
      </c>
      <c r="R578" s="702">
        <f t="shared" si="158"/>
        <v>0.13822691999268866</v>
      </c>
      <c r="S578" s="74"/>
      <c r="T578" s="61"/>
      <c r="U578" s="52"/>
      <c r="V578" s="52"/>
      <c r="W578" s="98"/>
    </row>
    <row r="579" spans="2:23" ht="24.75">
      <c r="B579" s="295" t="s">
        <v>605</v>
      </c>
      <c r="C579" s="696"/>
      <c r="D579" s="696"/>
      <c r="E579" s="696"/>
      <c r="F579" s="696"/>
      <c r="G579" s="696"/>
      <c r="H579" s="702">
        <f t="shared" ref="H579:R579" si="159">H576/H$635*100</f>
        <v>0.97129848579228828</v>
      </c>
      <c r="I579" s="702">
        <f t="shared" si="159"/>
        <v>0.90653229089602649</v>
      </c>
      <c r="J579" s="702">
        <f t="shared" si="159"/>
        <v>0.82504160708696628</v>
      </c>
      <c r="K579" s="702">
        <f t="shared" si="159"/>
        <v>0.75412902000964599</v>
      </c>
      <c r="L579" s="702">
        <f t="shared" si="159"/>
        <v>0.69881413490050814</v>
      </c>
      <c r="M579" s="702">
        <f t="shared" si="159"/>
        <v>0.64140387686569256</v>
      </c>
      <c r="N579" s="702">
        <f t="shared" si="159"/>
        <v>0.60124931799677905</v>
      </c>
      <c r="O579" s="702">
        <f t="shared" si="159"/>
        <v>0.55621610609347572</v>
      </c>
      <c r="P579" s="702">
        <f t="shared" si="159"/>
        <v>0.51390439613163874</v>
      </c>
      <c r="Q579" s="702">
        <f t="shared" si="159"/>
        <v>0.47864125530668494</v>
      </c>
      <c r="R579" s="702">
        <f t="shared" si="159"/>
        <v>0.44829766585123032</v>
      </c>
      <c r="S579" s="74"/>
      <c r="T579" s="61"/>
      <c r="U579" s="52"/>
      <c r="V579" s="52"/>
      <c r="W579" s="98"/>
    </row>
    <row r="580" spans="2:23">
      <c r="B580" s="326" t="s">
        <v>427</v>
      </c>
      <c r="C580" s="696"/>
      <c r="D580" s="696"/>
      <c r="E580" s="696"/>
      <c r="F580" s="696"/>
      <c r="G580" s="696"/>
      <c r="H580" s="698">
        <f>H557-H605</f>
        <v>0</v>
      </c>
      <c r="I580" s="698">
        <f t="shared" ref="I580:R580" si="160">I557-I605</f>
        <v>0</v>
      </c>
      <c r="J580" s="698">
        <f t="shared" si="160"/>
        <v>0</v>
      </c>
      <c r="K580" s="698">
        <f t="shared" si="160"/>
        <v>0</v>
      </c>
      <c r="L580" s="698">
        <f t="shared" si="160"/>
        <v>0</v>
      </c>
      <c r="M580" s="698">
        <f t="shared" si="160"/>
        <v>0</v>
      </c>
      <c r="N580" s="698">
        <f t="shared" si="160"/>
        <v>0</v>
      </c>
      <c r="O580" s="698">
        <f t="shared" si="160"/>
        <v>0</v>
      </c>
      <c r="P580" s="698">
        <f t="shared" si="160"/>
        <v>0</v>
      </c>
      <c r="Q580" s="698">
        <f t="shared" si="160"/>
        <v>0</v>
      </c>
      <c r="R580" s="698">
        <f t="shared" si="160"/>
        <v>0</v>
      </c>
      <c r="S580" s="74"/>
      <c r="T580" s="61"/>
      <c r="U580" s="52"/>
      <c r="V580" s="52"/>
      <c r="W580" s="98"/>
    </row>
    <row r="581" spans="2:23">
      <c r="B581" s="295" t="s">
        <v>600</v>
      </c>
      <c r="C581" s="696"/>
      <c r="D581" s="696"/>
      <c r="E581" s="696"/>
      <c r="F581" s="696"/>
      <c r="G581" s="696"/>
      <c r="H581" s="703">
        <f>H580/H557*100</f>
        <v>0</v>
      </c>
      <c r="I581" s="703">
        <f t="shared" ref="I581:R581" si="161">I580/I557*100</f>
        <v>0</v>
      </c>
      <c r="J581" s="703">
        <f t="shared" si="161"/>
        <v>0</v>
      </c>
      <c r="K581" s="703">
        <f t="shared" si="161"/>
        <v>0</v>
      </c>
      <c r="L581" s="703">
        <f t="shared" si="161"/>
        <v>0</v>
      </c>
      <c r="M581" s="703">
        <f t="shared" si="161"/>
        <v>0</v>
      </c>
      <c r="N581" s="703">
        <f t="shared" si="161"/>
        <v>0</v>
      </c>
      <c r="O581" s="703">
        <f t="shared" si="161"/>
        <v>0</v>
      </c>
      <c r="P581" s="703">
        <f t="shared" si="161"/>
        <v>0</v>
      </c>
      <c r="Q581" s="703">
        <f t="shared" si="161"/>
        <v>0</v>
      </c>
      <c r="R581" s="703">
        <f t="shared" si="161"/>
        <v>0</v>
      </c>
      <c r="S581" s="74"/>
      <c r="T581" s="61"/>
      <c r="U581" s="52"/>
      <c r="V581" s="52"/>
      <c r="W581" s="98"/>
    </row>
    <row r="582" spans="2:23">
      <c r="B582" s="295" t="s">
        <v>604</v>
      </c>
      <c r="C582" s="696"/>
      <c r="D582" s="696"/>
      <c r="E582" s="696"/>
      <c r="F582" s="696"/>
      <c r="G582" s="696"/>
      <c r="H582" s="702">
        <f>H580/H$629*100</f>
        <v>0</v>
      </c>
      <c r="I582" s="702">
        <f t="shared" ref="I582:R582" si="162">I580/I$629*100</f>
        <v>0</v>
      </c>
      <c r="J582" s="702">
        <f t="shared" si="162"/>
        <v>0</v>
      </c>
      <c r="K582" s="702">
        <f t="shared" si="162"/>
        <v>0</v>
      </c>
      <c r="L582" s="702">
        <f t="shared" si="162"/>
        <v>0</v>
      </c>
      <c r="M582" s="702">
        <f t="shared" si="162"/>
        <v>0</v>
      </c>
      <c r="N582" s="702">
        <f t="shared" si="162"/>
        <v>0</v>
      </c>
      <c r="O582" s="702">
        <f t="shared" si="162"/>
        <v>0</v>
      </c>
      <c r="P582" s="702">
        <f t="shared" si="162"/>
        <v>0</v>
      </c>
      <c r="Q582" s="702">
        <f t="shared" si="162"/>
        <v>0</v>
      </c>
      <c r="R582" s="702">
        <f t="shared" si="162"/>
        <v>0</v>
      </c>
      <c r="S582" s="74"/>
      <c r="T582" s="61"/>
      <c r="U582" s="52"/>
      <c r="V582" s="52"/>
      <c r="W582" s="98"/>
    </row>
    <row r="583" spans="2:23" ht="24.75">
      <c r="B583" s="394" t="s">
        <v>605</v>
      </c>
      <c r="C583" s="704"/>
      <c r="D583" s="704"/>
      <c r="E583" s="704"/>
      <c r="F583" s="704"/>
      <c r="G583" s="704"/>
      <c r="H583" s="705">
        <f t="shared" ref="H583:R583" si="163">H580/H$635*100</f>
        <v>0</v>
      </c>
      <c r="I583" s="705">
        <f t="shared" si="163"/>
        <v>0</v>
      </c>
      <c r="J583" s="705">
        <f t="shared" si="163"/>
        <v>0</v>
      </c>
      <c r="K583" s="705">
        <f t="shared" si="163"/>
        <v>0</v>
      </c>
      <c r="L583" s="705">
        <f t="shared" si="163"/>
        <v>0</v>
      </c>
      <c r="M583" s="705">
        <f t="shared" si="163"/>
        <v>0</v>
      </c>
      <c r="N583" s="705">
        <f t="shared" si="163"/>
        <v>0</v>
      </c>
      <c r="O583" s="705">
        <f t="shared" si="163"/>
        <v>0</v>
      </c>
      <c r="P583" s="705">
        <f t="shared" si="163"/>
        <v>0</v>
      </c>
      <c r="Q583" s="705">
        <f t="shared" si="163"/>
        <v>0</v>
      </c>
      <c r="R583" s="705">
        <f t="shared" si="163"/>
        <v>0</v>
      </c>
      <c r="S583" s="74"/>
      <c r="T583" s="61"/>
      <c r="U583" s="52"/>
      <c r="V583" s="52"/>
      <c r="W583" s="98"/>
    </row>
    <row r="584" spans="2:23">
      <c r="B584" s="662"/>
      <c r="C584" s="663">
        <v>2005</v>
      </c>
      <c r="D584" s="664">
        <v>2006</v>
      </c>
      <c r="E584" s="664">
        <v>2007</v>
      </c>
      <c r="F584" s="664">
        <v>2008</v>
      </c>
      <c r="G584" s="664">
        <v>2009</v>
      </c>
      <c r="H584" s="664">
        <v>2010</v>
      </c>
      <c r="I584" s="665">
        <v>2011</v>
      </c>
      <c r="J584" s="665">
        <v>2012</v>
      </c>
      <c r="K584" s="665">
        <v>2013</v>
      </c>
      <c r="L584" s="665">
        <v>2014</v>
      </c>
      <c r="M584" s="665">
        <v>2015</v>
      </c>
      <c r="N584" s="665">
        <v>2016</v>
      </c>
      <c r="O584" s="665">
        <v>2017</v>
      </c>
      <c r="P584" s="665">
        <v>2018</v>
      </c>
      <c r="Q584" s="665">
        <v>2019</v>
      </c>
      <c r="R584" s="665">
        <v>2020</v>
      </c>
      <c r="S584" s="662" t="s">
        <v>744</v>
      </c>
      <c r="T584" s="709"/>
      <c r="U584" s="52" t="s">
        <v>450</v>
      </c>
      <c r="V584" s="52" t="s">
        <v>451</v>
      </c>
      <c r="W584" s="63" t="s">
        <v>439</v>
      </c>
    </row>
    <row r="585" spans="2:23" s="60" customFormat="1">
      <c r="B585" s="327" t="s">
        <v>609</v>
      </c>
      <c r="C585" s="284">
        <f>C589+C593+C597+C601+C605</f>
        <v>22955874.837359536</v>
      </c>
      <c r="D585" s="284">
        <f t="shared" ref="D585:R585" si="164">D589+D593+D597+D601+D605</f>
        <v>27481026.851028074</v>
      </c>
      <c r="E585" s="284">
        <f t="shared" si="164"/>
        <v>30800249.266938992</v>
      </c>
      <c r="F585" s="284">
        <f t="shared" si="164"/>
        <v>43480593.436612725</v>
      </c>
      <c r="G585" s="284">
        <f t="shared" si="164"/>
        <v>38946372.852656752</v>
      </c>
      <c r="H585" s="284">
        <f t="shared" si="164"/>
        <v>62966374.340553626</v>
      </c>
      <c r="I585" s="284">
        <f t="shared" si="164"/>
        <v>72843303.374720573</v>
      </c>
      <c r="J585" s="284">
        <f t="shared" si="164"/>
        <v>79225980.764490381</v>
      </c>
      <c r="K585" s="284">
        <f t="shared" si="164"/>
        <v>89560023.266188189</v>
      </c>
      <c r="L585" s="284">
        <f t="shared" si="164"/>
        <v>117304081.83027484</v>
      </c>
      <c r="M585" s="284">
        <f t="shared" si="164"/>
        <v>131538276.57117532</v>
      </c>
      <c r="N585" s="284">
        <f t="shared" si="164"/>
        <v>133349379.75002503</v>
      </c>
      <c r="O585" s="284">
        <f t="shared" si="164"/>
        <v>143722614.29896736</v>
      </c>
      <c r="P585" s="284">
        <f t="shared" si="164"/>
        <v>145057088.3470355</v>
      </c>
      <c r="Q585" s="284">
        <f t="shared" si="164"/>
        <v>161638592.28353873</v>
      </c>
      <c r="R585" s="284">
        <f t="shared" si="164"/>
        <v>172536531.42518765</v>
      </c>
      <c r="S585" s="99" t="s">
        <v>433</v>
      </c>
      <c r="T585" s="239"/>
      <c r="U585" s="250">
        <f>POWER(M585/H585,1/5)</f>
        <v>1.1587471849559436</v>
      </c>
      <c r="V585" s="250">
        <f>POWER(R585/M585,1/5)</f>
        <v>1.0557614085844333</v>
      </c>
      <c r="W585" s="240">
        <f>SUM(I585:M585)</f>
        <v>490471665.8068493</v>
      </c>
    </row>
    <row r="586" spans="2:23">
      <c r="B586" s="295" t="s">
        <v>606</v>
      </c>
      <c r="C586" s="702"/>
      <c r="D586" s="702"/>
      <c r="E586" s="702"/>
      <c r="F586" s="702"/>
      <c r="G586" s="702"/>
      <c r="H586" s="703">
        <f>H585/H547*100</f>
        <v>44.952954248360832</v>
      </c>
      <c r="I586" s="703">
        <f t="shared" ref="I586:R586" si="165">I585/I547*100</f>
        <v>42.353276852382876</v>
      </c>
      <c r="J586" s="703">
        <f t="shared" si="165"/>
        <v>40.057249737387835</v>
      </c>
      <c r="K586" s="703">
        <f t="shared" si="165"/>
        <v>38.061371797700488</v>
      </c>
      <c r="L586" s="703">
        <f t="shared" si="165"/>
        <v>38.678782766304309</v>
      </c>
      <c r="M586" s="703">
        <f t="shared" si="165"/>
        <v>37.018280497703657</v>
      </c>
      <c r="N586" s="703">
        <f t="shared" si="165"/>
        <v>34.16717794068456</v>
      </c>
      <c r="O586" s="703">
        <f t="shared" si="165"/>
        <v>33.379765652582385</v>
      </c>
      <c r="P586" s="703">
        <f t="shared" si="165"/>
        <v>32.047762844084524</v>
      </c>
      <c r="Q586" s="703">
        <f t="shared" si="165"/>
        <v>29.970554691325447</v>
      </c>
      <c r="R586" s="703">
        <f t="shared" si="165"/>
        <v>27.881836147070327</v>
      </c>
      <c r="S586" s="192"/>
      <c r="T586" s="100"/>
      <c r="U586" s="52"/>
      <c r="V586" s="52"/>
      <c r="W586" s="98"/>
    </row>
    <row r="587" spans="2:23">
      <c r="B587" s="295" t="s">
        <v>607</v>
      </c>
      <c r="C587" s="702">
        <f t="shared" ref="C587:R587" si="166">C585/C$629*100</f>
        <v>2.7354106803685418</v>
      </c>
      <c r="D587" s="702">
        <f t="shared" si="166"/>
        <v>2.8206932252547374</v>
      </c>
      <c r="E587" s="702">
        <f t="shared" si="166"/>
        <v>2.6929995243907481</v>
      </c>
      <c r="F587" s="702">
        <f t="shared" si="166"/>
        <v>2.9279111670282325</v>
      </c>
      <c r="G587" s="702">
        <f t="shared" si="166"/>
        <v>2.3484461638769161</v>
      </c>
      <c r="H587" s="702">
        <f t="shared" si="166"/>
        <v>3.1786532406336971</v>
      </c>
      <c r="I587" s="702">
        <f t="shared" si="166"/>
        <v>3.02535485460082</v>
      </c>
      <c r="J587" s="702">
        <f t="shared" si="166"/>
        <v>2.8764227399592559</v>
      </c>
      <c r="K587" s="702">
        <f t="shared" si="166"/>
        <v>2.8315926994504315</v>
      </c>
      <c r="L587" s="702">
        <f t="shared" si="166"/>
        <v>3.2384418471858392</v>
      </c>
      <c r="M587" s="702">
        <f t="shared" si="166"/>
        <v>3.1854798624757388</v>
      </c>
      <c r="N587" s="702">
        <f t="shared" si="166"/>
        <v>2.8444202022470466</v>
      </c>
      <c r="O587" s="702">
        <f t="shared" si="166"/>
        <v>2.7050454731060811</v>
      </c>
      <c r="P587" s="702">
        <f t="shared" si="166"/>
        <v>2.4090048634806021</v>
      </c>
      <c r="Q587" s="702">
        <f t="shared" si="166"/>
        <v>2.367848714830556</v>
      </c>
      <c r="R587" s="702">
        <f t="shared" si="166"/>
        <v>2.2287141203388368</v>
      </c>
      <c r="S587" s="192"/>
      <c r="T587" s="100"/>
      <c r="U587" s="52"/>
      <c r="V587" s="52"/>
      <c r="W587" s="98"/>
    </row>
    <row r="588" spans="2:23" ht="24.75">
      <c r="B588" s="295" t="s">
        <v>608</v>
      </c>
      <c r="C588" s="702">
        <f t="shared" ref="C588:R588" si="167">C585/C$635*100</f>
        <v>8.9703805599428108</v>
      </c>
      <c r="D588" s="702">
        <f t="shared" si="167"/>
        <v>9.7635333756219485</v>
      </c>
      <c r="E588" s="702">
        <f t="shared" si="167"/>
        <v>8.629184303688497</v>
      </c>
      <c r="F588" s="702">
        <f t="shared" si="167"/>
        <v>9.6992807572991939</v>
      </c>
      <c r="G588" s="702">
        <f t="shared" si="167"/>
        <v>6.5846319676730829</v>
      </c>
      <c r="H588" s="702">
        <f t="shared" si="167"/>
        <v>9.1916078635402823</v>
      </c>
      <c r="I588" s="702">
        <f t="shared" si="167"/>
        <v>9.5369280861152976</v>
      </c>
      <c r="J588" s="702">
        <f t="shared" si="167"/>
        <v>9.0299076630659414</v>
      </c>
      <c r="K588" s="702">
        <f t="shared" si="167"/>
        <v>8.934657315194988</v>
      </c>
      <c r="L588" s="702">
        <f t="shared" si="167"/>
        <v>10.247795078265041</v>
      </c>
      <c r="M588" s="702">
        <f t="shared" si="167"/>
        <v>10.111708382894626</v>
      </c>
      <c r="N588" s="702">
        <f t="shared" si="167"/>
        <v>9.0720316503232823</v>
      </c>
      <c r="O588" s="702">
        <f t="shared" si="167"/>
        <v>8.6490624888493013</v>
      </c>
      <c r="P588" s="702">
        <f t="shared" si="167"/>
        <v>7.7403856020610036</v>
      </c>
      <c r="Q588" s="702">
        <f t="shared" si="167"/>
        <v>7.6439175925683926</v>
      </c>
      <c r="R588" s="702">
        <f t="shared" si="167"/>
        <v>7.2281675526766165</v>
      </c>
      <c r="S588" s="192"/>
      <c r="T588" s="100"/>
      <c r="U588" s="52"/>
      <c r="V588" s="52"/>
      <c r="W588" s="98"/>
    </row>
    <row r="589" spans="2:23" s="60" customFormat="1">
      <c r="B589" s="328" t="s">
        <v>601</v>
      </c>
      <c r="C589" s="706">
        <f>C612</f>
        <v>1346000</v>
      </c>
      <c r="D589" s="706">
        <f t="shared" ref="D589:R589" si="168">D612</f>
        <v>1660000</v>
      </c>
      <c r="E589" s="706">
        <f t="shared" si="168"/>
        <v>2090000</v>
      </c>
      <c r="F589" s="706">
        <f t="shared" si="168"/>
        <v>2367000</v>
      </c>
      <c r="G589" s="706">
        <f t="shared" si="168"/>
        <v>2522216.3186679631</v>
      </c>
      <c r="H589" s="706">
        <f t="shared" si="168"/>
        <v>2677432.6373359263</v>
      </c>
      <c r="I589" s="706">
        <f t="shared" si="168"/>
        <v>4025896.7386713047</v>
      </c>
      <c r="J589" s="706">
        <f t="shared" si="168"/>
        <v>4530017.454655475</v>
      </c>
      <c r="K589" s="706">
        <f t="shared" si="168"/>
        <v>4947430.4672634797</v>
      </c>
      <c r="L589" s="706">
        <f t="shared" si="168"/>
        <v>5252347.5301963659</v>
      </c>
      <c r="M589" s="706">
        <f t="shared" si="168"/>
        <v>5621249.0330140423</v>
      </c>
      <c r="N589" s="706">
        <f t="shared" si="168"/>
        <v>6112398.895697996</v>
      </c>
      <c r="O589" s="706">
        <f t="shared" si="168"/>
        <v>6695044.5935450876</v>
      </c>
      <c r="P589" s="706">
        <f t="shared" si="168"/>
        <v>7340483.3889486352</v>
      </c>
      <c r="Q589" s="706">
        <f t="shared" si="168"/>
        <v>8072300.3749502599</v>
      </c>
      <c r="R589" s="706">
        <f t="shared" si="168"/>
        <v>8957413.5110518802</v>
      </c>
      <c r="S589" s="93"/>
      <c r="T589" s="94"/>
      <c r="U589" s="250"/>
      <c r="V589" s="250"/>
      <c r="W589" s="240"/>
    </row>
    <row r="590" spans="2:23">
      <c r="B590" s="295" t="s">
        <v>606</v>
      </c>
      <c r="C590" s="707"/>
      <c r="D590" s="707"/>
      <c r="E590" s="707"/>
      <c r="F590" s="707"/>
      <c r="G590" s="707"/>
      <c r="H590" s="707">
        <f>H589/H549*100</f>
        <v>100</v>
      </c>
      <c r="I590" s="707"/>
      <c r="J590" s="707"/>
      <c r="K590" s="707"/>
      <c r="L590" s="707"/>
      <c r="M590" s="707"/>
      <c r="N590" s="707"/>
      <c r="O590" s="707"/>
      <c r="P590" s="707"/>
      <c r="Q590" s="707"/>
      <c r="R590" s="707"/>
      <c r="S590" s="192"/>
      <c r="T590" s="100"/>
      <c r="U590" s="52"/>
      <c r="V590" s="52"/>
      <c r="W590" s="98"/>
    </row>
    <row r="591" spans="2:23">
      <c r="B591" s="295" t="s">
        <v>607</v>
      </c>
      <c r="C591" s="702">
        <f t="shared" ref="C591:R591" si="169">C589/C$629*100</f>
        <v>0.16038869360726821</v>
      </c>
      <c r="D591" s="702">
        <f t="shared" si="169"/>
        <v>0.17038485422344021</v>
      </c>
      <c r="E591" s="702">
        <f t="shared" si="169"/>
        <v>0.18273777452892756</v>
      </c>
      <c r="F591" s="702">
        <f t="shared" si="169"/>
        <v>0.15938986073083652</v>
      </c>
      <c r="G591" s="702">
        <f t="shared" si="169"/>
        <v>0.15208834107486019</v>
      </c>
      <c r="H591" s="702">
        <f t="shared" si="169"/>
        <v>0.13516150514267389</v>
      </c>
      <c r="I591" s="702">
        <f t="shared" si="169"/>
        <v>0.16720502336097634</v>
      </c>
      <c r="J591" s="702">
        <f t="shared" si="169"/>
        <v>0.16446934570261074</v>
      </c>
      <c r="K591" s="702">
        <f t="shared" si="169"/>
        <v>0.15642144208141132</v>
      </c>
      <c r="L591" s="702">
        <f t="shared" si="169"/>
        <v>0.14500281467069259</v>
      </c>
      <c r="M591" s="702">
        <f t="shared" si="169"/>
        <v>0.13613053221765695</v>
      </c>
      <c r="N591" s="702">
        <f t="shared" si="169"/>
        <v>0.13038104065956599</v>
      </c>
      <c r="O591" s="702">
        <f t="shared" si="169"/>
        <v>0.12600939774404454</v>
      </c>
      <c r="P591" s="702">
        <f t="shared" si="169"/>
        <v>0.12190552275508446</v>
      </c>
      <c r="Q591" s="702">
        <f t="shared" si="169"/>
        <v>0.11825137671963477</v>
      </c>
      <c r="R591" s="702">
        <f t="shared" si="169"/>
        <v>0.11570601198999671</v>
      </c>
      <c r="S591" s="192"/>
      <c r="T591" s="100"/>
      <c r="U591" s="52"/>
      <c r="V591" s="52"/>
      <c r="W591" s="98"/>
    </row>
    <row r="592" spans="2:23" ht="24.75">
      <c r="B592" s="295" t="s">
        <v>608</v>
      </c>
      <c r="C592" s="702">
        <f t="shared" ref="C592:R592" si="170">C589/C$635*100</f>
        <v>0.52597133932935458</v>
      </c>
      <c r="D592" s="702">
        <f t="shared" si="170"/>
        <v>0.58976927941563106</v>
      </c>
      <c r="E592" s="702">
        <f t="shared" si="170"/>
        <v>0.58554705315543454</v>
      </c>
      <c r="F592" s="702">
        <f t="shared" si="170"/>
        <v>0.52801021646579693</v>
      </c>
      <c r="G592" s="702">
        <f t="shared" si="170"/>
        <v>0.42642908658321627</v>
      </c>
      <c r="H592" s="702">
        <f t="shared" si="170"/>
        <v>0.39084211440115002</v>
      </c>
      <c r="I592" s="702">
        <f t="shared" si="170"/>
        <v>0.52708603124880771</v>
      </c>
      <c r="J592" s="702">
        <f t="shared" si="170"/>
        <v>0.51631597277682584</v>
      </c>
      <c r="K592" s="702">
        <f t="shared" si="170"/>
        <v>0.49356391617243467</v>
      </c>
      <c r="L592" s="702">
        <f t="shared" si="170"/>
        <v>0.45885002746249065</v>
      </c>
      <c r="M592" s="702">
        <f t="shared" si="170"/>
        <v>0.43212084308182386</v>
      </c>
      <c r="N592" s="702">
        <f t="shared" si="170"/>
        <v>0.41583902636159725</v>
      </c>
      <c r="O592" s="702">
        <f t="shared" si="170"/>
        <v>0.40290012353066551</v>
      </c>
      <c r="P592" s="702">
        <f t="shared" si="170"/>
        <v>0.39169524621956986</v>
      </c>
      <c r="Q592" s="702">
        <f t="shared" si="170"/>
        <v>0.38174051120378799</v>
      </c>
      <c r="R592" s="702">
        <f t="shared" si="170"/>
        <v>0.37525783763982906</v>
      </c>
      <c r="S592" s="192"/>
      <c r="T592" s="100"/>
      <c r="U592" s="52"/>
      <c r="V592" s="52"/>
      <c r="W592" s="98"/>
    </row>
    <row r="593" spans="2:23" s="60" customFormat="1">
      <c r="B593" s="329" t="s">
        <v>445</v>
      </c>
      <c r="C593" s="706">
        <f>C613</f>
        <v>2281508.578317143</v>
      </c>
      <c r="D593" s="706">
        <f t="shared" ref="D593:R593" si="171">D613</f>
        <v>3248899.0706407144</v>
      </c>
      <c r="E593" s="706">
        <f t="shared" si="171"/>
        <v>4373944.4122067848</v>
      </c>
      <c r="F593" s="706">
        <f t="shared" si="171"/>
        <v>11211492.359865446</v>
      </c>
      <c r="G593" s="706">
        <f t="shared" si="171"/>
        <v>11896931.866342239</v>
      </c>
      <c r="H593" s="706">
        <f t="shared" si="171"/>
        <v>18868676.680722032</v>
      </c>
      <c r="I593" s="706">
        <f t="shared" si="171"/>
        <v>23813782.969712131</v>
      </c>
      <c r="J593" s="706">
        <f t="shared" si="171"/>
        <v>27292965.734593503</v>
      </c>
      <c r="K593" s="706">
        <f t="shared" si="171"/>
        <v>32988543.262433078</v>
      </c>
      <c r="L593" s="706">
        <f t="shared" si="171"/>
        <v>60002258.536777332</v>
      </c>
      <c r="M593" s="706">
        <f t="shared" si="171"/>
        <v>69039909.299002528</v>
      </c>
      <c r="N593" s="706">
        <f t="shared" si="171"/>
        <v>68303580.805536553</v>
      </c>
      <c r="O593" s="706">
        <f t="shared" si="171"/>
        <v>74247992.798612714</v>
      </c>
      <c r="P593" s="706">
        <f t="shared" si="171"/>
        <v>73825326.350810617</v>
      </c>
      <c r="Q593" s="706">
        <f t="shared" si="171"/>
        <v>83367385.972463772</v>
      </c>
      <c r="R593" s="706">
        <f t="shared" si="171"/>
        <v>88020049.200731501</v>
      </c>
      <c r="S593" s="93"/>
      <c r="T593" s="94"/>
      <c r="U593" s="250"/>
      <c r="V593" s="250"/>
      <c r="W593" s="240"/>
    </row>
    <row r="594" spans="2:23">
      <c r="B594" s="295" t="s">
        <v>606</v>
      </c>
      <c r="C594" s="707"/>
      <c r="D594" s="707"/>
      <c r="E594" s="707"/>
      <c r="F594" s="707"/>
      <c r="G594" s="708"/>
      <c r="H594" s="708">
        <f>H593/H551*100</f>
        <v>44.800947923112879</v>
      </c>
      <c r="I594" s="708">
        <f t="shared" ref="I594:R594" si="172">I593/I551*100</f>
        <v>45.913944816179892</v>
      </c>
      <c r="J594" s="708">
        <f t="shared" si="172"/>
        <v>47.813268325885403</v>
      </c>
      <c r="K594" s="708">
        <f t="shared" si="172"/>
        <v>48.876223831557901</v>
      </c>
      <c r="L594" s="708">
        <f t="shared" si="172"/>
        <v>50.728456876037512</v>
      </c>
      <c r="M594" s="708">
        <f t="shared" si="172"/>
        <v>52.150947208219399</v>
      </c>
      <c r="N594" s="708">
        <f t="shared" si="172"/>
        <v>50.97130834197079</v>
      </c>
      <c r="O594" s="708">
        <f t="shared" si="172"/>
        <v>49.907932336420345</v>
      </c>
      <c r="P594" s="708">
        <f t="shared" si="172"/>
        <v>49.142844889413681</v>
      </c>
      <c r="Q594" s="708">
        <f t="shared" si="172"/>
        <v>47.781791003163882</v>
      </c>
      <c r="R594" s="708">
        <f t="shared" si="172"/>
        <v>46.703275815051512</v>
      </c>
      <c r="S594" s="192"/>
      <c r="T594" s="100"/>
      <c r="U594" s="52"/>
      <c r="V594" s="52"/>
      <c r="W594" s="98"/>
    </row>
    <row r="595" spans="2:23">
      <c r="B595" s="295" t="s">
        <v>607</v>
      </c>
      <c r="C595" s="702">
        <f t="shared" ref="C595:H595" si="173">C593/C$629*100</f>
        <v>0.27186343263749058</v>
      </c>
      <c r="D595" s="702">
        <f t="shared" si="173"/>
        <v>0.33347180393842679</v>
      </c>
      <c r="E595" s="702">
        <f t="shared" si="173"/>
        <v>0.38243295110043352</v>
      </c>
      <c r="F595" s="702">
        <f t="shared" si="173"/>
        <v>0.75496333156898654</v>
      </c>
      <c r="G595" s="702">
        <f t="shared" si="173"/>
        <v>0.71737884575586541</v>
      </c>
      <c r="H595" s="702">
        <f t="shared" si="173"/>
        <v>0.95252396069783318</v>
      </c>
      <c r="I595" s="702">
        <f t="shared" ref="I595:R595" si="174">I593/I$629*100</f>
        <v>0.98904278878202778</v>
      </c>
      <c r="J595" s="702">
        <f t="shared" si="174"/>
        <v>0.99091366900566669</v>
      </c>
      <c r="K595" s="702">
        <f t="shared" si="174"/>
        <v>1.0429889906323369</v>
      </c>
      <c r="L595" s="702">
        <f t="shared" si="174"/>
        <v>1.6564967044566499</v>
      </c>
      <c r="M595" s="702">
        <f t="shared" si="174"/>
        <v>1.6719486259964988</v>
      </c>
      <c r="N595" s="702">
        <f t="shared" si="174"/>
        <v>1.4569552966296815</v>
      </c>
      <c r="O595" s="702">
        <f t="shared" si="174"/>
        <v>1.3974432470961757</v>
      </c>
      <c r="P595" s="702">
        <f t="shared" si="174"/>
        <v>1.2260384670183544</v>
      </c>
      <c r="Q595" s="702">
        <f t="shared" si="174"/>
        <v>1.2212514037947646</v>
      </c>
      <c r="R595" s="702">
        <f t="shared" si="174"/>
        <v>1.136985454072664</v>
      </c>
      <c r="S595" s="192"/>
      <c r="T595" s="100"/>
      <c r="U595" s="52"/>
      <c r="V595" s="52"/>
      <c r="W595" s="98"/>
    </row>
    <row r="596" spans="2:23" ht="24.75">
      <c r="B596" s="295" t="s">
        <v>608</v>
      </c>
      <c r="C596" s="702">
        <f t="shared" ref="C596:R596" si="175">C593/C$635*100</f>
        <v>0.89153649526662659</v>
      </c>
      <c r="D596" s="702">
        <f t="shared" si="175"/>
        <v>1.1542776287866792</v>
      </c>
      <c r="E596" s="702">
        <f t="shared" si="175"/>
        <v>1.2254307470016086</v>
      </c>
      <c r="F596" s="702">
        <f t="shared" si="175"/>
        <v>2.5009643041137233</v>
      </c>
      <c r="G596" s="702">
        <f t="shared" si="175"/>
        <v>2.0114047123390053</v>
      </c>
      <c r="H596" s="702">
        <f t="shared" si="175"/>
        <v>2.7543824584072265</v>
      </c>
      <c r="I596" s="702">
        <f t="shared" si="175"/>
        <v>3.11779292150166</v>
      </c>
      <c r="J596" s="702">
        <f t="shared" si="175"/>
        <v>3.1107593501078363</v>
      </c>
      <c r="K596" s="702">
        <f t="shared" si="175"/>
        <v>3.2909921037123988</v>
      </c>
      <c r="L596" s="702">
        <f t="shared" si="175"/>
        <v>5.2418538223388325</v>
      </c>
      <c r="M596" s="702">
        <f t="shared" si="175"/>
        <v>5.3072873372737295</v>
      </c>
      <c r="N596" s="702">
        <f t="shared" si="175"/>
        <v>4.646832614143638</v>
      </c>
      <c r="O596" s="702">
        <f t="shared" si="175"/>
        <v>4.4681592560722603</v>
      </c>
      <c r="P596" s="702">
        <f t="shared" si="175"/>
        <v>3.9393903439324593</v>
      </c>
      <c r="Q596" s="702">
        <f t="shared" si="175"/>
        <v>3.9424584146558002</v>
      </c>
      <c r="R596" s="702">
        <f t="shared" si="175"/>
        <v>3.6874722029148668</v>
      </c>
      <c r="S596" s="192"/>
      <c r="T596" s="100"/>
      <c r="U596" s="52"/>
      <c r="V596" s="52"/>
      <c r="W596" s="98"/>
    </row>
    <row r="597" spans="2:23" s="60" customFormat="1">
      <c r="B597" s="329" t="s">
        <v>441</v>
      </c>
      <c r="C597" s="706">
        <f>C614</f>
        <v>8699318.2177933995</v>
      </c>
      <c r="D597" s="706">
        <f t="shared" ref="D597:R597" si="176">D614</f>
        <v>9640212.1451956015</v>
      </c>
      <c r="E597" s="706">
        <f t="shared" si="176"/>
        <v>10581106.0725978</v>
      </c>
      <c r="F597" s="706">
        <f t="shared" si="176"/>
        <v>11522000</v>
      </c>
      <c r="G597" s="706">
        <f t="shared" si="176"/>
        <v>11800000</v>
      </c>
      <c r="H597" s="706">
        <f t="shared" si="176"/>
        <v>17955735.297508691</v>
      </c>
      <c r="I597" s="706">
        <f t="shared" si="176"/>
        <v>20139356.723616127</v>
      </c>
      <c r="J597" s="706">
        <f t="shared" si="176"/>
        <v>20917685.774070401</v>
      </c>
      <c r="K597" s="706">
        <f t="shared" si="176"/>
        <v>23511588.814841092</v>
      </c>
      <c r="L597" s="706">
        <f t="shared" si="176"/>
        <v>21701624.722572394</v>
      </c>
      <c r="M597" s="706">
        <f t="shared" si="176"/>
        <v>24770393.607921034</v>
      </c>
      <c r="N597" s="706">
        <f t="shared" si="176"/>
        <v>24295512.799180284</v>
      </c>
      <c r="O597" s="706">
        <f t="shared" si="176"/>
        <v>26055758.471762639</v>
      </c>
      <c r="P597" s="706">
        <f t="shared" si="176"/>
        <v>25196934.918942787</v>
      </c>
      <c r="Q597" s="706">
        <f t="shared" si="176"/>
        <v>29005545.279253755</v>
      </c>
      <c r="R597" s="706">
        <f t="shared" si="176"/>
        <v>31422392.982009817</v>
      </c>
      <c r="S597" s="93"/>
      <c r="T597" s="94"/>
      <c r="U597" s="250"/>
      <c r="V597" s="250"/>
      <c r="W597" s="240"/>
    </row>
    <row r="598" spans="2:23">
      <c r="B598" s="295" t="s">
        <v>606</v>
      </c>
      <c r="C598" s="707"/>
      <c r="D598" s="707"/>
      <c r="E598" s="707"/>
      <c r="F598" s="707"/>
      <c r="G598" s="708"/>
      <c r="H598" s="708">
        <f>H597/H553*100</f>
        <v>27.556689942101887</v>
      </c>
      <c r="I598" s="708">
        <f t="shared" ref="I598:R598" si="177">I597/I553*100</f>
        <v>23.887448808104047</v>
      </c>
      <c r="J598" s="708">
        <f t="shared" si="177"/>
        <v>20.418365711072965</v>
      </c>
      <c r="K598" s="708">
        <f t="shared" si="177"/>
        <v>18.485261971386844</v>
      </c>
      <c r="L598" s="708">
        <f t="shared" si="177"/>
        <v>15.348012056506576</v>
      </c>
      <c r="M598" s="708">
        <f t="shared" si="177"/>
        <v>14.004316521144187</v>
      </c>
      <c r="N598" s="708">
        <f t="shared" si="177"/>
        <v>11.754394025783309</v>
      </c>
      <c r="O598" s="708">
        <f t="shared" si="177"/>
        <v>11.371278839868369</v>
      </c>
      <c r="P598" s="708">
        <f t="shared" si="177"/>
        <v>10.212091765537807</v>
      </c>
      <c r="Q598" s="708">
        <f t="shared" si="177"/>
        <v>9.4956185620063103</v>
      </c>
      <c r="R598" s="708">
        <f t="shared" si="177"/>
        <v>8.5724274638130975</v>
      </c>
      <c r="S598" s="192"/>
      <c r="T598" s="100"/>
      <c r="U598" s="52"/>
      <c r="V598" s="52"/>
      <c r="W598" s="98"/>
    </row>
    <row r="599" spans="2:23">
      <c r="B599" s="295" t="s">
        <v>607</v>
      </c>
      <c r="C599" s="702">
        <f t="shared" ref="C599:H599" si="178">C597/C$629*100</f>
        <v>1.0366064518765172</v>
      </c>
      <c r="D599" s="702">
        <f t="shared" si="178"/>
        <v>0.98948562713384969</v>
      </c>
      <c r="E599" s="702">
        <f t="shared" si="178"/>
        <v>0.92515204581868093</v>
      </c>
      <c r="F599" s="702">
        <f t="shared" si="178"/>
        <v>0.77587240191833473</v>
      </c>
      <c r="G599" s="702">
        <f t="shared" si="178"/>
        <v>0.71153390428904195</v>
      </c>
      <c r="H599" s="702">
        <f t="shared" si="178"/>
        <v>0.90643707517120831</v>
      </c>
      <c r="I599" s="702">
        <f t="shared" ref="I599:R599" si="179">I597/I$629*100</f>
        <v>0.83643516712717225</v>
      </c>
      <c r="J599" s="702">
        <f t="shared" si="179"/>
        <v>0.75944919137973099</v>
      </c>
      <c r="K599" s="702">
        <f t="shared" si="179"/>
        <v>0.74335893195015246</v>
      </c>
      <c r="L599" s="702">
        <f t="shared" si="179"/>
        <v>0.59912194492249027</v>
      </c>
      <c r="M599" s="702">
        <f t="shared" si="179"/>
        <v>0.59986790218385155</v>
      </c>
      <c r="N599" s="702">
        <f t="shared" si="179"/>
        <v>0.51823748681461057</v>
      </c>
      <c r="O599" s="702">
        <f t="shared" si="179"/>
        <v>0.49040307154288493</v>
      </c>
      <c r="P599" s="702">
        <f t="shared" si="179"/>
        <v>0.41845275853958563</v>
      </c>
      <c r="Q599" s="702">
        <f t="shared" si="179"/>
        <v>0.42490312580775269</v>
      </c>
      <c r="R599" s="702">
        <f t="shared" si="179"/>
        <v>0.40589393072508317</v>
      </c>
      <c r="S599" s="192"/>
      <c r="T599" s="100"/>
      <c r="U599" s="52"/>
      <c r="V599" s="52"/>
      <c r="W599" s="98"/>
    </row>
    <row r="600" spans="2:23" ht="24.75">
      <c r="B600" s="295" t="s">
        <v>608</v>
      </c>
      <c r="C600" s="702">
        <f t="shared" ref="C600:R600" si="180">C597/C$635*100</f>
        <v>3.3993997431389658</v>
      </c>
      <c r="D600" s="702">
        <f t="shared" si="180"/>
        <v>3.4250005845095326</v>
      </c>
      <c r="E600" s="702">
        <f t="shared" si="180"/>
        <v>2.9644667368108681</v>
      </c>
      <c r="F600" s="702">
        <f t="shared" si="180"/>
        <v>2.5702297060071451</v>
      </c>
      <c r="G600" s="702">
        <f t="shared" si="180"/>
        <v>1.9950165195740972</v>
      </c>
      <c r="H600" s="702">
        <f t="shared" si="180"/>
        <v>2.6211145152426698</v>
      </c>
      <c r="I600" s="702">
        <f t="shared" si="180"/>
        <v>2.636722771696876</v>
      </c>
      <c r="J600" s="702">
        <f t="shared" si="180"/>
        <v>2.3841266367704361</v>
      </c>
      <c r="K600" s="702">
        <f t="shared" si="180"/>
        <v>2.3455553196097045</v>
      </c>
      <c r="L600" s="702">
        <f t="shared" si="180"/>
        <v>1.8958743766829009</v>
      </c>
      <c r="M600" s="702">
        <f t="shared" si="180"/>
        <v>1.904168149544553</v>
      </c>
      <c r="N600" s="702">
        <f t="shared" si="180"/>
        <v>1.6528735378310344</v>
      </c>
      <c r="O600" s="702">
        <f t="shared" si="180"/>
        <v>1.5680057332373394</v>
      </c>
      <c r="P600" s="702">
        <f t="shared" si="180"/>
        <v>1.3445326559709534</v>
      </c>
      <c r="Q600" s="702">
        <f t="shared" si="180"/>
        <v>1.3716773618839939</v>
      </c>
      <c r="R600" s="702">
        <f t="shared" si="180"/>
        <v>1.3163955453601976</v>
      </c>
      <c r="S600" s="192"/>
      <c r="T600" s="100"/>
      <c r="U600" s="52"/>
      <c r="V600" s="52"/>
      <c r="W600" s="98"/>
    </row>
    <row r="601" spans="2:23" s="60" customFormat="1">
      <c r="B601" s="329" t="s">
        <v>396</v>
      </c>
      <c r="C601" s="706">
        <f>C615</f>
        <v>10537690.958992951</v>
      </c>
      <c r="D601" s="706">
        <f t="shared" ref="D601:R601" si="181">D615</f>
        <v>12840304.495112432</v>
      </c>
      <c r="E601" s="706">
        <f t="shared" si="181"/>
        <v>13649233.959844299</v>
      </c>
      <c r="F601" s="706">
        <f t="shared" si="181"/>
        <v>18213479.955475863</v>
      </c>
      <c r="G601" s="706">
        <f t="shared" si="181"/>
        <v>12546155.667646548</v>
      </c>
      <c r="H601" s="706">
        <f t="shared" si="181"/>
        <v>23269012.865206044</v>
      </c>
      <c r="I601" s="706">
        <f t="shared" si="181"/>
        <v>24620585.417257678</v>
      </c>
      <c r="J601" s="706">
        <f t="shared" si="181"/>
        <v>26193465.61002529</v>
      </c>
      <c r="K601" s="706">
        <f t="shared" si="181"/>
        <v>27796532.197663613</v>
      </c>
      <c r="L601" s="706">
        <f t="shared" si="181"/>
        <v>29995799.017480019</v>
      </c>
      <c r="M601" s="706">
        <f t="shared" si="181"/>
        <v>31718549.108727206</v>
      </c>
      <c r="N601" s="706">
        <f t="shared" si="181"/>
        <v>34188681.609779753</v>
      </c>
      <c r="O601" s="706">
        <f t="shared" si="181"/>
        <v>36213582.677896522</v>
      </c>
      <c r="P601" s="706">
        <f t="shared" si="181"/>
        <v>38153592.872523107</v>
      </c>
      <c r="Q601" s="706">
        <f t="shared" si="181"/>
        <v>40606837.25307063</v>
      </c>
      <c r="R601" s="706">
        <f t="shared" si="181"/>
        <v>43504379.739604183</v>
      </c>
      <c r="S601" s="93"/>
      <c r="T601" s="94"/>
      <c r="U601" s="250"/>
      <c r="V601" s="250"/>
      <c r="W601" s="240"/>
    </row>
    <row r="602" spans="2:23">
      <c r="B602" s="295" t="s">
        <v>606</v>
      </c>
      <c r="C602" s="707"/>
      <c r="D602" s="707"/>
      <c r="E602" s="707"/>
      <c r="F602" s="707"/>
      <c r="G602" s="707"/>
      <c r="H602" s="708">
        <f>H601/H555*100</f>
        <v>77.763447471134896</v>
      </c>
      <c r="I602" s="708">
        <f t="shared" ref="I602:R602" si="182">I601/I555*100</f>
        <v>78.049826010260006</v>
      </c>
      <c r="J602" s="708">
        <f t="shared" si="182"/>
        <v>78.34811332398381</v>
      </c>
      <c r="K602" s="708">
        <f t="shared" si="182"/>
        <v>78.619354734864345</v>
      </c>
      <c r="L602" s="708">
        <f t="shared" si="182"/>
        <v>78.94678649031755</v>
      </c>
      <c r="M602" s="708">
        <f t="shared" si="182"/>
        <v>79.173141893406964</v>
      </c>
      <c r="N602" s="708">
        <f t="shared" si="182"/>
        <v>79.459744160023703</v>
      </c>
      <c r="O602" s="708">
        <f t="shared" si="182"/>
        <v>79.66680813109565</v>
      </c>
      <c r="P602" s="708">
        <f t="shared" si="182"/>
        <v>79.845438214211896</v>
      </c>
      <c r="Q602" s="708">
        <f t="shared" si="182"/>
        <v>80.047850087076043</v>
      </c>
      <c r="R602" s="708">
        <f t="shared" si="182"/>
        <v>80.258600734940217</v>
      </c>
      <c r="S602" s="192"/>
      <c r="T602" s="100"/>
      <c r="U602" s="52"/>
      <c r="V602" s="52"/>
      <c r="W602" s="98"/>
    </row>
    <row r="603" spans="2:23">
      <c r="B603" s="295" t="s">
        <v>607</v>
      </c>
      <c r="C603" s="708">
        <f t="shared" ref="C603:H603" si="183">C601/C$629*100</f>
        <v>1.2556660375557214</v>
      </c>
      <c r="D603" s="708">
        <f t="shared" si="183"/>
        <v>1.3179478370989854</v>
      </c>
      <c r="E603" s="708">
        <f t="shared" si="183"/>
        <v>1.1934117884433535</v>
      </c>
      <c r="F603" s="708">
        <f t="shared" si="183"/>
        <v>1.2264655823942461</v>
      </c>
      <c r="G603" s="708">
        <f t="shared" si="183"/>
        <v>0.75652670559480006</v>
      </c>
      <c r="H603" s="708">
        <f t="shared" si="183"/>
        <v>1.1746606649177453</v>
      </c>
      <c r="I603" s="708">
        <f t="shared" ref="I603:R603" si="184">I601/I$629*100</f>
        <v>1.0225512046322736</v>
      </c>
      <c r="J603" s="708">
        <f t="shared" si="184"/>
        <v>0.95099460293190785</v>
      </c>
      <c r="K603" s="708">
        <f t="shared" si="184"/>
        <v>0.87883471632212196</v>
      </c>
      <c r="L603" s="708">
        <f t="shared" si="184"/>
        <v>0.82810119871645038</v>
      </c>
      <c r="M603" s="708">
        <f t="shared" si="184"/>
        <v>0.76813230404555477</v>
      </c>
      <c r="N603" s="708">
        <f t="shared" si="184"/>
        <v>0.72926455932039191</v>
      </c>
      <c r="O603" s="708">
        <f t="shared" si="184"/>
        <v>0.68158645990132549</v>
      </c>
      <c r="P603" s="708">
        <f t="shared" si="184"/>
        <v>0.63362771055541722</v>
      </c>
      <c r="Q603" s="708">
        <f t="shared" si="184"/>
        <v>0.59485080910846833</v>
      </c>
      <c r="R603" s="708">
        <f t="shared" si="184"/>
        <v>0.56196113728112296</v>
      </c>
      <c r="S603" s="192"/>
      <c r="T603" s="100"/>
      <c r="U603" s="52"/>
      <c r="V603" s="52"/>
      <c r="W603" s="98"/>
    </row>
    <row r="604" spans="2:23" ht="24.75">
      <c r="B604" s="295" t="s">
        <v>608</v>
      </c>
      <c r="C604" s="708">
        <f t="shared" ref="C604:R604" si="185">C601/C$635*100</f>
        <v>4.117773720015121</v>
      </c>
      <c r="D604" s="708">
        <f t="shared" si="185"/>
        <v>4.561938029855269</v>
      </c>
      <c r="E604" s="708">
        <f t="shared" si="185"/>
        <v>3.8240520205817758</v>
      </c>
      <c r="F604" s="708">
        <f t="shared" si="185"/>
        <v>4.0629081089506816</v>
      </c>
      <c r="G604" s="708">
        <f t="shared" si="185"/>
        <v>2.1211684588222921</v>
      </c>
      <c r="H604" s="708">
        <f t="shared" si="185"/>
        <v>3.3967279181723229</v>
      </c>
      <c r="I604" s="708">
        <f t="shared" si="185"/>
        <v>3.2234226302802704</v>
      </c>
      <c r="J604" s="708">
        <f t="shared" si="185"/>
        <v>2.9854420677646374</v>
      </c>
      <c r="K604" s="708">
        <f t="shared" si="185"/>
        <v>2.7730284191503705</v>
      </c>
      <c r="L604" s="708">
        <f t="shared" si="185"/>
        <v>2.6204612554294346</v>
      </c>
      <c r="M604" s="708">
        <f t="shared" si="185"/>
        <v>2.438291935065954</v>
      </c>
      <c r="N604" s="708">
        <f t="shared" si="185"/>
        <v>2.3259260915061684</v>
      </c>
      <c r="O604" s="708">
        <f t="shared" si="185"/>
        <v>2.1792919719279564</v>
      </c>
      <c r="P604" s="708">
        <f t="shared" si="185"/>
        <v>2.0359123728641326</v>
      </c>
      <c r="Q604" s="708">
        <f t="shared" si="185"/>
        <v>1.9203045094133679</v>
      </c>
      <c r="R604" s="708">
        <f t="shared" si="185"/>
        <v>1.8225528439435354</v>
      </c>
      <c r="S604" s="192"/>
      <c r="T604" s="100"/>
      <c r="U604" s="52"/>
      <c r="V604" s="52"/>
      <c r="W604" s="98"/>
    </row>
    <row r="605" spans="2:23" s="60" customFormat="1">
      <c r="B605" s="330" t="s">
        <v>427</v>
      </c>
      <c r="C605" s="706">
        <f>C619</f>
        <v>91357.082256044843</v>
      </c>
      <c r="D605" s="706">
        <f t="shared" ref="D605:R605" si="186">D619</f>
        <v>91611.140079323231</v>
      </c>
      <c r="E605" s="706">
        <f t="shared" si="186"/>
        <v>105964.82229010947</v>
      </c>
      <c r="F605" s="706">
        <f t="shared" si="186"/>
        <v>166621.12127141652</v>
      </c>
      <c r="G605" s="706">
        <f t="shared" si="186"/>
        <v>181069</v>
      </c>
      <c r="H605" s="706">
        <f t="shared" si="186"/>
        <v>195516.85978093391</v>
      </c>
      <c r="I605" s="706">
        <f t="shared" si="186"/>
        <v>243681.52546332707</v>
      </c>
      <c r="J605" s="706">
        <f t="shared" si="186"/>
        <v>291846.19114572025</v>
      </c>
      <c r="K605" s="706">
        <f t="shared" si="186"/>
        <v>315928.52398691687</v>
      </c>
      <c r="L605" s="706">
        <f t="shared" si="186"/>
        <v>352052.02324871178</v>
      </c>
      <c r="M605" s="706">
        <f t="shared" si="186"/>
        <v>388175.52251050662</v>
      </c>
      <c r="N605" s="706">
        <f t="shared" si="186"/>
        <v>449205.63983044273</v>
      </c>
      <c r="O605" s="706">
        <f t="shared" si="186"/>
        <v>510235.75715037883</v>
      </c>
      <c r="P605" s="706">
        <f t="shared" si="186"/>
        <v>540750.81581034698</v>
      </c>
      <c r="Q605" s="706">
        <f t="shared" si="186"/>
        <v>586523.40380029904</v>
      </c>
      <c r="R605" s="706">
        <f t="shared" si="186"/>
        <v>632295.99179025122</v>
      </c>
      <c r="S605" s="93"/>
      <c r="T605" s="94"/>
      <c r="U605" s="250"/>
      <c r="V605" s="250"/>
      <c r="W605" s="240"/>
    </row>
    <row r="606" spans="2:23">
      <c r="B606" s="295" t="s">
        <v>606</v>
      </c>
      <c r="C606" s="707"/>
      <c r="D606" s="707"/>
      <c r="E606" s="707"/>
      <c r="F606" s="707"/>
      <c r="G606" s="707"/>
      <c r="H606" s="707">
        <f>H605/H557*100</f>
        <v>100</v>
      </c>
      <c r="I606" s="707">
        <f t="shared" ref="I606:R606" si="187">I605/I557*100</f>
        <v>100</v>
      </c>
      <c r="J606" s="707">
        <f t="shared" si="187"/>
        <v>100</v>
      </c>
      <c r="K606" s="707">
        <f t="shared" si="187"/>
        <v>100</v>
      </c>
      <c r="L606" s="707">
        <f t="shared" si="187"/>
        <v>100</v>
      </c>
      <c r="M606" s="707">
        <f t="shared" si="187"/>
        <v>100</v>
      </c>
      <c r="N606" s="707">
        <f t="shared" si="187"/>
        <v>100</v>
      </c>
      <c r="O606" s="707">
        <f t="shared" si="187"/>
        <v>100</v>
      </c>
      <c r="P606" s="707">
        <f t="shared" si="187"/>
        <v>100</v>
      </c>
      <c r="Q606" s="707">
        <f t="shared" si="187"/>
        <v>100</v>
      </c>
      <c r="R606" s="707">
        <f t="shared" si="187"/>
        <v>100</v>
      </c>
      <c r="S606" s="192"/>
      <c r="T606" s="100"/>
      <c r="U606" s="52"/>
      <c r="V606" s="52"/>
      <c r="W606" s="98"/>
    </row>
    <row r="607" spans="2:23">
      <c r="B607" s="295" t="s">
        <v>607</v>
      </c>
      <c r="C607" s="708">
        <f t="shared" ref="C607:H607" si="188">C605/C$629*100</f>
        <v>1.0886064691544411E-2</v>
      </c>
      <c r="D607" s="708">
        <f t="shared" si="188"/>
        <v>9.4031028600353311E-3</v>
      </c>
      <c r="E607" s="708">
        <f t="shared" si="188"/>
        <v>9.2649644993530629E-3</v>
      </c>
      <c r="F607" s="708">
        <f t="shared" si="188"/>
        <v>1.1219990415828855E-2</v>
      </c>
      <c r="G607" s="708">
        <f t="shared" si="188"/>
        <v>1.091836716234852E-2</v>
      </c>
      <c r="H607" s="708">
        <f t="shared" si="188"/>
        <v>9.8700347042361622E-3</v>
      </c>
      <c r="I607" s="708">
        <f t="shared" ref="I607:R607" si="189">I605/I$629*100</f>
        <v>1.0120670698369983E-2</v>
      </c>
      <c r="J607" s="708">
        <f t="shared" si="189"/>
        <v>1.0595930939340329E-2</v>
      </c>
      <c r="K607" s="708">
        <f t="shared" si="189"/>
        <v>9.988618464408525E-3</v>
      </c>
      <c r="L607" s="708">
        <f t="shared" si="189"/>
        <v>9.719184419555495E-3</v>
      </c>
      <c r="M607" s="708">
        <f t="shared" si="189"/>
        <v>9.4004980321764613E-3</v>
      </c>
      <c r="N607" s="708">
        <f t="shared" si="189"/>
        <v>9.5818188227964514E-3</v>
      </c>
      <c r="O607" s="708">
        <f t="shared" si="189"/>
        <v>9.6032968216498878E-3</v>
      </c>
      <c r="P607" s="708">
        <f t="shared" si="189"/>
        <v>8.9804046121600752E-3</v>
      </c>
      <c r="Q607" s="708">
        <f t="shared" si="189"/>
        <v>8.5919993999354852E-3</v>
      </c>
      <c r="R607" s="708">
        <f t="shared" si="189"/>
        <v>8.1675862699698391E-3</v>
      </c>
      <c r="S607" s="192"/>
      <c r="T607" s="100"/>
      <c r="U607" s="52"/>
      <c r="V607" s="52"/>
      <c r="W607" s="98"/>
    </row>
    <row r="608" spans="2:23" ht="24.75">
      <c r="B608" s="295" t="s">
        <v>608</v>
      </c>
      <c r="C608" s="708">
        <f t="shared" ref="C608:R608" si="190">C605/C$635*100</f>
        <v>3.5699262192744365E-2</v>
      </c>
      <c r="D608" s="708">
        <f t="shared" si="190"/>
        <v>3.2547853054835478E-2</v>
      </c>
      <c r="E608" s="708">
        <f t="shared" si="190"/>
        <v>2.9687746138809999E-2</v>
      </c>
      <c r="F608" s="708">
        <f t="shared" si="190"/>
        <v>3.7168421761848092E-2</v>
      </c>
      <c r="G608" s="708">
        <f t="shared" si="190"/>
        <v>3.0613190354471374E-2</v>
      </c>
      <c r="H608" s="708">
        <f t="shared" si="190"/>
        <v>2.8540857316913987E-2</v>
      </c>
      <c r="I608" s="708">
        <f t="shared" si="190"/>
        <v>3.1903731387683501E-2</v>
      </c>
      <c r="J608" s="708">
        <f t="shared" si="190"/>
        <v>3.3263635646206172E-2</v>
      </c>
      <c r="K608" s="708">
        <f t="shared" si="190"/>
        <v>3.1517556550078832E-2</v>
      </c>
      <c r="L608" s="708">
        <f t="shared" si="190"/>
        <v>3.0755596351381847E-2</v>
      </c>
      <c r="M608" s="708">
        <f t="shared" si="190"/>
        <v>2.9840117928564395E-2</v>
      </c>
      <c r="N608" s="708">
        <f t="shared" si="190"/>
        <v>3.0560380480845337E-2</v>
      </c>
      <c r="O608" s="708">
        <f t="shared" si="190"/>
        <v>3.0705404081079753E-2</v>
      </c>
      <c r="P608" s="708">
        <f t="shared" si="190"/>
        <v>2.8854983073887761E-2</v>
      </c>
      <c r="Q608" s="708">
        <f t="shared" si="190"/>
        <v>2.7736795411443235E-2</v>
      </c>
      <c r="R608" s="708">
        <f t="shared" si="190"/>
        <v>2.6489122818186984E-2</v>
      </c>
      <c r="S608" s="192"/>
      <c r="T608" s="100"/>
      <c r="U608" s="52"/>
      <c r="V608" s="52"/>
      <c r="W608" s="98"/>
    </row>
    <row r="609" spans="2:23" s="294" customFormat="1" ht="6.75" customHeight="1">
      <c r="B609" s="288"/>
      <c r="C609" s="289"/>
      <c r="D609" s="289"/>
      <c r="E609" s="289"/>
      <c r="F609" s="289"/>
      <c r="G609" s="289"/>
      <c r="H609" s="290"/>
      <c r="I609" s="290"/>
      <c r="J609" s="290"/>
      <c r="K609" s="290"/>
      <c r="L609" s="290"/>
      <c r="M609" s="290"/>
      <c r="N609" s="290"/>
      <c r="O609" s="290"/>
      <c r="P609" s="290"/>
      <c r="Q609" s="290"/>
      <c r="R609" s="290"/>
      <c r="S609" s="415"/>
      <c r="T609" s="291"/>
      <c r="U609" s="292"/>
      <c r="V609" s="292"/>
      <c r="W609" s="293"/>
    </row>
    <row r="610" spans="2:23" ht="31.5">
      <c r="B610" s="746" t="s">
        <v>610</v>
      </c>
      <c r="C610" s="115">
        <f>C627</f>
        <v>22955874.837359536</v>
      </c>
      <c r="D610" s="124"/>
      <c r="E610" s="124"/>
      <c r="F610" s="124"/>
      <c r="G610" s="124"/>
      <c r="H610" s="102"/>
      <c r="I610" s="102"/>
      <c r="J610" s="102"/>
      <c r="K610" s="102"/>
      <c r="L610" s="102"/>
      <c r="M610" s="102"/>
      <c r="N610" s="102"/>
      <c r="O610" s="102"/>
      <c r="P610" s="102"/>
      <c r="Q610" s="102"/>
      <c r="R610" s="745"/>
      <c r="S610" s="192"/>
      <c r="T610" s="100"/>
      <c r="U610" s="52" t="e">
        <f>POWER(M610/H610,1/5)</f>
        <v>#DIV/0!</v>
      </c>
      <c r="V610" s="52" t="e">
        <f>POWER(R610/M610,1/5)</f>
        <v>#DIV/0!</v>
      </c>
      <c r="W610" s="98">
        <f>SUM(I610:M610)</f>
        <v>0</v>
      </c>
    </row>
    <row r="611" spans="2:23">
      <c r="B611" s="662"/>
      <c r="C611" s="663">
        <v>2005</v>
      </c>
      <c r="D611" s="664">
        <v>2006</v>
      </c>
      <c r="E611" s="664">
        <v>2007</v>
      </c>
      <c r="F611" s="664">
        <v>2008</v>
      </c>
      <c r="G611" s="664">
        <v>2009</v>
      </c>
      <c r="H611" s="664">
        <v>2010</v>
      </c>
      <c r="I611" s="665">
        <v>2011</v>
      </c>
      <c r="J611" s="665">
        <v>2012</v>
      </c>
      <c r="K611" s="665">
        <v>2013</v>
      </c>
      <c r="L611" s="665">
        <v>2014</v>
      </c>
      <c r="M611" s="665">
        <v>2015</v>
      </c>
      <c r="N611" s="665">
        <v>2016</v>
      </c>
      <c r="O611" s="665">
        <v>2017</v>
      </c>
      <c r="P611" s="665">
        <v>2018</v>
      </c>
      <c r="Q611" s="665">
        <v>2019</v>
      </c>
      <c r="R611" s="665">
        <v>2020</v>
      </c>
      <c r="S611" s="662" t="s">
        <v>744</v>
      </c>
      <c r="T611" s="710"/>
      <c r="U611" s="100"/>
      <c r="V611" s="100"/>
      <c r="W611" s="100"/>
    </row>
    <row r="612" spans="2:23">
      <c r="B612" s="112" t="s">
        <v>444</v>
      </c>
      <c r="C612" s="241">
        <f>C527*1000</f>
        <v>1346000</v>
      </c>
      <c r="D612" s="241">
        <f t="shared" ref="D612:R612" si="191">D527*1000</f>
        <v>1660000</v>
      </c>
      <c r="E612" s="241">
        <f t="shared" si="191"/>
        <v>2090000</v>
      </c>
      <c r="F612" s="241">
        <f t="shared" si="191"/>
        <v>2367000</v>
      </c>
      <c r="G612" s="241">
        <f t="shared" si="191"/>
        <v>2522216.3186679631</v>
      </c>
      <c r="H612" s="416">
        <f t="shared" si="191"/>
        <v>2677432.6373359263</v>
      </c>
      <c r="I612" s="416">
        <f t="shared" si="191"/>
        <v>4025896.7386713047</v>
      </c>
      <c r="J612" s="416">
        <f t="shared" si="191"/>
        <v>4530017.454655475</v>
      </c>
      <c r="K612" s="416">
        <f t="shared" si="191"/>
        <v>4947430.4672634797</v>
      </c>
      <c r="L612" s="416">
        <f t="shared" si="191"/>
        <v>5252347.5301963659</v>
      </c>
      <c r="M612" s="416">
        <f t="shared" si="191"/>
        <v>5621249.0330140423</v>
      </c>
      <c r="N612" s="416">
        <f t="shared" si="191"/>
        <v>6112398.895697996</v>
      </c>
      <c r="O612" s="416">
        <f t="shared" si="191"/>
        <v>6695044.5935450876</v>
      </c>
      <c r="P612" s="416">
        <f t="shared" si="191"/>
        <v>7340483.3889486352</v>
      </c>
      <c r="Q612" s="416">
        <f t="shared" si="191"/>
        <v>8072300.3749502599</v>
      </c>
      <c r="R612" s="416">
        <f t="shared" si="191"/>
        <v>8957413.5110518802</v>
      </c>
      <c r="S612" s="232"/>
      <c r="T612" s="231"/>
      <c r="U612" s="237">
        <f t="shared" ref="U612:U619" si="192">POWER(M612/H612,1/5)</f>
        <v>1.1599061591593913</v>
      </c>
      <c r="V612" s="237">
        <f t="shared" ref="V612:V619" si="193">POWER(R612/M612,1/5)</f>
        <v>1.0976653613138703</v>
      </c>
      <c r="W612" s="238"/>
    </row>
    <row r="613" spans="2:23">
      <c r="B613" s="112" t="s">
        <v>445</v>
      </c>
      <c r="C613" s="241">
        <f t="shared" ref="C613:R618" si="194">C528*1000</f>
        <v>2281508.578317143</v>
      </c>
      <c r="D613" s="241">
        <f t="shared" si="194"/>
        <v>3248899.0706407144</v>
      </c>
      <c r="E613" s="241">
        <f t="shared" si="194"/>
        <v>4373944.4122067848</v>
      </c>
      <c r="F613" s="241">
        <f t="shared" si="194"/>
        <v>11211492.359865446</v>
      </c>
      <c r="G613" s="241">
        <f t="shared" si="194"/>
        <v>11896931.866342239</v>
      </c>
      <c r="H613" s="416">
        <f t="shared" si="194"/>
        <v>18868676.680722032</v>
      </c>
      <c r="I613" s="416">
        <f t="shared" si="194"/>
        <v>23813782.969712131</v>
      </c>
      <c r="J613" s="416">
        <f t="shared" si="194"/>
        <v>27292965.734593503</v>
      </c>
      <c r="K613" s="416">
        <f t="shared" si="194"/>
        <v>32988543.262433078</v>
      </c>
      <c r="L613" s="416">
        <f t="shared" si="194"/>
        <v>60002258.536777332</v>
      </c>
      <c r="M613" s="416">
        <f t="shared" si="194"/>
        <v>69039909.299002528</v>
      </c>
      <c r="N613" s="416">
        <f t="shared" si="194"/>
        <v>68303580.805536553</v>
      </c>
      <c r="O613" s="416">
        <f t="shared" si="194"/>
        <v>74247992.798612714</v>
      </c>
      <c r="P613" s="416">
        <f t="shared" si="194"/>
        <v>73825326.350810617</v>
      </c>
      <c r="Q613" s="416">
        <f t="shared" si="194"/>
        <v>83367385.972463772</v>
      </c>
      <c r="R613" s="416">
        <f t="shared" si="194"/>
        <v>88020049.200731501</v>
      </c>
      <c r="S613" s="232"/>
      <c r="T613" s="231"/>
      <c r="U613" s="237">
        <f t="shared" si="192"/>
        <v>1.2961992143105698</v>
      </c>
      <c r="V613" s="237">
        <f t="shared" si="193"/>
        <v>1.0497751280437664</v>
      </c>
      <c r="W613" s="238"/>
    </row>
    <row r="614" spans="2:23">
      <c r="B614" s="112" t="s">
        <v>441</v>
      </c>
      <c r="C614" s="241">
        <f t="shared" si="194"/>
        <v>8699318.2177933995</v>
      </c>
      <c r="D614" s="241">
        <f t="shared" si="194"/>
        <v>9640212.1451956015</v>
      </c>
      <c r="E614" s="241">
        <f t="shared" si="194"/>
        <v>10581106.0725978</v>
      </c>
      <c r="F614" s="241">
        <f t="shared" si="194"/>
        <v>11522000</v>
      </c>
      <c r="G614" s="241">
        <f t="shared" si="194"/>
        <v>11800000</v>
      </c>
      <c r="H614" s="416">
        <f t="shared" si="194"/>
        <v>17955735.297508691</v>
      </c>
      <c r="I614" s="416">
        <f t="shared" si="194"/>
        <v>20139356.723616127</v>
      </c>
      <c r="J614" s="416">
        <f t="shared" si="194"/>
        <v>20917685.774070401</v>
      </c>
      <c r="K614" s="416">
        <f t="shared" si="194"/>
        <v>23511588.814841092</v>
      </c>
      <c r="L614" s="416">
        <f t="shared" si="194"/>
        <v>21701624.722572394</v>
      </c>
      <c r="M614" s="416">
        <f t="shared" si="194"/>
        <v>24770393.607921034</v>
      </c>
      <c r="N614" s="416">
        <f t="shared" si="194"/>
        <v>24295512.799180284</v>
      </c>
      <c r="O614" s="416">
        <f t="shared" si="194"/>
        <v>26055758.471762639</v>
      </c>
      <c r="P614" s="416">
        <f t="shared" si="194"/>
        <v>25196934.918942787</v>
      </c>
      <c r="Q614" s="416">
        <f t="shared" si="194"/>
        <v>29005545.279253755</v>
      </c>
      <c r="R614" s="416">
        <f t="shared" si="194"/>
        <v>31422392.982009817</v>
      </c>
      <c r="S614" s="232"/>
      <c r="T614" s="231"/>
      <c r="U614" s="237">
        <f t="shared" si="192"/>
        <v>1.0664633685204887</v>
      </c>
      <c r="V614" s="237">
        <f t="shared" si="193"/>
        <v>1.0487241513901686</v>
      </c>
      <c r="W614" s="238"/>
    </row>
    <row r="615" spans="2:23">
      <c r="B615" s="235" t="s">
        <v>396</v>
      </c>
      <c r="C615" s="241">
        <f t="shared" si="194"/>
        <v>10537690.958992951</v>
      </c>
      <c r="D615" s="241">
        <f t="shared" si="194"/>
        <v>12840304.495112432</v>
      </c>
      <c r="E615" s="241">
        <f t="shared" si="194"/>
        <v>13649233.959844299</v>
      </c>
      <c r="F615" s="241">
        <f t="shared" si="194"/>
        <v>18213479.955475863</v>
      </c>
      <c r="G615" s="241">
        <f t="shared" si="194"/>
        <v>12546155.667646548</v>
      </c>
      <c r="H615" s="416">
        <f t="shared" si="194"/>
        <v>23269012.865206044</v>
      </c>
      <c r="I615" s="416">
        <f t="shared" si="194"/>
        <v>24620585.417257678</v>
      </c>
      <c r="J615" s="416">
        <f t="shared" si="194"/>
        <v>26193465.61002529</v>
      </c>
      <c r="K615" s="416">
        <f t="shared" si="194"/>
        <v>27796532.197663613</v>
      </c>
      <c r="L615" s="416">
        <f t="shared" si="194"/>
        <v>29995799.017480019</v>
      </c>
      <c r="M615" s="416">
        <f t="shared" si="194"/>
        <v>31718549.108727206</v>
      </c>
      <c r="N615" s="416">
        <f t="shared" si="194"/>
        <v>34188681.609779753</v>
      </c>
      <c r="O615" s="416">
        <f t="shared" si="194"/>
        <v>36213582.677896522</v>
      </c>
      <c r="P615" s="416">
        <f t="shared" si="194"/>
        <v>38153592.872523107</v>
      </c>
      <c r="Q615" s="416">
        <f t="shared" si="194"/>
        <v>40606837.25307063</v>
      </c>
      <c r="R615" s="416">
        <f t="shared" si="194"/>
        <v>43504379.739604183</v>
      </c>
      <c r="S615" s="232"/>
      <c r="T615" s="231"/>
      <c r="U615" s="237">
        <f t="shared" si="192"/>
        <v>1.0639153398340488</v>
      </c>
      <c r="V615" s="237">
        <f t="shared" si="193"/>
        <v>1.0652313358261942</v>
      </c>
      <c r="W615" s="238"/>
    </row>
    <row r="616" spans="2:23">
      <c r="B616" s="351" t="s">
        <v>580</v>
      </c>
      <c r="C616" s="241">
        <f t="shared" si="194"/>
        <v>250000</v>
      </c>
      <c r="D616" s="241">
        <f t="shared" si="194"/>
        <v>400000</v>
      </c>
      <c r="E616" s="241">
        <f t="shared" si="194"/>
        <v>550000</v>
      </c>
      <c r="F616" s="241">
        <f t="shared" si="194"/>
        <v>2035600</v>
      </c>
      <c r="G616" s="241">
        <f>F616/F615*G615</f>
        <v>1402200.7073603226</v>
      </c>
      <c r="H616" s="416">
        <f>H531*1000</f>
        <v>2919960.5759999999</v>
      </c>
      <c r="I616" s="738">
        <f t="shared" ref="I616:L618" si="195">H616*$U616</f>
        <v>3245428.9129934786</v>
      </c>
      <c r="J616" s="738">
        <f t="shared" si="195"/>
        <v>3607175.0132060801</v>
      </c>
      <c r="K616" s="738">
        <f t="shared" si="195"/>
        <v>4009242.5145423082</v>
      </c>
      <c r="L616" s="738">
        <f t="shared" si="195"/>
        <v>4456125.7719865479</v>
      </c>
      <c r="M616" s="416">
        <f>M531*1000</f>
        <v>4952820.0959999999</v>
      </c>
      <c r="N616" s="738">
        <f t="shared" ref="N616:Q618" si="196">M616*$V616</f>
        <v>5440130.7552849939</v>
      </c>
      <c r="O616" s="738">
        <f t="shared" si="196"/>
        <v>5975388.1750114914</v>
      </c>
      <c r="P616" s="738">
        <f t="shared" si="196"/>
        <v>6563309.8629807942</v>
      </c>
      <c r="Q616" s="738">
        <f t="shared" si="196"/>
        <v>7209077.4851490101</v>
      </c>
      <c r="R616" s="416">
        <f>R531*1000</f>
        <v>7918382.5344000002</v>
      </c>
      <c r="S616" s="232"/>
      <c r="T616" s="231"/>
      <c r="U616" s="237">
        <f t="shared" si="192"/>
        <v>1.1114632641510975</v>
      </c>
      <c r="V616" s="237">
        <f t="shared" si="193"/>
        <v>1.0983905431329024</v>
      </c>
      <c r="W616" s="238"/>
    </row>
    <row r="617" spans="2:23">
      <c r="B617" s="351" t="s">
        <v>581</v>
      </c>
      <c r="C617" s="241">
        <f t="shared" si="194"/>
        <v>4471000</v>
      </c>
      <c r="D617" s="241">
        <f t="shared" si="194"/>
        <v>3136000</v>
      </c>
      <c r="E617" s="241">
        <f t="shared" si="194"/>
        <v>2608000</v>
      </c>
      <c r="F617" s="241">
        <f t="shared" si="194"/>
        <v>3333214.2857142859</v>
      </c>
      <c r="G617" s="241">
        <f>F617/F615*G615</f>
        <v>2296048.0591531266</v>
      </c>
      <c r="H617" s="416">
        <f>H532*1000</f>
        <v>3500000</v>
      </c>
      <c r="I617" s="738">
        <f t="shared" si="195"/>
        <v>3758793.2332502278</v>
      </c>
      <c r="J617" s="738">
        <f t="shared" si="195"/>
        <v>4036721.8772364859</v>
      </c>
      <c r="K617" s="738">
        <f t="shared" si="195"/>
        <v>4335200.8219056167</v>
      </c>
      <c r="L617" s="738">
        <f t="shared" si="195"/>
        <v>4655749.5754741877</v>
      </c>
      <c r="M617" s="416">
        <f>M532*1000</f>
        <v>5000000</v>
      </c>
      <c r="N617" s="738">
        <f t="shared" si="196"/>
        <v>5348051.8786253436</v>
      </c>
      <c r="O617" s="738">
        <f t="shared" si="196"/>
        <v>5720331.7792936135</v>
      </c>
      <c r="P617" s="738">
        <f t="shared" si="196"/>
        <v>6118526.223722293</v>
      </c>
      <c r="Q617" s="738">
        <f t="shared" si="196"/>
        <v>6544439.1330392882</v>
      </c>
      <c r="R617" s="416">
        <f>R532*1000</f>
        <v>7000000</v>
      </c>
      <c r="S617" s="232"/>
      <c r="T617" s="231"/>
      <c r="U617" s="237">
        <f t="shared" si="192"/>
        <v>1.0739409237857793</v>
      </c>
      <c r="V617" s="237">
        <f t="shared" si="193"/>
        <v>1.0696103757250688</v>
      </c>
      <c r="W617" s="238"/>
    </row>
    <row r="618" spans="2:23">
      <c r="B618" s="351" t="s">
        <v>582</v>
      </c>
      <c r="C618" s="241">
        <f t="shared" si="194"/>
        <v>5816690.9589929506</v>
      </c>
      <c r="D618" s="241">
        <f t="shared" si="194"/>
        <v>9304304.4951124322</v>
      </c>
      <c r="E618" s="241">
        <f t="shared" si="194"/>
        <v>10491233.959844299</v>
      </c>
      <c r="F618" s="241">
        <f t="shared" si="194"/>
        <v>12844665.669761578</v>
      </c>
      <c r="G618" s="241">
        <f>F618/F615*G615</f>
        <v>8847906.9011330996</v>
      </c>
      <c r="H618" s="416">
        <f>H533*1000</f>
        <v>16849052.289206043</v>
      </c>
      <c r="I618" s="738">
        <f t="shared" si="195"/>
        <v>17734339.820004925</v>
      </c>
      <c r="J618" s="738">
        <f t="shared" si="195"/>
        <v>18666142.371277098</v>
      </c>
      <c r="K618" s="738">
        <f t="shared" si="195"/>
        <v>19646903.947997622</v>
      </c>
      <c r="L618" s="738">
        <f t="shared" si="195"/>
        <v>20679196.968721889</v>
      </c>
      <c r="M618" s="416">
        <f>M533*1000</f>
        <v>21765729.012727205</v>
      </c>
      <c r="N618" s="738">
        <f t="shared" si="196"/>
        <v>22985250.630303726</v>
      </c>
      <c r="O618" s="738">
        <f t="shared" si="196"/>
        <v>24273101.361730132</v>
      </c>
      <c r="P618" s="738">
        <f t="shared" si="196"/>
        <v>25633109.649021905</v>
      </c>
      <c r="Q618" s="738">
        <f t="shared" si="196"/>
        <v>27069318.439658441</v>
      </c>
      <c r="R618" s="416">
        <f>R533*1000</f>
        <v>28585997.205204185</v>
      </c>
      <c r="S618" s="232"/>
      <c r="T618" s="231"/>
      <c r="U618" s="237">
        <f t="shared" si="192"/>
        <v>1.0525422745210435</v>
      </c>
      <c r="V618" s="237">
        <f t="shared" si="193"/>
        <v>1.0560294404503254</v>
      </c>
      <c r="W618" s="238"/>
    </row>
    <row r="619" spans="2:23">
      <c r="B619" s="112" t="s">
        <v>427</v>
      </c>
      <c r="C619" s="241">
        <f t="shared" ref="C619:R619" si="197">C539*1000</f>
        <v>91357.082256044843</v>
      </c>
      <c r="D619" s="241">
        <f t="shared" si="197"/>
        <v>91611.140079323231</v>
      </c>
      <c r="E619" s="241">
        <f t="shared" si="197"/>
        <v>105964.82229010947</v>
      </c>
      <c r="F619" s="241">
        <f t="shared" si="197"/>
        <v>166621.12127141652</v>
      </c>
      <c r="G619" s="241">
        <f t="shared" si="197"/>
        <v>181069</v>
      </c>
      <c r="H619" s="416">
        <f t="shared" si="197"/>
        <v>195516.85978093391</v>
      </c>
      <c r="I619" s="416">
        <f t="shared" si="197"/>
        <v>243681.52546332707</v>
      </c>
      <c r="J619" s="416">
        <f t="shared" si="197"/>
        <v>291846.19114572025</v>
      </c>
      <c r="K619" s="416">
        <f t="shared" si="197"/>
        <v>315928.52398691687</v>
      </c>
      <c r="L619" s="416">
        <f t="shared" si="197"/>
        <v>352052.02324871178</v>
      </c>
      <c r="M619" s="416">
        <f t="shared" si="197"/>
        <v>388175.52251050662</v>
      </c>
      <c r="N619" s="416">
        <f t="shared" si="197"/>
        <v>449205.63983044273</v>
      </c>
      <c r="O619" s="416">
        <f t="shared" si="197"/>
        <v>510235.75715037883</v>
      </c>
      <c r="P619" s="416">
        <f t="shared" si="197"/>
        <v>540750.81581034698</v>
      </c>
      <c r="Q619" s="416">
        <f t="shared" si="197"/>
        <v>586523.40380029904</v>
      </c>
      <c r="R619" s="416">
        <f t="shared" si="197"/>
        <v>632295.99179025122</v>
      </c>
      <c r="S619" s="232"/>
      <c r="T619" s="231"/>
      <c r="U619" s="237">
        <f t="shared" si="192"/>
        <v>1.1470141791190174</v>
      </c>
      <c r="V619" s="237">
        <f t="shared" si="193"/>
        <v>1.1024996404349896</v>
      </c>
      <c r="W619" s="238"/>
    </row>
    <row r="620" spans="2:23">
      <c r="B620" s="730" t="s">
        <v>684</v>
      </c>
      <c r="C620" s="731"/>
      <c r="D620" s="731"/>
      <c r="E620" s="731"/>
      <c r="F620" s="731"/>
      <c r="G620" s="731">
        <v>0</v>
      </c>
      <c r="H620" s="732">
        <f>H622+H625+H626</f>
        <v>0</v>
      </c>
      <c r="I620" s="732">
        <f>I623+I624+I626</f>
        <v>18280418.784792375</v>
      </c>
      <c r="J620" s="732">
        <f t="shared" ref="J620:R620" si="198">J623+J624+J626</f>
        <v>43151235.912493199</v>
      </c>
      <c r="K620" s="732">
        <f t="shared" si="198"/>
        <v>58096497.540811554</v>
      </c>
      <c r="L620" s="732">
        <f t="shared" si="198"/>
        <v>75429747.192825735</v>
      </c>
      <c r="M620" s="732">
        <f t="shared" si="198"/>
        <v>92662159.799801558</v>
      </c>
      <c r="N620" s="732">
        <f t="shared" si="198"/>
        <v>113215874.61723743</v>
      </c>
      <c r="O620" s="732">
        <f t="shared" si="198"/>
        <v>126671833.49527527</v>
      </c>
      <c r="P620" s="732">
        <f t="shared" si="198"/>
        <v>142820988.0867984</v>
      </c>
      <c r="Q620" s="732">
        <f t="shared" si="198"/>
        <v>163218049.48749673</v>
      </c>
      <c r="R620" s="732">
        <f t="shared" si="198"/>
        <v>189994043.32376301</v>
      </c>
      <c r="S620" s="232"/>
      <c r="T620" s="231"/>
      <c r="U620" s="237"/>
      <c r="V620" s="237"/>
      <c r="W620" s="238"/>
    </row>
    <row r="621" spans="2:23">
      <c r="B621" s="730" t="s">
        <v>685</v>
      </c>
      <c r="C621" s="731"/>
      <c r="D621" s="731"/>
      <c r="E621" s="731"/>
      <c r="F621" s="731"/>
      <c r="G621" s="731"/>
      <c r="H621" s="732"/>
      <c r="I621" s="732">
        <f>I623+I625+I626</f>
        <v>15674905.793027254</v>
      </c>
      <c r="J621" s="732">
        <f t="shared" ref="J621:R621" si="199">J623+J625+J626</f>
        <v>37143546.266776182</v>
      </c>
      <c r="K621" s="732">
        <f t="shared" si="199"/>
        <v>50213328.244101748</v>
      </c>
      <c r="L621" s="732">
        <f t="shared" si="199"/>
        <v>65466797.789071448</v>
      </c>
      <c r="M621" s="732">
        <f t="shared" si="199"/>
        <v>78630654.862030774</v>
      </c>
      <c r="N621" s="732">
        <f t="shared" si="199"/>
        <v>94624644.010334373</v>
      </c>
      <c r="O621" s="732">
        <f t="shared" si="199"/>
        <v>106874964.98306304</v>
      </c>
      <c r="P621" s="732">
        <f t="shared" si="199"/>
        <v>121641544.99788561</v>
      </c>
      <c r="Q621" s="732">
        <f t="shared" si="199"/>
        <v>140450075.32756108</v>
      </c>
      <c r="R621" s="732">
        <f t="shared" si="199"/>
        <v>165396963.87806562</v>
      </c>
      <c r="S621" s="232"/>
      <c r="T621" s="231"/>
      <c r="U621" s="237"/>
      <c r="V621" s="237"/>
      <c r="W621" s="238"/>
    </row>
    <row r="622" spans="2:23">
      <c r="B622" s="733" t="s">
        <v>994</v>
      </c>
      <c r="C622" s="731"/>
      <c r="D622" s="731"/>
      <c r="E622" s="731"/>
      <c r="F622" s="731"/>
      <c r="G622" s="734">
        <f>G534*1000</f>
        <v>0</v>
      </c>
      <c r="H622" s="732">
        <f>H534*1000</f>
        <v>0</v>
      </c>
      <c r="I622" s="732">
        <f>I534*1000</f>
        <v>1841497.6255015361</v>
      </c>
      <c r="J622" s="732">
        <f>J534*1000</f>
        <v>4744815.2147565279</v>
      </c>
      <c r="K622" s="732">
        <f t="shared" ref="K622:R622" si="200">K534*1000</f>
        <v>6992105.5243119467</v>
      </c>
      <c r="L622" s="732">
        <f t="shared" si="200"/>
        <v>10035108.447804973</v>
      </c>
      <c r="M622" s="732">
        <f t="shared" si="200"/>
        <v>13277472.376117788</v>
      </c>
      <c r="N622" s="732">
        <f t="shared" si="200"/>
        <v>17780996.344951216</v>
      </c>
      <c r="O622" s="732">
        <f t="shared" si="200"/>
        <v>23389747.840026889</v>
      </c>
      <c r="P622" s="732">
        <f t="shared" si="200"/>
        <v>29392157.362494815</v>
      </c>
      <c r="Q622" s="732">
        <f t="shared" si="200"/>
        <v>38318906.057010323</v>
      </c>
      <c r="R622" s="732">
        <f t="shared" si="200"/>
        <v>46642906.694756396</v>
      </c>
      <c r="S622" s="232"/>
      <c r="T622" s="231"/>
      <c r="U622" s="237"/>
      <c r="V622" s="237"/>
      <c r="W622" s="238"/>
    </row>
    <row r="623" spans="2:23">
      <c r="B623" s="733" t="s">
        <v>995</v>
      </c>
      <c r="C623" s="731"/>
      <c r="D623" s="731"/>
      <c r="E623" s="731"/>
      <c r="F623" s="731"/>
      <c r="G623" s="734"/>
      <c r="H623" s="732">
        <f t="shared" ref="H623:I626" si="201">H535*1000</f>
        <v>0</v>
      </c>
      <c r="I623" s="732">
        <f t="shared" si="201"/>
        <v>2377930.5422674296</v>
      </c>
      <c r="J623" s="732">
        <f t="shared" ref="J623:R623" si="202">J535*1000</f>
        <v>6363085.3372903774</v>
      </c>
      <c r="K623" s="732">
        <f t="shared" si="202"/>
        <v>9172844.1974405963</v>
      </c>
      <c r="L623" s="732">
        <f t="shared" si="202"/>
        <v>12490958.119110951</v>
      </c>
      <c r="M623" s="732">
        <f t="shared" si="202"/>
        <v>16468548.626209343</v>
      </c>
      <c r="N623" s="732">
        <f t="shared" si="202"/>
        <v>21993808.253469009</v>
      </c>
      <c r="O623" s="732">
        <f t="shared" si="202"/>
        <v>27160237.334459651</v>
      </c>
      <c r="P623" s="732">
        <f t="shared" si="202"/>
        <v>33962653.005877487</v>
      </c>
      <c r="Q623" s="732">
        <f t="shared" si="202"/>
        <v>43763666.773409732</v>
      </c>
      <c r="R623" s="732">
        <f t="shared" si="202"/>
        <v>58461565.546724759</v>
      </c>
      <c r="S623" s="232"/>
      <c r="T623" s="231"/>
      <c r="U623" s="237"/>
      <c r="V623" s="237"/>
      <c r="W623" s="238"/>
    </row>
    <row r="624" spans="2:23" ht="26.25">
      <c r="B624" s="733" t="s">
        <v>680</v>
      </c>
      <c r="C624" s="731"/>
      <c r="D624" s="731"/>
      <c r="E624" s="731"/>
      <c r="F624" s="731"/>
      <c r="G624" s="734"/>
      <c r="H624" s="732">
        <f t="shared" si="201"/>
        <v>0</v>
      </c>
      <c r="I624" s="732">
        <f t="shared" si="201"/>
        <v>5695822.2187093543</v>
      </c>
      <c r="J624" s="732">
        <f t="shared" ref="J624:R624" si="203">J536*1000</f>
        <v>13032860.285815598</v>
      </c>
      <c r="K624" s="732">
        <f t="shared" si="203"/>
        <v>17141294.636587903</v>
      </c>
      <c r="L624" s="732">
        <f t="shared" si="203"/>
        <v>21718229.793124631</v>
      </c>
      <c r="M624" s="732">
        <f t="shared" si="203"/>
        <v>30667997.975388862</v>
      </c>
      <c r="N624" s="732">
        <f t="shared" si="203"/>
        <v>40746339.496381462</v>
      </c>
      <c r="O624" s="732">
        <f t="shared" si="203"/>
        <v>43511431.125144929</v>
      </c>
      <c r="P624" s="732">
        <f t="shared" si="203"/>
        <v>46684111.767532147</v>
      </c>
      <c r="Q624" s="732">
        <f t="shared" si="203"/>
        <v>50331528.865611225</v>
      </c>
      <c r="R624" s="732">
        <f t="shared" si="203"/>
        <v>54533967.739576645</v>
      </c>
      <c r="S624" s="232"/>
      <c r="T624" s="231"/>
      <c r="U624" s="237"/>
      <c r="V624" s="237"/>
      <c r="W624" s="238"/>
    </row>
    <row r="625" spans="2:23" ht="26.25">
      <c r="B625" s="733" t="s">
        <v>681</v>
      </c>
      <c r="C625" s="731"/>
      <c r="D625" s="731"/>
      <c r="E625" s="731"/>
      <c r="F625" s="731"/>
      <c r="G625" s="734">
        <f>G537*1000</f>
        <v>0</v>
      </c>
      <c r="H625" s="732">
        <f t="shared" si="201"/>
        <v>0</v>
      </c>
      <c r="I625" s="732">
        <f t="shared" si="201"/>
        <v>3090309.2269442333</v>
      </c>
      <c r="J625" s="732">
        <f>J537*1000</f>
        <v>7025170.640098583</v>
      </c>
      <c r="K625" s="732">
        <f t="shared" ref="K625:R625" si="204">K537*1000</f>
        <v>9258125.339878086</v>
      </c>
      <c r="L625" s="732">
        <f t="shared" si="204"/>
        <v>11755280.389370345</v>
      </c>
      <c r="M625" s="732">
        <f t="shared" si="204"/>
        <v>16636493.037618093</v>
      </c>
      <c r="N625" s="732">
        <f t="shared" si="204"/>
        <v>22155108.889478397</v>
      </c>
      <c r="O625" s="732">
        <f t="shared" si="204"/>
        <v>23714562.612932697</v>
      </c>
      <c r="P625" s="732">
        <f t="shared" si="204"/>
        <v>25504668.678619366</v>
      </c>
      <c r="Q625" s="732">
        <f t="shared" si="204"/>
        <v>27563554.705675583</v>
      </c>
      <c r="R625" s="732">
        <f t="shared" si="204"/>
        <v>29936888.293879248</v>
      </c>
      <c r="S625" s="232"/>
      <c r="T625" s="231"/>
      <c r="U625" s="237"/>
      <c r="V625" s="237"/>
      <c r="W625" s="238"/>
    </row>
    <row r="626" spans="2:23">
      <c r="B626" s="733" t="s">
        <v>484</v>
      </c>
      <c r="C626" s="731"/>
      <c r="D626" s="731"/>
      <c r="E626" s="731"/>
      <c r="F626" s="731"/>
      <c r="G626" s="734">
        <f>G538*1000</f>
        <v>0</v>
      </c>
      <c r="H626" s="732">
        <f t="shared" si="201"/>
        <v>0</v>
      </c>
      <c r="I626" s="732">
        <f t="shared" si="201"/>
        <v>10206666.023815591</v>
      </c>
      <c r="J626" s="732">
        <f>J538*1000</f>
        <v>23755290.289387222</v>
      </c>
      <c r="K626" s="732">
        <f t="shared" ref="K626:R626" si="205">K538*1000</f>
        <v>31782358.70678306</v>
      </c>
      <c r="L626" s="732">
        <f t="shared" si="205"/>
        <v>41220559.280590154</v>
      </c>
      <c r="M626" s="732">
        <f t="shared" si="205"/>
        <v>45525613.198203348</v>
      </c>
      <c r="N626" s="732">
        <f t="shared" si="205"/>
        <v>50475726.867386967</v>
      </c>
      <c r="O626" s="732">
        <f t="shared" si="205"/>
        <v>56000165.035670698</v>
      </c>
      <c r="P626" s="732">
        <f t="shared" si="205"/>
        <v>62174223.313388757</v>
      </c>
      <c r="Q626" s="732">
        <f t="shared" si="205"/>
        <v>69122853.848475769</v>
      </c>
      <c r="R626" s="732">
        <f t="shared" si="205"/>
        <v>76998510.037461609</v>
      </c>
      <c r="S626" s="232"/>
      <c r="T626" s="231"/>
      <c r="U626" s="237"/>
      <c r="V626" s="237"/>
      <c r="W626" s="238"/>
    </row>
    <row r="627" spans="2:23">
      <c r="B627" s="313" t="s">
        <v>686</v>
      </c>
      <c r="C627" s="674">
        <f>C612+C613+C614+C615+C619</f>
        <v>22955874.837359536</v>
      </c>
      <c r="D627" s="674">
        <f>D612+D613+D614+D615+D619</f>
        <v>27481026.851028074</v>
      </c>
      <c r="E627" s="674">
        <f>E612+E613+E614+E615+E619</f>
        <v>30800249.266938992</v>
      </c>
      <c r="F627" s="674">
        <f>F612+F613+F614+F615+F619</f>
        <v>43480593.436612725</v>
      </c>
      <c r="G627" s="674">
        <f>G612+G613+G614+G615+G619</f>
        <v>38946372.852656752</v>
      </c>
      <c r="H627" s="737">
        <f t="shared" ref="H627:R627" si="206">H612+H613+H614+H615+H620+H619</f>
        <v>62966374.340553626</v>
      </c>
      <c r="I627" s="737">
        <f t="shared" si="206"/>
        <v>91123722.159512952</v>
      </c>
      <c r="J627" s="737">
        <f t="shared" si="206"/>
        <v>122377216.67698358</v>
      </c>
      <c r="K627" s="737">
        <f t="shared" si="206"/>
        <v>147656520.80699971</v>
      </c>
      <c r="L627" s="737">
        <f t="shared" si="206"/>
        <v>192733829.02310055</v>
      </c>
      <c r="M627" s="737">
        <f t="shared" si="206"/>
        <v>224200436.37097687</v>
      </c>
      <c r="N627" s="737">
        <f t="shared" si="206"/>
        <v>246565254.36726245</v>
      </c>
      <c r="O627" s="737">
        <f t="shared" si="206"/>
        <v>270394447.79424262</v>
      </c>
      <c r="P627" s="737">
        <f t="shared" si="206"/>
        <v>287878076.43383384</v>
      </c>
      <c r="Q627" s="737">
        <f t="shared" si="206"/>
        <v>324856641.77103549</v>
      </c>
      <c r="R627" s="737">
        <f t="shared" si="206"/>
        <v>362530574.74895066</v>
      </c>
      <c r="S627" s="99"/>
      <c r="T627" s="239"/>
      <c r="U627" s="237">
        <f>POWER(M627/H627,1/5)</f>
        <v>1.289156234700797</v>
      </c>
      <c r="V627" s="237">
        <f>POWER(R627/M627,1/5)</f>
        <v>1.1008841961256133</v>
      </c>
      <c r="W627" s="240"/>
    </row>
    <row r="628" spans="2:23" ht="16.5" thickBot="1">
      <c r="B628" s="313" t="s">
        <v>687</v>
      </c>
      <c r="C628" s="737">
        <f>C612+C613+C614+C615+C619+C621</f>
        <v>22955874.837359536</v>
      </c>
      <c r="D628" s="737">
        <f t="shared" ref="D628:R628" si="207">D612+D613+D614+D615+D619+D621</f>
        <v>27481026.851028074</v>
      </c>
      <c r="E628" s="737">
        <f t="shared" si="207"/>
        <v>30800249.266938992</v>
      </c>
      <c r="F628" s="737">
        <f t="shared" si="207"/>
        <v>43480593.436612725</v>
      </c>
      <c r="G628" s="737">
        <f t="shared" si="207"/>
        <v>38946372.852656752</v>
      </c>
      <c r="H628" s="737">
        <f t="shared" si="207"/>
        <v>62966374.340553626</v>
      </c>
      <c r="I628" s="737">
        <f t="shared" si="207"/>
        <v>88518209.167747825</v>
      </c>
      <c r="J628" s="737">
        <f t="shared" si="207"/>
        <v>116369527.03126657</v>
      </c>
      <c r="K628" s="737">
        <f t="shared" si="207"/>
        <v>139773351.51028994</v>
      </c>
      <c r="L628" s="737">
        <f t="shared" si="207"/>
        <v>182770879.61934629</v>
      </c>
      <c r="M628" s="737">
        <f t="shared" si="207"/>
        <v>210168931.43320608</v>
      </c>
      <c r="N628" s="737">
        <f t="shared" si="207"/>
        <v>227974023.76035941</v>
      </c>
      <c r="O628" s="737">
        <f t="shared" si="207"/>
        <v>250597579.2820304</v>
      </c>
      <c r="P628" s="737">
        <f t="shared" si="207"/>
        <v>266698633.34492111</v>
      </c>
      <c r="Q628" s="737">
        <f t="shared" si="207"/>
        <v>302088667.61109984</v>
      </c>
      <c r="R628" s="737">
        <f t="shared" si="207"/>
        <v>337933495.30325329</v>
      </c>
      <c r="S628" s="99"/>
      <c r="T628" s="239"/>
      <c r="U628" s="237"/>
      <c r="V628" s="237"/>
      <c r="W628" s="240"/>
    </row>
    <row r="629" spans="2:23">
      <c r="B629" s="242" t="s">
        <v>521</v>
      </c>
      <c r="C629" s="672">
        <f>ECO!B$64</f>
        <v>839211274.6400001</v>
      </c>
      <c r="D629" s="672">
        <f>ECO!C$64</f>
        <v>974265000.00000012</v>
      </c>
      <c r="E629" s="672">
        <f>ECO!D$64</f>
        <v>1143715362.29317</v>
      </c>
      <c r="F629" s="672">
        <f>ECO!E$64</f>
        <v>1485038000</v>
      </c>
      <c r="G629" s="672">
        <f>ECO!F$64</f>
        <v>1658389000</v>
      </c>
      <c r="H629" s="735">
        <f>ECO!G$64</f>
        <v>1980913600</v>
      </c>
      <c r="I629" s="735">
        <f>ECO!H$64</f>
        <v>2407760638.8534503</v>
      </c>
      <c r="J629" s="735">
        <f>ECO!I$64</f>
        <v>2754323266.3225503</v>
      </c>
      <c r="K629" s="735">
        <f>ECO!J$64</f>
        <v>3162885088.7901502</v>
      </c>
      <c r="L629" s="735">
        <f>ECO!K$64</f>
        <v>3622238328.3556705</v>
      </c>
      <c r="M629" s="735">
        <f>ECO!L$64</f>
        <v>4129308055.61409</v>
      </c>
      <c r="N629" s="735">
        <f>ECO!M$64</f>
        <v>4688104086.8955002</v>
      </c>
      <c r="O629" s="735">
        <f>ECO!N$64</f>
        <v>5313131173.8703308</v>
      </c>
      <c r="P629" s="735">
        <f>ECO!O$64</f>
        <v>6021452698.0013103</v>
      </c>
      <c r="Q629" s="735">
        <f>ECO!P$64</f>
        <v>6826390185.7896204</v>
      </c>
      <c r="R629" s="735">
        <f>ECO!Q$64</f>
        <v>7741528168.671381</v>
      </c>
      <c r="S629" s="192"/>
      <c r="T629" s="100"/>
      <c r="U629" s="52">
        <f>POWER(M629/H629,1/5)</f>
        <v>1.1582501095520736</v>
      </c>
      <c r="V629" s="52">
        <f>POWER(R629/M629,1/5)</f>
        <v>1.1339394976055075</v>
      </c>
      <c r="W629" s="98"/>
    </row>
    <row r="630" spans="2:23">
      <c r="B630" s="124" t="s">
        <v>560</v>
      </c>
      <c r="C630" s="673">
        <f>C542*1000</f>
        <v>839211000</v>
      </c>
      <c r="D630" s="673">
        <f t="shared" ref="D630:R630" si="208">D542*1000</f>
        <v>974266000</v>
      </c>
      <c r="E630" s="673">
        <f t="shared" si="208"/>
        <v>1144015000</v>
      </c>
      <c r="F630" s="673">
        <f t="shared" si="208"/>
        <v>1452856788</v>
      </c>
      <c r="G630" s="673">
        <f t="shared" si="208"/>
        <v>1452856788</v>
      </c>
      <c r="H630" s="416">
        <f t="shared" si="208"/>
        <v>1830606870</v>
      </c>
      <c r="I630" s="416">
        <f t="shared" si="208"/>
        <v>2029267029.1500001</v>
      </c>
      <c r="J630" s="416">
        <f t="shared" si="208"/>
        <v>2249805124.2517505</v>
      </c>
      <c r="K630" s="416">
        <f t="shared" si="208"/>
        <v>2496881730.0496502</v>
      </c>
      <c r="L630" s="416">
        <f t="shared" si="208"/>
        <v>2781307138.2028379</v>
      </c>
      <c r="M630" s="416">
        <f t="shared" si="208"/>
        <v>3104671242.5122423</v>
      </c>
      <c r="N630" s="416">
        <f t="shared" si="208"/>
        <v>3481576752.0480995</v>
      </c>
      <c r="O630" s="416">
        <f t="shared" si="208"/>
        <v>3910674705.9138789</v>
      </c>
      <c r="P630" s="416">
        <f t="shared" si="208"/>
        <v>4408696960.2723923</v>
      </c>
      <c r="Q630" s="416">
        <f t="shared" si="208"/>
        <v>4974319061.9407539</v>
      </c>
      <c r="R630" s="416">
        <f t="shared" si="208"/>
        <v>5553919736.0699377</v>
      </c>
      <c r="S630" s="192"/>
      <c r="T630" s="100"/>
      <c r="U630" s="52"/>
      <c r="V630" s="52"/>
      <c r="W630" s="98"/>
    </row>
    <row r="631" spans="2:23">
      <c r="B631" s="125" t="s">
        <v>688</v>
      </c>
      <c r="C631" s="676">
        <f>C627/C$629*100</f>
        <v>2.7354106803685418</v>
      </c>
      <c r="D631" s="676">
        <f t="shared" ref="D631:K631" si="209">D627/D$629*100</f>
        <v>2.8206932252547374</v>
      </c>
      <c r="E631" s="676">
        <f t="shared" si="209"/>
        <v>2.6929995243907481</v>
      </c>
      <c r="F631" s="676">
        <f t="shared" si="209"/>
        <v>2.9279111670282325</v>
      </c>
      <c r="G631" s="676">
        <f t="shared" si="209"/>
        <v>2.3484461638769161</v>
      </c>
      <c r="H631" s="676">
        <f t="shared" si="209"/>
        <v>3.1786532406336971</v>
      </c>
      <c r="I631" s="676">
        <f t="shared" si="209"/>
        <v>3.7845839278652336</v>
      </c>
      <c r="J631" s="676">
        <f t="shared" si="209"/>
        <v>4.443095629816038</v>
      </c>
      <c r="K631" s="676">
        <f t="shared" si="209"/>
        <v>4.6684124355425283</v>
      </c>
      <c r="L631" s="676">
        <f>L627/L$629*100</f>
        <v>5.3208489213517005</v>
      </c>
      <c r="M631" s="676">
        <f t="shared" ref="M631:R631" si="210">M627/M$629*100</f>
        <v>5.4294916569898515</v>
      </c>
      <c r="N631" s="676">
        <f t="shared" si="210"/>
        <v>5.2593809735683559</v>
      </c>
      <c r="O631" s="676">
        <f t="shared" si="210"/>
        <v>5.0891732002406931</v>
      </c>
      <c r="P631" s="676">
        <f t="shared" si="210"/>
        <v>4.7808741656210083</v>
      </c>
      <c r="Q631" s="676">
        <f t="shared" si="210"/>
        <v>4.7588349468696354</v>
      </c>
      <c r="R631" s="676">
        <f t="shared" si="210"/>
        <v>4.6829329668533513</v>
      </c>
      <c r="S631" s="93"/>
      <c r="T631" s="94"/>
      <c r="U631" s="52">
        <f>POWER(M631/H631,1/5)</f>
        <v>1.1130206024321883</v>
      </c>
      <c r="V631" s="52">
        <f>POWER(R631/M631,1/5)</f>
        <v>0.97084914887461282</v>
      </c>
      <c r="W631" s="126"/>
    </row>
    <row r="632" spans="2:23">
      <c r="B632" s="125" t="s">
        <v>689</v>
      </c>
      <c r="C632" s="676">
        <f>C628/C$629*100</f>
        <v>2.7354106803685418</v>
      </c>
      <c r="D632" s="676">
        <f t="shared" ref="D632:K632" si="211">D628/D$629*100</f>
        <v>2.8206932252547374</v>
      </c>
      <c r="E632" s="676">
        <f t="shared" si="211"/>
        <v>2.6929995243907481</v>
      </c>
      <c r="F632" s="676">
        <f t="shared" si="211"/>
        <v>2.9279111670282325</v>
      </c>
      <c r="G632" s="676">
        <f t="shared" si="211"/>
        <v>2.3484461638769161</v>
      </c>
      <c r="H632" s="676">
        <f t="shared" si="211"/>
        <v>3.1786532406336971</v>
      </c>
      <c r="I632" s="676">
        <f t="shared" si="211"/>
        <v>3.6763708044458792</v>
      </c>
      <c r="J632" s="676">
        <f t="shared" si="211"/>
        <v>4.2249770916192411</v>
      </c>
      <c r="K632" s="676">
        <f t="shared" si="211"/>
        <v>4.4191726093898431</v>
      </c>
      <c r="L632" s="676">
        <f>L628/L$629*100</f>
        <v>5.0457993939431329</v>
      </c>
      <c r="M632" s="676">
        <f t="shared" ref="M632:R632" si="212">M628/M$629*100</f>
        <v>5.0896888438116497</v>
      </c>
      <c r="N632" s="676">
        <f t="shared" si="212"/>
        <v>4.8628191596173718</v>
      </c>
      <c r="O632" s="676">
        <f t="shared" si="212"/>
        <v>4.7165705321648126</v>
      </c>
      <c r="P632" s="676">
        <f t="shared" si="212"/>
        <v>4.4291410515181147</v>
      </c>
      <c r="Q632" s="676">
        <f t="shared" si="212"/>
        <v>4.4253061924287982</v>
      </c>
      <c r="R632" s="676">
        <f t="shared" si="212"/>
        <v>4.365203974466068</v>
      </c>
      <c r="S632" s="93"/>
      <c r="T632" s="94"/>
      <c r="U632" s="52"/>
      <c r="V632" s="52"/>
      <c r="W632" s="126"/>
    </row>
    <row r="633" spans="2:23">
      <c r="B633" s="1063" t="s">
        <v>690</v>
      </c>
      <c r="C633" s="736">
        <f>C627/C$630*100</f>
        <v>2.7354115755584156</v>
      </c>
      <c r="D633" s="736">
        <f t="shared" ref="D633:K633" si="213">D627/D$630*100</f>
        <v>2.8206903300564807</v>
      </c>
      <c r="E633" s="736">
        <f t="shared" si="213"/>
        <v>2.6922941803157294</v>
      </c>
      <c r="F633" s="736">
        <f t="shared" si="213"/>
        <v>2.9927652743026401</v>
      </c>
      <c r="G633" s="736">
        <f t="shared" si="213"/>
        <v>2.680675285708666</v>
      </c>
      <c r="H633" s="736">
        <f t="shared" si="213"/>
        <v>3.4396448179260699</v>
      </c>
      <c r="I633" s="736">
        <f t="shared" si="213"/>
        <v>4.4904746812784904</v>
      </c>
      <c r="J633" s="736">
        <f t="shared" si="213"/>
        <v>5.4394585272217428</v>
      </c>
      <c r="K633" s="736">
        <f t="shared" si="213"/>
        <v>5.9136369588504127</v>
      </c>
      <c r="L633" s="736">
        <f>L627/L$630*100</f>
        <v>6.9296132877880199</v>
      </c>
      <c r="M633" s="736">
        <f t="shared" ref="M633:R633" si="214">M627/M$630*100</f>
        <v>7.2213905711175403</v>
      </c>
      <c r="N633" s="736">
        <f t="shared" si="214"/>
        <v>7.0819996779394865</v>
      </c>
      <c r="O633" s="736">
        <f t="shared" si="214"/>
        <v>6.9142659036646874</v>
      </c>
      <c r="P633" s="736">
        <f t="shared" si="214"/>
        <v>6.5297769165800688</v>
      </c>
      <c r="Q633" s="736">
        <f t="shared" si="214"/>
        <v>6.5306756105888226</v>
      </c>
      <c r="R633" s="736">
        <f t="shared" si="214"/>
        <v>6.5274723434423336</v>
      </c>
      <c r="S633" s="93"/>
      <c r="T633" s="94"/>
      <c r="U633" s="52"/>
      <c r="V633" s="52"/>
      <c r="W633" s="126"/>
    </row>
    <row r="634" spans="2:23" s="667" customFormat="1" ht="16.5" thickBot="1">
      <c r="B634" s="1063" t="s">
        <v>691</v>
      </c>
      <c r="C634" s="736">
        <f>C628/C$630*100</f>
        <v>2.7354115755584156</v>
      </c>
      <c r="D634" s="736">
        <f t="shared" ref="D634:K634" si="215">D628/D$630*100</f>
        <v>2.8206903300564807</v>
      </c>
      <c r="E634" s="736">
        <f t="shared" si="215"/>
        <v>2.6922941803157294</v>
      </c>
      <c r="F634" s="736">
        <f t="shared" si="215"/>
        <v>2.9927652743026401</v>
      </c>
      <c r="G634" s="736">
        <f t="shared" si="215"/>
        <v>2.680675285708666</v>
      </c>
      <c r="H634" s="736">
        <f t="shared" si="215"/>
        <v>3.4396448179260699</v>
      </c>
      <c r="I634" s="736">
        <f t="shared" si="215"/>
        <v>4.362077927458639</v>
      </c>
      <c r="J634" s="736">
        <f t="shared" si="215"/>
        <v>5.1724269705345804</v>
      </c>
      <c r="K634" s="736">
        <f t="shared" si="215"/>
        <v>5.5979163861922512</v>
      </c>
      <c r="L634" s="736">
        <f>L628/L$630*100</f>
        <v>6.5714022413736393</v>
      </c>
      <c r="M634" s="736">
        <f t="shared" ref="M634:R634" si="216">M628/M$630*100</f>
        <v>6.769442398775249</v>
      </c>
      <c r="N634" s="736">
        <f t="shared" si="216"/>
        <v>6.5480108581908931</v>
      </c>
      <c r="O634" s="736">
        <f t="shared" si="216"/>
        <v>6.4080394849274152</v>
      </c>
      <c r="P634" s="736">
        <f t="shared" si="216"/>
        <v>6.0493754900414629</v>
      </c>
      <c r="Q634" s="736">
        <f t="shared" si="216"/>
        <v>6.0729652410603219</v>
      </c>
      <c r="R634" s="736">
        <f t="shared" si="216"/>
        <v>6.0845945091453846</v>
      </c>
      <c r="S634" s="301"/>
      <c r="T634" s="1064"/>
      <c r="U634" s="54"/>
      <c r="V634" s="54"/>
      <c r="W634" s="1065"/>
    </row>
    <row r="635" spans="2:23">
      <c r="B635" s="242" t="s">
        <v>455</v>
      </c>
      <c r="C635" s="678">
        <f>C190</f>
        <v>255907479.99999997</v>
      </c>
      <c r="D635" s="678">
        <f t="shared" ref="D635:R635" si="217">D190</f>
        <v>281466000</v>
      </c>
      <c r="E635" s="678">
        <f t="shared" si="217"/>
        <v>356931178.92700005</v>
      </c>
      <c r="F635" s="678">
        <f t="shared" si="217"/>
        <v>448286780.48000002</v>
      </c>
      <c r="G635" s="678">
        <f t="shared" si="217"/>
        <v>591473799.05000007</v>
      </c>
      <c r="H635" s="678">
        <f t="shared" si="217"/>
        <v>685042000</v>
      </c>
      <c r="I635" s="678">
        <f t="shared" si="217"/>
        <v>763802586.29371738</v>
      </c>
      <c r="J635" s="678">
        <f t="shared" si="217"/>
        <v>877373099.71108425</v>
      </c>
      <c r="K635" s="678">
        <f t="shared" si="217"/>
        <v>1002389012.8821763</v>
      </c>
      <c r="L635" s="678">
        <f t="shared" si="217"/>
        <v>1144676302.8963153</v>
      </c>
      <c r="M635" s="678">
        <f t="shared" si="217"/>
        <v>1300851167.6789532</v>
      </c>
      <c r="N635" s="678">
        <f t="shared" si="217"/>
        <v>1469895442.276958</v>
      </c>
      <c r="O635" s="678">
        <f t="shared" si="217"/>
        <v>1661713214.4005201</v>
      </c>
      <c r="P635" s="678">
        <f t="shared" si="217"/>
        <v>1874029225.4743962</v>
      </c>
      <c r="Q635" s="678">
        <f t="shared" si="217"/>
        <v>2114604066.9078875</v>
      </c>
      <c r="R635" s="678">
        <f t="shared" si="217"/>
        <v>2387002378.7881999</v>
      </c>
      <c r="S635" s="192"/>
      <c r="T635" s="100"/>
      <c r="U635" s="52">
        <f>POWER(M635/H635,1/5)</f>
        <v>1.1368471632433801</v>
      </c>
      <c r="V635" s="52">
        <f>POWER(R635/M635,1/5)</f>
        <v>1.129080867180958</v>
      </c>
      <c r="W635" s="98"/>
    </row>
    <row r="636" spans="2:23">
      <c r="B636" s="124" t="s">
        <v>456</v>
      </c>
      <c r="C636" s="656">
        <f>C541*1000</f>
        <v>262697000</v>
      </c>
      <c r="D636" s="656">
        <f>D541*1000</f>
        <v>308058000</v>
      </c>
      <c r="E636" s="656">
        <f>E541*1000</f>
        <v>368000000</v>
      </c>
      <c r="F636" s="656">
        <f>F541*1000</f>
        <v>474300000</v>
      </c>
      <c r="G636" s="656"/>
      <c r="H636" s="656">
        <f>H541*1000</f>
        <v>615876414.00400448</v>
      </c>
      <c r="I636" s="656">
        <f>H636*$U636</f>
        <v>685165401.60587716</v>
      </c>
      <c r="J636" s="656">
        <f>I636*$U636</f>
        <v>762249725.56700397</v>
      </c>
      <c r="K636" s="656">
        <f>J636*$U636</f>
        <v>848006397.82040763</v>
      </c>
      <c r="L636" s="656">
        <f>K636*$U636</f>
        <v>943411098.25841606</v>
      </c>
      <c r="M636" s="656">
        <f>M541*1000</f>
        <v>1049549275.3412479</v>
      </c>
      <c r="N636" s="656">
        <f>M636*$V636</f>
        <v>1178012845.3441193</v>
      </c>
      <c r="O636" s="656">
        <f>N636*$V636</f>
        <v>1322200201.9338729</v>
      </c>
      <c r="P636" s="656">
        <f>O636*$V636</f>
        <v>1484035917.692637</v>
      </c>
      <c r="Q636" s="656">
        <f>P636*$V636</f>
        <v>1665680130.5737312</v>
      </c>
      <c r="R636" s="656">
        <f>R541*1000</f>
        <v>1869557376.8200104</v>
      </c>
      <c r="S636" s="192"/>
      <c r="T636" s="100"/>
      <c r="U636" s="52">
        <f>POWER(M636/H636,1/5)</f>
        <v>1.112504694166486</v>
      </c>
      <c r="V636" s="52">
        <f>POWER(R636/M636,1/5)</f>
        <v>1.1223987982470887</v>
      </c>
      <c r="W636" s="98"/>
    </row>
    <row r="637" spans="2:23" s="60" customFormat="1">
      <c r="B637" s="125" t="s">
        <v>692</v>
      </c>
      <c r="C637" s="736">
        <f>C627/C$635*100</f>
        <v>8.9703805599428108</v>
      </c>
      <c r="D637" s="736">
        <f t="shared" ref="D637:R637" si="218">D627/D$635*100</f>
        <v>9.7635333756219485</v>
      </c>
      <c r="E637" s="736">
        <f t="shared" si="218"/>
        <v>8.629184303688497</v>
      </c>
      <c r="F637" s="736">
        <f t="shared" si="218"/>
        <v>9.6992807572991939</v>
      </c>
      <c r="G637" s="736">
        <f t="shared" si="218"/>
        <v>6.5846319676730829</v>
      </c>
      <c r="H637" s="736">
        <f t="shared" si="218"/>
        <v>9.1916078635402823</v>
      </c>
      <c r="I637" s="736">
        <f t="shared" si="218"/>
        <v>11.930271485683562</v>
      </c>
      <c r="J637" s="736">
        <f t="shared" si="218"/>
        <v>13.948138678662698</v>
      </c>
      <c r="K637" s="736">
        <f t="shared" si="218"/>
        <v>14.730460820040502</v>
      </c>
      <c r="L637" s="736">
        <f t="shared" si="218"/>
        <v>16.837408840860608</v>
      </c>
      <c r="M637" s="736">
        <f t="shared" si="218"/>
        <v>17.234902957500285</v>
      </c>
      <c r="N637" s="736">
        <f t="shared" si="218"/>
        <v>16.77433967584237</v>
      </c>
      <c r="O637" s="736">
        <f t="shared" si="218"/>
        <v>16.27202849751605</v>
      </c>
      <c r="P637" s="736">
        <f t="shared" si="218"/>
        <v>15.361450745836672</v>
      </c>
      <c r="Q637" s="736">
        <f t="shared" si="218"/>
        <v>15.362527995421013</v>
      </c>
      <c r="R637" s="736">
        <f t="shared" si="218"/>
        <v>15.187692227311276</v>
      </c>
      <c r="S637" s="93"/>
      <c r="T637" s="94"/>
      <c r="U637" s="250">
        <f>POWER(M637/H637,1/5)</f>
        <v>1.1339749760406537</v>
      </c>
      <c r="V637" s="250">
        <f>POWER(R637/M637,1/5)</f>
        <v>0.97502688082409439</v>
      </c>
      <c r="W637" s="240"/>
    </row>
    <row r="638" spans="2:23" s="60" customFormat="1">
      <c r="B638" s="125" t="s">
        <v>692</v>
      </c>
      <c r="C638" s="736">
        <f>C628/C$635*100</f>
        <v>8.9703805599428108</v>
      </c>
      <c r="D638" s="736">
        <f t="shared" ref="D638:R638" si="219">D628/D$635*100</f>
        <v>9.7635333756219485</v>
      </c>
      <c r="E638" s="736">
        <f t="shared" si="219"/>
        <v>8.629184303688497</v>
      </c>
      <c r="F638" s="736">
        <f t="shared" si="219"/>
        <v>9.6992807572991939</v>
      </c>
      <c r="G638" s="736">
        <f t="shared" si="219"/>
        <v>6.5846319676730829</v>
      </c>
      <c r="H638" s="736">
        <f t="shared" si="219"/>
        <v>9.1916078635402823</v>
      </c>
      <c r="I638" s="736">
        <f t="shared" si="219"/>
        <v>11.589147609105959</v>
      </c>
      <c r="J638" s="736">
        <f t="shared" si="219"/>
        <v>13.263402658411414</v>
      </c>
      <c r="K638" s="736">
        <f t="shared" si="219"/>
        <v>13.944022701166547</v>
      </c>
      <c r="L638" s="736">
        <f t="shared" si="219"/>
        <v>15.967036196773757</v>
      </c>
      <c r="M638" s="736">
        <f t="shared" si="219"/>
        <v>16.156262657487595</v>
      </c>
      <c r="N638" s="736">
        <f t="shared" si="219"/>
        <v>15.509540148462102</v>
      </c>
      <c r="O638" s="736">
        <f t="shared" si="219"/>
        <v>15.080675600960184</v>
      </c>
      <c r="P638" s="736">
        <f t="shared" si="219"/>
        <v>14.231295313839537</v>
      </c>
      <c r="Q638" s="736">
        <f t="shared" si="219"/>
        <v>14.285826474023274</v>
      </c>
      <c r="R638" s="736">
        <f t="shared" si="219"/>
        <v>14.157233285825658</v>
      </c>
      <c r="S638" s="93"/>
      <c r="T638" s="94"/>
      <c r="U638" s="250"/>
      <c r="V638" s="250"/>
      <c r="W638" s="240"/>
    </row>
    <row r="639" spans="2:23" s="60" customFormat="1">
      <c r="B639" s="1063" t="s">
        <v>693</v>
      </c>
      <c r="C639" s="736">
        <f>C627/C$636*100</f>
        <v>8.7385371120947468</v>
      </c>
      <c r="D639" s="736">
        <f t="shared" ref="D639:R639" si="220">D627/D$636*100</f>
        <v>8.920731437270927</v>
      </c>
      <c r="E639" s="736">
        <f t="shared" si="220"/>
        <v>8.3696329529725535</v>
      </c>
      <c r="F639" s="736">
        <f t="shared" si="220"/>
        <v>9.1673188776328747</v>
      </c>
      <c r="G639" s="736" t="e">
        <f t="shared" si="220"/>
        <v>#DIV/0!</v>
      </c>
      <c r="H639" s="736">
        <f t="shared" si="220"/>
        <v>10.223865195809271</v>
      </c>
      <c r="I639" s="736">
        <f t="shared" si="220"/>
        <v>13.299521830194427</v>
      </c>
      <c r="J639" s="736">
        <f t="shared" si="220"/>
        <v>16.054740667299363</v>
      </c>
      <c r="K639" s="736">
        <f t="shared" si="220"/>
        <v>17.412194198830878</v>
      </c>
      <c r="L639" s="736">
        <f t="shared" si="220"/>
        <v>20.429463823236425</v>
      </c>
      <c r="M639" s="736">
        <f t="shared" si="220"/>
        <v>21.361592222345241</v>
      </c>
      <c r="N639" s="736">
        <f t="shared" si="220"/>
        <v>20.930608298692718</v>
      </c>
      <c r="O639" s="736">
        <f t="shared" si="220"/>
        <v>20.450340833313973</v>
      </c>
      <c r="P639" s="736">
        <f t="shared" si="220"/>
        <v>19.398322709158116</v>
      </c>
      <c r="Q639" s="736">
        <f t="shared" si="220"/>
        <v>19.502942720409411</v>
      </c>
      <c r="R639" s="736">
        <f t="shared" si="220"/>
        <v>19.391251600183057</v>
      </c>
      <c r="S639" s="93"/>
      <c r="T639" s="94"/>
      <c r="U639" s="250">
        <f>POWER(M639/H639,1/5)</f>
        <v>1.1587872316050427</v>
      </c>
      <c r="V639" s="250">
        <f>POWER(R639/M639,1/5)</f>
        <v>0.9808315884201978</v>
      </c>
      <c r="W639" s="240"/>
    </row>
    <row r="640" spans="2:23" s="1066" customFormat="1" ht="16.5" thickBot="1">
      <c r="B640" s="244" t="s">
        <v>694</v>
      </c>
      <c r="C640" s="677">
        <f>C628/C$636*100</f>
        <v>8.7385371120947468</v>
      </c>
      <c r="D640" s="677">
        <f t="shared" ref="D640:R640" si="221">D628/D$636*100</f>
        <v>8.920731437270927</v>
      </c>
      <c r="E640" s="677">
        <f t="shared" si="221"/>
        <v>8.3696329529725535</v>
      </c>
      <c r="F640" s="677">
        <f t="shared" si="221"/>
        <v>9.1673188776328747</v>
      </c>
      <c r="G640" s="677" t="e">
        <f t="shared" si="221"/>
        <v>#DIV/0!</v>
      </c>
      <c r="H640" s="677">
        <f t="shared" si="221"/>
        <v>10.223865195809271</v>
      </c>
      <c r="I640" s="677">
        <f t="shared" si="221"/>
        <v>12.919246792129401</v>
      </c>
      <c r="J640" s="677">
        <f t="shared" si="221"/>
        <v>15.266588248976332</v>
      </c>
      <c r="K640" s="677">
        <f t="shared" si="221"/>
        <v>16.482582191542779</v>
      </c>
      <c r="L640" s="677">
        <f t="shared" si="221"/>
        <v>19.373407834267635</v>
      </c>
      <c r="M640" s="677">
        <f t="shared" si="221"/>
        <v>20.024684535642432</v>
      </c>
      <c r="N640" s="677">
        <f t="shared" si="221"/>
        <v>19.35242257004116</v>
      </c>
      <c r="O640" s="677">
        <f t="shared" si="221"/>
        <v>18.953073741442637</v>
      </c>
      <c r="P640" s="677">
        <f t="shared" si="221"/>
        <v>17.97117105895801</v>
      </c>
      <c r="Q640" s="677">
        <f t="shared" si="221"/>
        <v>18.136055180477399</v>
      </c>
      <c r="R640" s="677">
        <f t="shared" si="221"/>
        <v>18.075588344769344</v>
      </c>
      <c r="S640" s="1067"/>
      <c r="T640" s="1068"/>
      <c r="U640" s="1069"/>
      <c r="V640" s="1069"/>
      <c r="W640" s="1070"/>
    </row>
    <row r="641" spans="2:23">
      <c r="B641" s="251"/>
      <c r="C641" s="100"/>
      <c r="D641" s="100"/>
      <c r="E641" s="100"/>
      <c r="F641" s="100"/>
      <c r="G641" s="100"/>
      <c r="H641" s="100"/>
      <c r="I641" s="100"/>
      <c r="J641" s="100"/>
      <c r="K641" s="100"/>
      <c r="L641" s="100"/>
      <c r="M641" s="100"/>
      <c r="N641" s="100"/>
      <c r="O641" s="100"/>
      <c r="P641" s="100"/>
      <c r="Q641" s="100"/>
      <c r="R641" s="100"/>
      <c r="S641" s="192"/>
      <c r="T641" s="100"/>
      <c r="U641" s="100"/>
      <c r="V641" s="61"/>
      <c r="W641" s="98"/>
    </row>
    <row r="642" spans="2:23">
      <c r="B642" s="299" t="s">
        <v>578</v>
      </c>
    </row>
    <row r="643" spans="2:23">
      <c r="B643" s="662"/>
      <c r="C643" s="663">
        <v>2005</v>
      </c>
      <c r="D643" s="664">
        <v>2006</v>
      </c>
      <c r="E643" s="664">
        <v>2007</v>
      </c>
      <c r="F643" s="664">
        <v>2008</v>
      </c>
      <c r="G643" s="664">
        <v>2009</v>
      </c>
      <c r="H643" s="664">
        <v>2010</v>
      </c>
      <c r="I643" s="665">
        <v>2011</v>
      </c>
      <c r="J643" s="665">
        <v>2012</v>
      </c>
      <c r="K643" s="665">
        <v>2013</v>
      </c>
      <c r="L643" s="665">
        <v>2014</v>
      </c>
      <c r="M643" s="665">
        <v>2015</v>
      </c>
      <c r="N643" s="665">
        <v>2016</v>
      </c>
      <c r="O643" s="665">
        <v>2017</v>
      </c>
      <c r="P643" s="665">
        <v>2018</v>
      </c>
      <c r="Q643" s="665">
        <v>2019</v>
      </c>
      <c r="R643" s="665">
        <v>2020</v>
      </c>
      <c r="S643" s="662" t="s">
        <v>744</v>
      </c>
    </row>
    <row r="644" spans="2:23">
      <c r="B644" s="744" t="s">
        <v>577</v>
      </c>
      <c r="C644" s="124"/>
      <c r="D644" s="124"/>
      <c r="E644" s="124"/>
      <c r="F644" s="124"/>
      <c r="G644" s="124"/>
      <c r="H644" s="102"/>
      <c r="I644" s="102"/>
      <c r="J644" s="102"/>
      <c r="K644" s="102"/>
      <c r="L644" s="102"/>
      <c r="M644" s="102"/>
      <c r="N644" s="102"/>
      <c r="O644" s="102"/>
      <c r="P644" s="102"/>
      <c r="Q644" s="102"/>
      <c r="R644" s="745"/>
    </row>
    <row r="645" spans="2:23">
      <c r="B645" s="662"/>
      <c r="C645" s="663">
        <v>2005</v>
      </c>
      <c r="D645" s="664">
        <v>2006</v>
      </c>
      <c r="E645" s="664">
        <v>2007</v>
      </c>
      <c r="F645" s="664">
        <v>2008</v>
      </c>
      <c r="G645" s="664">
        <v>2009</v>
      </c>
      <c r="H645" s="664">
        <v>2010</v>
      </c>
      <c r="I645" s="665">
        <v>2011</v>
      </c>
      <c r="J645" s="665">
        <v>2012</v>
      </c>
      <c r="K645" s="665">
        <v>2013</v>
      </c>
      <c r="L645" s="665">
        <v>2014</v>
      </c>
      <c r="M645" s="665">
        <v>2015</v>
      </c>
      <c r="N645" s="665">
        <v>2016</v>
      </c>
      <c r="O645" s="665">
        <v>2017</v>
      </c>
      <c r="P645" s="665">
        <v>2018</v>
      </c>
      <c r="Q645" s="665">
        <v>2019</v>
      </c>
      <c r="R645" s="665">
        <v>2020</v>
      </c>
      <c r="S645" s="662" t="s">
        <v>744</v>
      </c>
    </row>
    <row r="646" spans="2:23">
      <c r="B646" s="112" t="s">
        <v>444</v>
      </c>
      <c r="C646" s="711">
        <f>C612/ECO!B$64*100</f>
        <v>0.16038869360726821</v>
      </c>
      <c r="D646" s="711">
        <f>D612/ECO!C$64*100</f>
        <v>0.17038485422344021</v>
      </c>
      <c r="E646" s="711">
        <f>E612/ECO!D$64*100</f>
        <v>0.18273777452892756</v>
      </c>
      <c r="F646" s="711">
        <f>F612/ECO!E$64*100</f>
        <v>0.15938986073083652</v>
      </c>
      <c r="G646" s="711">
        <f>G612/ECO!F$64*100</f>
        <v>0.15208834107486019</v>
      </c>
      <c r="H646" s="711">
        <f>H612/ECO!G$64*100</f>
        <v>0.13516150514267389</v>
      </c>
      <c r="I646" s="711">
        <f>I612/ECO!H$64*100</f>
        <v>0.16720502336097634</v>
      </c>
      <c r="J646" s="711">
        <f>J612/ECO!I$64*100</f>
        <v>0.16446934570261074</v>
      </c>
      <c r="K646" s="711">
        <f>K612/ECO!J$64*100</f>
        <v>0.15642144208141132</v>
      </c>
      <c r="L646" s="711">
        <f>L612/ECO!K$64*100</f>
        <v>0.14500281467069259</v>
      </c>
      <c r="M646" s="711">
        <f>M612/ECO!L$64*100</f>
        <v>0.13613053221765695</v>
      </c>
      <c r="N646" s="711">
        <f>N612/ECO!M$64*100</f>
        <v>0.13038104065956599</v>
      </c>
      <c r="O646" s="711">
        <f>O612/ECO!N$64*100</f>
        <v>0.12600939774404454</v>
      </c>
      <c r="P646" s="711">
        <f>P612/ECO!O$64*100</f>
        <v>0.12190552275508446</v>
      </c>
      <c r="Q646" s="711">
        <f>Q612/ECO!P$64*100</f>
        <v>0.11825137671963477</v>
      </c>
      <c r="R646" s="711">
        <f>R612/ECO!Q$64*100</f>
        <v>0.11570601198999671</v>
      </c>
    </row>
    <row r="647" spans="2:23">
      <c r="B647" s="112" t="s">
        <v>445</v>
      </c>
      <c r="C647" s="711">
        <f>C613/ECO!B$64*100</f>
        <v>0.27186343263749058</v>
      </c>
      <c r="D647" s="711">
        <f>D613/ECO!C$64*100</f>
        <v>0.33347180393842679</v>
      </c>
      <c r="E647" s="711">
        <f>E613/ECO!D$64*100</f>
        <v>0.38243295110043352</v>
      </c>
      <c r="F647" s="711">
        <f>F613/ECO!E$64*100</f>
        <v>0.75496333156898654</v>
      </c>
      <c r="G647" s="711">
        <f>G613/ECO!F$64*100</f>
        <v>0.71737884575586541</v>
      </c>
      <c r="H647" s="711">
        <f>H613/ECO!G$64*100</f>
        <v>0.95252396069783318</v>
      </c>
      <c r="I647" s="711">
        <f>I613/ECO!H$64*100</f>
        <v>0.98904278878202778</v>
      </c>
      <c r="J647" s="711">
        <f>J613/ECO!I$64*100</f>
        <v>0.99091366900566669</v>
      </c>
      <c r="K647" s="711">
        <f>K613/ECO!J$64*100</f>
        <v>1.0429889906323369</v>
      </c>
      <c r="L647" s="711">
        <f>L613/ECO!K$64*100</f>
        <v>1.6564967044566499</v>
      </c>
      <c r="M647" s="711">
        <f>M613/ECO!L$64*100</f>
        <v>1.6719486259964988</v>
      </c>
      <c r="N647" s="711">
        <f>N613/ECO!M$64*100</f>
        <v>1.4569552966296815</v>
      </c>
      <c r="O647" s="711">
        <f>O613/ECO!N$64*100</f>
        <v>1.3974432470961757</v>
      </c>
      <c r="P647" s="711">
        <f>P613/ECO!O$64*100</f>
        <v>1.2260384670183544</v>
      </c>
      <c r="Q647" s="711">
        <f>Q613/ECO!P$64*100</f>
        <v>1.2212514037947646</v>
      </c>
      <c r="R647" s="711">
        <f>R613/ECO!Q$64*100</f>
        <v>1.136985454072664</v>
      </c>
    </row>
    <row r="648" spans="2:23">
      <c r="B648" s="112" t="s">
        <v>441</v>
      </c>
      <c r="C648" s="711">
        <f>C614/ECO!B$64*100</f>
        <v>1.0366064518765172</v>
      </c>
      <c r="D648" s="711">
        <f>D614/ECO!C$64*100</f>
        <v>0.98948562713384969</v>
      </c>
      <c r="E648" s="711">
        <f>E614/ECO!D$64*100</f>
        <v>0.92515204581868093</v>
      </c>
      <c r="F648" s="711">
        <f>F614/ECO!E$64*100</f>
        <v>0.77587240191833473</v>
      </c>
      <c r="G648" s="711">
        <f>G614/ECO!F$64*100</f>
        <v>0.71153390428904195</v>
      </c>
      <c r="H648" s="711">
        <f>H614/ECO!G$64*100</f>
        <v>0.90643707517120831</v>
      </c>
      <c r="I648" s="711">
        <f>I614/ECO!H$64*100</f>
        <v>0.83643516712717225</v>
      </c>
      <c r="J648" s="711">
        <f>J614/ECO!I$64*100</f>
        <v>0.75944919137973099</v>
      </c>
      <c r="K648" s="711">
        <f>K614/ECO!J$64*100</f>
        <v>0.74335893195015246</v>
      </c>
      <c r="L648" s="711">
        <f>L614/ECO!K$64*100</f>
        <v>0.59912194492249027</v>
      </c>
      <c r="M648" s="711">
        <f>M614/ECO!L$64*100</f>
        <v>0.59986790218385155</v>
      </c>
      <c r="N648" s="711">
        <f>N614/ECO!M$64*100</f>
        <v>0.51823748681461057</v>
      </c>
      <c r="O648" s="711">
        <f>O614/ECO!N$64*100</f>
        <v>0.49040307154288493</v>
      </c>
      <c r="P648" s="711">
        <f>P614/ECO!O$64*100</f>
        <v>0.41845275853958563</v>
      </c>
      <c r="Q648" s="711">
        <f>Q614/ECO!P$64*100</f>
        <v>0.42490312580775269</v>
      </c>
      <c r="R648" s="711">
        <f>R614/ECO!Q$64*100</f>
        <v>0.40589393072508317</v>
      </c>
    </row>
    <row r="649" spans="2:23">
      <c r="B649" s="235" t="s">
        <v>396</v>
      </c>
      <c r="C649" s="711">
        <f>C615/ECO!B$64*100</f>
        <v>1.2556660375557214</v>
      </c>
      <c r="D649" s="711">
        <f>D615/ECO!C$64*100</f>
        <v>1.3179478370989854</v>
      </c>
      <c r="E649" s="711">
        <f>E615/ECO!D$64*100</f>
        <v>1.1934117884433535</v>
      </c>
      <c r="F649" s="711">
        <f>F615/ECO!E$64*100</f>
        <v>1.2264655823942461</v>
      </c>
      <c r="G649" s="711">
        <f>G615/ECO!F$64*100</f>
        <v>0.75652670559480006</v>
      </c>
      <c r="H649" s="711">
        <f>H615/ECO!G$64*100</f>
        <v>1.1746606649177453</v>
      </c>
      <c r="I649" s="711">
        <f>I615/ECO!H$64*100</f>
        <v>1.0225512046322736</v>
      </c>
      <c r="J649" s="711">
        <f>J615/ECO!I$64*100</f>
        <v>0.95099460293190785</v>
      </c>
      <c r="K649" s="711">
        <f>K615/ECO!J$64*100</f>
        <v>0.87883471632212196</v>
      </c>
      <c r="L649" s="711">
        <f>L615/ECO!K$64*100</f>
        <v>0.82810119871645038</v>
      </c>
      <c r="M649" s="711">
        <f>M615/ECO!L$64*100</f>
        <v>0.76813230404555477</v>
      </c>
      <c r="N649" s="711">
        <f>N615/ECO!M$64*100</f>
        <v>0.72926455932039191</v>
      </c>
      <c r="O649" s="711">
        <f>O615/ECO!N$64*100</f>
        <v>0.68158645990132549</v>
      </c>
      <c r="P649" s="711">
        <f>P615/ECO!O$64*100</f>
        <v>0.63362771055541722</v>
      </c>
      <c r="Q649" s="711">
        <f>Q615/ECO!P$64*100</f>
        <v>0.59485080910846833</v>
      </c>
      <c r="R649" s="711">
        <f>R615/ECO!Q$64*100</f>
        <v>0.56196113728112296</v>
      </c>
    </row>
    <row r="650" spans="2:23">
      <c r="B650" s="236" t="s">
        <v>511</v>
      </c>
      <c r="C650" s="711">
        <f>C616/ECO!B$64*100</f>
        <v>2.9789876227204349E-2</v>
      </c>
      <c r="D650" s="711">
        <f>D616/ECO!C$64*100</f>
        <v>4.1056591379142221E-2</v>
      </c>
      <c r="E650" s="711">
        <f>E616/ECO!D$64*100</f>
        <v>4.8088888033928308E-2</v>
      </c>
      <c r="F650" s="711">
        <f>F616/ECO!E$64*100</f>
        <v>0.13707393346163532</v>
      </c>
      <c r="G650" s="711">
        <f>G616/ECO!F$64*100</f>
        <v>8.4551978297029387E-2</v>
      </c>
      <c r="H650" s="711">
        <f>H616/ECO!G$64*100</f>
        <v>0.14740474173129003</v>
      </c>
      <c r="I650" s="711">
        <f>I616/ECO!H$64*100</f>
        <v>0.134790346707342</v>
      </c>
      <c r="J650" s="711">
        <f>J616/ECO!I$64*100</f>
        <v>0.13096411221266047</v>
      </c>
      <c r="K650" s="711">
        <f>K616/ECO!J$64*100</f>
        <v>0.1267590317698169</v>
      </c>
      <c r="L650" s="711">
        <f>L616/ECO!K$64*100</f>
        <v>0.12302133012902616</v>
      </c>
      <c r="M650" s="711">
        <f>M616/ECO!L$64*100</f>
        <v>0.11994310013432605</v>
      </c>
      <c r="N650" s="711">
        <f>N616/ECO!M$64*100</f>
        <v>0.11604116833693195</v>
      </c>
      <c r="O650" s="711">
        <f>O616/ECO!N$64*100</f>
        <v>0.11246453323791632</v>
      </c>
      <c r="P650" s="711">
        <f>P616/ECO!O$64*100</f>
        <v>0.10899877807159959</v>
      </c>
      <c r="Q650" s="711">
        <f>Q616/ECO!P$64*100</f>
        <v>0.10560599803035027</v>
      </c>
      <c r="R650" s="711">
        <f>R616/ECO!Q$64*100</f>
        <v>0.10228448908116512</v>
      </c>
    </row>
    <row r="651" spans="2:23">
      <c r="B651" s="236" t="s">
        <v>512</v>
      </c>
      <c r="C651" s="711">
        <f>C617/ECO!B$64*100</f>
        <v>0.53276214644732256</v>
      </c>
      <c r="D651" s="711">
        <f>D617/ECO!C$64*100</f>
        <v>0.32188367641247501</v>
      </c>
      <c r="E651" s="711">
        <f>E617/ECO!D$64*100</f>
        <v>0.22802876362270005</v>
      </c>
      <c r="F651" s="711">
        <f>F617/ECO!E$64*100</f>
        <v>0.22445313087707425</v>
      </c>
      <c r="G651" s="711">
        <f>G617/ECO!F$64*100</f>
        <v>0.13845051186139842</v>
      </c>
      <c r="H651" s="711">
        <f>H617/ECO!G$64*100</f>
        <v>0.17668615127888465</v>
      </c>
      <c r="I651" s="711">
        <f>I617/ECO!H$64*100</f>
        <v>0.15611158238055278</v>
      </c>
      <c r="J651" s="711">
        <f>J617/ECO!I$64*100</f>
        <v>0.1465594807477387</v>
      </c>
      <c r="K651" s="711">
        <f>K617/ECO!J$64*100</f>
        <v>0.13706475892122574</v>
      </c>
      <c r="L651" s="711">
        <f>L617/ECO!K$64*100</f>
        <v>0.12853239222355872</v>
      </c>
      <c r="M651" s="711">
        <f>M617/ECO!L$64*100</f>
        <v>0.12108566211721941</v>
      </c>
      <c r="N651" s="711">
        <f>N617/ECO!M$64*100</f>
        <v>0.11407707208495163</v>
      </c>
      <c r="O651" s="711">
        <f>O617/ECO!N$64*100</f>
        <v>0.10766404201397985</v>
      </c>
      <c r="P651" s="711">
        <f>P617/ECO!O$64*100</f>
        <v>0.10161212801278344</v>
      </c>
      <c r="Q651" s="711">
        <f>Q617/ECO!P$64*100</f>
        <v>9.5869690347656009E-2</v>
      </c>
      <c r="R651" s="711">
        <f>R617/ECO!Q$64*100</f>
        <v>9.0421423877623849E-2</v>
      </c>
    </row>
    <row r="652" spans="2:23">
      <c r="B652" s="236" t="s">
        <v>513</v>
      </c>
      <c r="C652" s="711">
        <f>C618/ECO!B$64*100</f>
        <v>0.69311401488119428</v>
      </c>
      <c r="D652" s="711">
        <f>D618/ECO!C$64*100</f>
        <v>0.95500756930736819</v>
      </c>
      <c r="E652" s="711">
        <f>E618/ECO!D$64*100</f>
        <v>0.91729413678672511</v>
      </c>
      <c r="F652" s="711">
        <f>F618/ECO!E$64*100</f>
        <v>0.86493851805553645</v>
      </c>
      <c r="G652" s="711">
        <f>G618/ECO!F$64*100</f>
        <v>0.5335242154363723</v>
      </c>
      <c r="H652" s="711">
        <f>H618/ECO!G$64*100</f>
        <v>0.85056977190757044</v>
      </c>
      <c r="I652" s="711">
        <f>I618/ECO!H$64*100</f>
        <v>0.73654912094791225</v>
      </c>
      <c r="J652" s="711">
        <f>J618/ECO!I$64*100</f>
        <v>0.67770339812723945</v>
      </c>
      <c r="K652" s="711">
        <f>K618/ECO!J$64*100</f>
        <v>0.62117033646368891</v>
      </c>
      <c r="L652" s="711">
        <f>L618/ECO!K$64*100</f>
        <v>0.57089553734884402</v>
      </c>
      <c r="M652" s="711">
        <f>M618/ECO!L$64*100</f>
        <v>0.52710354179400931</v>
      </c>
      <c r="N652" s="711">
        <f>N618/ECO!M$64*100</f>
        <v>0.49028882900773518</v>
      </c>
      <c r="O652" s="711">
        <f>O618/ECO!N$64*100</f>
        <v>0.45685115927692183</v>
      </c>
      <c r="P652" s="711">
        <f>P618/ECO!O$64*100</f>
        <v>0.4256964379630559</v>
      </c>
      <c r="Q652" s="711">
        <f>Q618/ECO!P$64*100</f>
        <v>0.3965392792226875</v>
      </c>
      <c r="R652" s="711">
        <f>R618/ECO!Q$64*100</f>
        <v>0.36925522432233404</v>
      </c>
    </row>
    <row r="653" spans="2:23">
      <c r="B653" s="112" t="s">
        <v>427</v>
      </c>
      <c r="C653" s="711">
        <f>C619/ECO!B$64*100</f>
        <v>1.0886064691544411E-2</v>
      </c>
      <c r="D653" s="711">
        <f>D619/ECO!C$64*100</f>
        <v>9.4031028600353311E-3</v>
      </c>
      <c r="E653" s="711">
        <f>E619/ECO!D$64*100</f>
        <v>9.2649644993530629E-3</v>
      </c>
      <c r="F653" s="711">
        <f>F619/ECO!E$64*100</f>
        <v>1.1219990415828855E-2</v>
      </c>
      <c r="G653" s="711">
        <f>G619/ECO!F$64*100</f>
        <v>1.091836716234852E-2</v>
      </c>
      <c r="H653" s="711">
        <f>H619/ECO!G$64*100</f>
        <v>9.8700347042361622E-3</v>
      </c>
      <c r="I653" s="711">
        <f>I619/ECO!H$64*100</f>
        <v>1.0120670698369983E-2</v>
      </c>
      <c r="J653" s="711">
        <f>J619/ECO!I$64*100</f>
        <v>1.0595930939340329E-2</v>
      </c>
      <c r="K653" s="711">
        <f>K619/ECO!J$64*100</f>
        <v>9.988618464408525E-3</v>
      </c>
      <c r="L653" s="711">
        <f>L619/ECO!K$64*100</f>
        <v>9.719184419555495E-3</v>
      </c>
      <c r="M653" s="711">
        <f>M619/ECO!L$64*100</f>
        <v>9.4004980321764613E-3</v>
      </c>
      <c r="N653" s="711">
        <f>N619/ECO!M$64*100</f>
        <v>9.5818188227964514E-3</v>
      </c>
      <c r="O653" s="711">
        <f>O619/ECO!N$64*100</f>
        <v>9.6032968216498878E-3</v>
      </c>
      <c r="P653" s="711">
        <f>P619/ECO!O$64*100</f>
        <v>8.9804046121600752E-3</v>
      </c>
      <c r="Q653" s="711">
        <f>Q619/ECO!P$64*100</f>
        <v>8.5919993999354852E-3</v>
      </c>
      <c r="R653" s="711">
        <f>R619/ECO!Q$64*100</f>
        <v>8.1675862699698391E-3</v>
      </c>
    </row>
    <row r="654" spans="2:23">
      <c r="B654" s="730" t="s">
        <v>684</v>
      </c>
      <c r="C654" s="739">
        <f>C620/ECO!B$64*100</f>
        <v>0</v>
      </c>
      <c r="D654" s="739">
        <f>D620/ECO!C$64*100</f>
        <v>0</v>
      </c>
      <c r="E654" s="739">
        <f>E620/ECO!D$64*100</f>
        <v>0</v>
      </c>
      <c r="F654" s="739">
        <f>F620/ECO!E$64*100</f>
        <v>0</v>
      </c>
      <c r="G654" s="739">
        <f>G620/ECO!F$64*100</f>
        <v>0</v>
      </c>
      <c r="H654" s="739">
        <f>H620/ECO!G$64*100</f>
        <v>0</v>
      </c>
      <c r="I654" s="739">
        <f>I620/ECO!H$64*100</f>
        <v>0.75922907326441358</v>
      </c>
      <c r="J654" s="739">
        <f>J620/ECO!I$64*100</f>
        <v>1.5666728898567814</v>
      </c>
      <c r="K654" s="739">
        <f>K620/ECO!J$64*100</f>
        <v>1.8368197360920979</v>
      </c>
      <c r="L654" s="739">
        <f>L620/ECO!K$64*100</f>
        <v>2.0824070741658618</v>
      </c>
      <c r="M654" s="739">
        <f>M620/ECO!L$64*100</f>
        <v>2.2440117945141127</v>
      </c>
      <c r="N654" s="739">
        <f>N620/ECO!M$64*100</f>
        <v>2.4149607713213102</v>
      </c>
      <c r="O654" s="739">
        <f>O620/ECO!N$64*100</f>
        <v>2.3841277271346124</v>
      </c>
      <c r="P654" s="739">
        <f>P620/ECO!O$64*100</f>
        <v>2.3718693021404071</v>
      </c>
      <c r="Q654" s="739">
        <f>Q620/ECO!P$64*100</f>
        <v>2.3909862320390789</v>
      </c>
      <c r="R654" s="739">
        <f>R620/ECO!Q$64*100</f>
        <v>2.4542188465145149</v>
      </c>
    </row>
    <row r="655" spans="2:23">
      <c r="B655" s="730" t="s">
        <v>685</v>
      </c>
      <c r="C655" s="739">
        <f>C621/ECO!B$64*100</f>
        <v>0</v>
      </c>
      <c r="D655" s="739">
        <f>D621/ECO!C$64*100</f>
        <v>0</v>
      </c>
      <c r="E655" s="739">
        <f>E621/ECO!D$64*100</f>
        <v>0</v>
      </c>
      <c r="F655" s="739">
        <f>F621/ECO!E$64*100</f>
        <v>0</v>
      </c>
      <c r="G655" s="739">
        <f>G621/ECO!F$64*100</f>
        <v>0</v>
      </c>
      <c r="H655" s="739">
        <f>H621/ECO!G$64*100</f>
        <v>0</v>
      </c>
      <c r="I655" s="739">
        <f>I621/ECO!H$64*100</f>
        <v>0.65101594984505917</v>
      </c>
      <c r="J655" s="739">
        <f>J621/ECO!I$64*100</f>
        <v>1.3485543516599847</v>
      </c>
      <c r="K655" s="739">
        <f>K621/ECO!J$64*100</f>
        <v>1.5875799099394117</v>
      </c>
      <c r="L655" s="739">
        <f>L621/ECO!K$64*100</f>
        <v>1.8073575467572938</v>
      </c>
      <c r="M655" s="739">
        <f>M621/ECO!L$64*100</f>
        <v>1.9042089813359111</v>
      </c>
      <c r="N655" s="739">
        <f>N621/ECO!M$64*100</f>
        <v>2.0183989573703252</v>
      </c>
      <c r="O655" s="739">
        <f>O621/ECO!N$64*100</f>
        <v>2.0115250590587315</v>
      </c>
      <c r="P655" s="739">
        <f>P621/ECO!O$64*100</f>
        <v>2.0201361880375126</v>
      </c>
      <c r="Q655" s="739">
        <f>Q621/ECO!P$64*100</f>
        <v>2.0574574775982422</v>
      </c>
      <c r="R655" s="739">
        <f>R621/ECO!Q$64*100</f>
        <v>2.1364898541272304</v>
      </c>
    </row>
    <row r="656" spans="2:23">
      <c r="B656" s="733" t="s">
        <v>994</v>
      </c>
      <c r="C656" s="739">
        <f>C622/ECO!B$64*100</f>
        <v>0</v>
      </c>
      <c r="D656" s="739">
        <f>D622/ECO!C$64*100</f>
        <v>0</v>
      </c>
      <c r="E656" s="739">
        <f>E622/ECO!D$64*100</f>
        <v>0</v>
      </c>
      <c r="F656" s="739">
        <f>F622/ECO!E$64*100</f>
        <v>0</v>
      </c>
      <c r="G656" s="739">
        <f>G622/ECO!F$64*100</f>
        <v>0</v>
      </c>
      <c r="H656" s="739">
        <f>H622/ECO!G$64*100</f>
        <v>0</v>
      </c>
      <c r="I656" s="739">
        <f>I622/ECO!H$64*100</f>
        <v>7.6481756358407676E-2</v>
      </c>
      <c r="J656" s="739">
        <f>J622/ECO!I$64*100</f>
        <v>0.17226791323923257</v>
      </c>
      <c r="K656" s="739">
        <f>K622/ECO!J$64*100</f>
        <v>0.22106732707720753</v>
      </c>
      <c r="L656" s="739">
        <f>L622/ECO!K$64*100</f>
        <v>0.27704163939870985</v>
      </c>
      <c r="M656" s="739">
        <f>M622/ECO!L$64*100</f>
        <v>0.3215423067810626</v>
      </c>
      <c r="N656" s="739">
        <f>N622/ECO!M$64*100</f>
        <v>0.37927904362562764</v>
      </c>
      <c r="O656" s="739">
        <f>O622/ECO!N$64*100</f>
        <v>0.44022530358475437</v>
      </c>
      <c r="P656" s="739">
        <f>P622/ECO!O$64*100</f>
        <v>0.48812402648701197</v>
      </c>
      <c r="Q656" s="739">
        <f>Q622/ECO!P$64*100</f>
        <v>0.56133483457740418</v>
      </c>
      <c r="R656" s="739">
        <f>R622/ECO!Q$64*100</f>
        <v>0.60250257673300389</v>
      </c>
    </row>
    <row r="657" spans="1:18">
      <c r="B657" s="733" t="s">
        <v>995</v>
      </c>
      <c r="C657" s="739">
        <f>C623/ECO!B$64*100</f>
        <v>0</v>
      </c>
      <c r="D657" s="739">
        <f>D623/ECO!C$64*100</f>
        <v>0</v>
      </c>
      <c r="E657" s="739">
        <f>E623/ECO!D$64*100</f>
        <v>0</v>
      </c>
      <c r="F657" s="739">
        <f>F623/ECO!E$64*100</f>
        <v>0</v>
      </c>
      <c r="G657" s="739">
        <f>G623/ECO!F$64*100</f>
        <v>0</v>
      </c>
      <c r="H657" s="739">
        <f>H623/ECO!G$64*100</f>
        <v>0</v>
      </c>
      <c r="I657" s="739">
        <f>I623/ECO!H$64*100</f>
        <v>9.8761085462372819E-2</v>
      </c>
      <c r="J657" s="739">
        <f>J623/ECO!I$64*100</f>
        <v>0.2310217328188236</v>
      </c>
      <c r="K657" s="739">
        <f>K623/ECO!J$64*100</f>
        <v>0.29001509507730311</v>
      </c>
      <c r="L657" s="739">
        <f>L623/ECO!K$64*100</f>
        <v>0.34484086873381609</v>
      </c>
      <c r="M657" s="739">
        <f>M623/ECO!L$64*100</f>
        <v>0.39882102290283655</v>
      </c>
      <c r="N657" s="739">
        <f>N623/ECO!M$64*100</f>
        <v>0.46914078369009687</v>
      </c>
      <c r="O657" s="739">
        <f>O623/ECO!N$64*100</f>
        <v>0.51119079212710039</v>
      </c>
      <c r="P657" s="739">
        <f>P623/ECO!O$64*100</f>
        <v>0.56402756459667358</v>
      </c>
      <c r="Q657" s="739">
        <f>Q623/ECO!P$64*100</f>
        <v>0.64109530194321163</v>
      </c>
      <c r="R657" s="739">
        <f>R623/ECO!Q$64*100</f>
        <v>0.75516828554998428</v>
      </c>
    </row>
    <row r="658" spans="1:18" ht="26.25">
      <c r="B658" s="733" t="s">
        <v>680</v>
      </c>
      <c r="C658" s="739">
        <f>C624/ECO!B$64*100</f>
        <v>0</v>
      </c>
      <c r="D658" s="739">
        <f>D624/ECO!C$64*100</f>
        <v>0</v>
      </c>
      <c r="E658" s="739">
        <f>E624/ECO!D$64*100</f>
        <v>0</v>
      </c>
      <c r="F658" s="739">
        <f>F624/ECO!E$64*100</f>
        <v>0</v>
      </c>
      <c r="G658" s="739">
        <f>G624/ECO!F$64*100</f>
        <v>0</v>
      </c>
      <c r="H658" s="739">
        <f>H624/ECO!G$64*100</f>
        <v>0</v>
      </c>
      <c r="I658" s="739">
        <f>I624/ECO!H$64*100</f>
        <v>0.23656098230020253</v>
      </c>
      <c r="J658" s="739">
        <f>J624/ECO!I$64*100</f>
        <v>0.47317831008327838</v>
      </c>
      <c r="K658" s="739">
        <f>K624/ECO!J$64*100</f>
        <v>0.54195122982304422</v>
      </c>
      <c r="L658" s="739">
        <f>L624/ECO!K$64*100</f>
        <v>0.59958036507729484</v>
      </c>
      <c r="M658" s="739">
        <f>M624/ECO!L$64*100</f>
        <v>0.74269096813190105</v>
      </c>
      <c r="N658" s="739">
        <f>N624/ECO!M$64*100</f>
        <v>0.8691432344746427</v>
      </c>
      <c r="O658" s="739">
        <f>O624/ECO!N$64*100</f>
        <v>0.8189414057595944</v>
      </c>
      <c r="P658" s="739">
        <f>P624/ECO!O$64*100</f>
        <v>0.77529649586100569</v>
      </c>
      <c r="Q658" s="739">
        <f>Q624/ECO!P$64*100</f>
        <v>0.73730811594077217</v>
      </c>
      <c r="R658" s="739">
        <f>R624/ECO!Q$64*100</f>
        <v>0.70443414467270349</v>
      </c>
    </row>
    <row r="659" spans="1:18" ht="26.25">
      <c r="B659" s="733" t="s">
        <v>681</v>
      </c>
      <c r="C659" s="739">
        <f>C625/ECO!B$64*100</f>
        <v>0</v>
      </c>
      <c r="D659" s="739">
        <f>D625/ECO!C$64*100</f>
        <v>0</v>
      </c>
      <c r="E659" s="739">
        <f>E625/ECO!D$64*100</f>
        <v>0</v>
      </c>
      <c r="F659" s="739">
        <f>F625/ECO!E$64*100</f>
        <v>0</v>
      </c>
      <c r="G659" s="739">
        <f>G625/ECO!F$64*100</f>
        <v>0</v>
      </c>
      <c r="H659" s="739">
        <f>H625/ECO!G$64*100</f>
        <v>0</v>
      </c>
      <c r="I659" s="739">
        <f>I625/ECO!H$64*100</f>
        <v>0.12834785888084813</v>
      </c>
      <c r="J659" s="739">
        <f>J625/ECO!I$64*100</f>
        <v>0.25505977188648149</v>
      </c>
      <c r="K659" s="739">
        <f>K625/ECO!J$64*100</f>
        <v>0.29271140367035764</v>
      </c>
      <c r="L659" s="739">
        <f>L625/ECO!K$64*100</f>
        <v>0.32453083766872681</v>
      </c>
      <c r="M659" s="739">
        <f>M625/ECO!L$64*100</f>
        <v>0.40288815495369956</v>
      </c>
      <c r="N659" s="739">
        <f>N625/ECO!M$64*100</f>
        <v>0.47258142052365754</v>
      </c>
      <c r="O659" s="739">
        <f>O625/ECO!N$64*100</f>
        <v>0.44633873768371335</v>
      </c>
      <c r="P659" s="739">
        <f>P625/ECO!O$64*100</f>
        <v>0.42356338175811103</v>
      </c>
      <c r="Q659" s="739">
        <f>Q625/ECO!P$64*100</f>
        <v>0.40377936149993537</v>
      </c>
      <c r="R659" s="739">
        <f>R625/ECO!Q$64*100</f>
        <v>0.38670515228541869</v>
      </c>
    </row>
    <row r="660" spans="1:18">
      <c r="B660" s="733" t="s">
        <v>484</v>
      </c>
      <c r="C660" s="739">
        <f>C626/ECO!B$64*100</f>
        <v>0</v>
      </c>
      <c r="D660" s="739">
        <f>D626/ECO!C$64*100</f>
        <v>0</v>
      </c>
      <c r="E660" s="739">
        <f>E626/ECO!D$64*100</f>
        <v>0</v>
      </c>
      <c r="F660" s="739">
        <f>F626/ECO!E$64*100</f>
        <v>0</v>
      </c>
      <c r="G660" s="739">
        <f>G626/ECO!F$64*100</f>
        <v>0</v>
      </c>
      <c r="H660" s="739">
        <f>H626/ECO!G$64*100</f>
        <v>0</v>
      </c>
      <c r="I660" s="739">
        <f>I626/ECO!H$64*100</f>
        <v>0.42390700550183824</v>
      </c>
      <c r="J660" s="739">
        <f>J626/ECO!I$64*100</f>
        <v>0.86247284695467974</v>
      </c>
      <c r="K660" s="739">
        <f>K626/ECO!J$64*100</f>
        <v>1.0048534111917509</v>
      </c>
      <c r="L660" s="739">
        <f>L626/ECO!K$64*100</f>
        <v>1.1379858403547507</v>
      </c>
      <c r="M660" s="739">
        <f>M626/ECO!L$64*100</f>
        <v>1.1024998034793752</v>
      </c>
      <c r="N660" s="739">
        <f>N626/ECO!M$64*100</f>
        <v>1.0766767531565706</v>
      </c>
      <c r="O660" s="739">
        <f>O626/ECO!N$64*100</f>
        <v>1.0539955292479177</v>
      </c>
      <c r="P660" s="739">
        <f>P626/ECO!O$64*100</f>
        <v>1.0325452416827277</v>
      </c>
      <c r="Q660" s="739">
        <f>Q626/ECO!P$64*100</f>
        <v>1.0125828141550952</v>
      </c>
      <c r="R660" s="739">
        <f>R626/ECO!Q$64*100</f>
        <v>0.99461641629182718</v>
      </c>
    </row>
    <row r="661" spans="1:18">
      <c r="B661" s="313" t="s">
        <v>686</v>
      </c>
      <c r="C661" s="711">
        <f>C627/ECO!B$64*100</f>
        <v>2.7354106803685418</v>
      </c>
      <c r="D661" s="711">
        <f>D627/ECO!C$64*100</f>
        <v>2.8206932252547374</v>
      </c>
      <c r="E661" s="711">
        <f>E627/ECO!D$64*100</f>
        <v>2.6929995243907481</v>
      </c>
      <c r="F661" s="711">
        <f>F627/ECO!E$64*100</f>
        <v>2.9279111670282325</v>
      </c>
      <c r="G661" s="711">
        <f>G627/ECO!F$64*100</f>
        <v>2.3484461638769161</v>
      </c>
      <c r="H661" s="711">
        <f>H627/ECO!G$64*100</f>
        <v>3.1786532406336971</v>
      </c>
      <c r="I661" s="711">
        <f>I627/ECO!H$64*100</f>
        <v>3.7845839278652336</v>
      </c>
      <c r="J661" s="711">
        <f>J627/ECO!I$64*100</f>
        <v>4.443095629816038</v>
      </c>
      <c r="K661" s="711">
        <f>K627/ECO!J$64*100</f>
        <v>4.6684124355425283</v>
      </c>
      <c r="L661" s="711">
        <f>L627/ECO!K$64*100</f>
        <v>5.3208489213517005</v>
      </c>
      <c r="M661" s="711">
        <f>M627/ECO!L$64*100</f>
        <v>5.4294916569898515</v>
      </c>
      <c r="N661" s="711">
        <f>N627/ECO!M$64*100</f>
        <v>5.2593809735683559</v>
      </c>
      <c r="O661" s="711">
        <f>O627/ECO!N$64*100</f>
        <v>5.0891732002406931</v>
      </c>
      <c r="P661" s="711">
        <f>P627/ECO!O$64*100</f>
        <v>4.7808741656210083</v>
      </c>
      <c r="Q661" s="711">
        <f>Q627/ECO!P$64*100</f>
        <v>4.7588349468696354</v>
      </c>
      <c r="R661" s="711">
        <f>R627/ECO!Q$64*100</f>
        <v>4.6829329668533513</v>
      </c>
    </row>
    <row r="662" spans="1:18" ht="16.5" thickBot="1">
      <c r="B662" s="313" t="s">
        <v>687</v>
      </c>
      <c r="C662" s="711">
        <f>C628/ECO!B$64*100</f>
        <v>2.7354106803685418</v>
      </c>
      <c r="D662" s="711">
        <f>D628/ECO!C$64*100</f>
        <v>2.8206932252547374</v>
      </c>
      <c r="E662" s="711">
        <f>E628/ECO!D$64*100</f>
        <v>2.6929995243907481</v>
      </c>
      <c r="F662" s="711">
        <f>F628/ECO!E$64*100</f>
        <v>2.9279111670282325</v>
      </c>
      <c r="G662" s="711">
        <f>G628/ECO!F$64*100</f>
        <v>2.3484461638769161</v>
      </c>
      <c r="H662" s="711">
        <f>H628/ECO!G$64*100</f>
        <v>3.1786532406336971</v>
      </c>
      <c r="I662" s="711">
        <f>I628/ECO!H$64*100</f>
        <v>3.6763708044458792</v>
      </c>
      <c r="J662" s="711">
        <f>J628/ECO!I$64*100</f>
        <v>4.2249770916192411</v>
      </c>
      <c r="K662" s="711">
        <f>K628/ECO!J$64*100</f>
        <v>4.4191726093898431</v>
      </c>
      <c r="L662" s="711">
        <f>L628/ECO!K$64*100</f>
        <v>5.0457993939431329</v>
      </c>
      <c r="M662" s="711">
        <f>M628/ECO!L$64*100</f>
        <v>5.0896888438116497</v>
      </c>
      <c r="N662" s="711">
        <f>N628/ECO!M$64*100</f>
        <v>4.8628191596173718</v>
      </c>
      <c r="O662" s="711">
        <f>O628/ECO!N$64*100</f>
        <v>4.7165705321648126</v>
      </c>
      <c r="P662" s="711">
        <f>P628/ECO!O$64*100</f>
        <v>4.4291410515181147</v>
      </c>
      <c r="Q662" s="711">
        <f>Q628/ECO!P$64*100</f>
        <v>4.4253061924287982</v>
      </c>
      <c r="R662" s="711">
        <f>R628/ECO!Q$64*100</f>
        <v>4.365203974466068</v>
      </c>
    </row>
    <row r="663" spans="1:18">
      <c r="B663" s="242" t="s">
        <v>521</v>
      </c>
      <c r="C663" s="712">
        <f>ECO!B$64</f>
        <v>839211274.6400001</v>
      </c>
      <c r="D663" s="712">
        <f>ECO!C$64</f>
        <v>974265000.00000012</v>
      </c>
      <c r="E663" s="712">
        <f>ECO!D$64</f>
        <v>1143715362.29317</v>
      </c>
      <c r="F663" s="712">
        <f>ECO!E$64</f>
        <v>1485038000</v>
      </c>
      <c r="G663" s="712">
        <f>ECO!F$64</f>
        <v>1658389000</v>
      </c>
      <c r="H663" s="712">
        <f>ECO!G$64</f>
        <v>1980913600</v>
      </c>
      <c r="I663" s="712">
        <f>ECO!H$64</f>
        <v>2407760638.8534503</v>
      </c>
      <c r="J663" s="712">
        <f>ECO!I$64</f>
        <v>2754323266.3225503</v>
      </c>
      <c r="K663" s="712">
        <f>ECO!J$64</f>
        <v>3162885088.7901502</v>
      </c>
      <c r="L663" s="712">
        <f>ECO!K$64</f>
        <v>3622238328.3556705</v>
      </c>
      <c r="M663" s="712">
        <f>ECO!L$64</f>
        <v>4129308055.61409</v>
      </c>
      <c r="N663" s="712">
        <f>ECO!M$64</f>
        <v>4688104086.8955002</v>
      </c>
      <c r="O663" s="712">
        <f>ECO!N$64</f>
        <v>5313131173.8703308</v>
      </c>
      <c r="P663" s="712">
        <f>ECO!O$64</f>
        <v>6021452698.0013103</v>
      </c>
      <c r="Q663" s="712">
        <f>ECO!P$64</f>
        <v>6826390185.7896204</v>
      </c>
      <c r="R663" s="712">
        <f>ECO!Q$64</f>
        <v>7741528168.671381</v>
      </c>
    </row>
    <row r="664" spans="1:18">
      <c r="B664" s="124" t="s">
        <v>560</v>
      </c>
      <c r="C664" s="112">
        <f>C636*1000</f>
        <v>262697000000</v>
      </c>
      <c r="D664" s="112">
        <f>D630</f>
        <v>974266000</v>
      </c>
      <c r="E664" s="112">
        <f t="shared" ref="E664:R664" si="222">E630</f>
        <v>1144015000</v>
      </c>
      <c r="F664" s="112">
        <f t="shared" si="222"/>
        <v>1452856788</v>
      </c>
      <c r="G664" s="112">
        <f t="shared" si="222"/>
        <v>1452856788</v>
      </c>
      <c r="H664" s="112">
        <f t="shared" si="222"/>
        <v>1830606870</v>
      </c>
      <c r="I664" s="112">
        <f t="shared" si="222"/>
        <v>2029267029.1500001</v>
      </c>
      <c r="J664" s="112">
        <f t="shared" si="222"/>
        <v>2249805124.2517505</v>
      </c>
      <c r="K664" s="112">
        <f t="shared" si="222"/>
        <v>2496881730.0496502</v>
      </c>
      <c r="L664" s="112">
        <f t="shared" si="222"/>
        <v>2781307138.2028379</v>
      </c>
      <c r="M664" s="112">
        <f t="shared" si="222"/>
        <v>3104671242.5122423</v>
      </c>
      <c r="N664" s="112">
        <f t="shared" si="222"/>
        <v>3481576752.0480995</v>
      </c>
      <c r="O664" s="112">
        <f t="shared" si="222"/>
        <v>3910674705.9138789</v>
      </c>
      <c r="P664" s="112">
        <f t="shared" si="222"/>
        <v>4408696960.2723923</v>
      </c>
      <c r="Q664" s="112">
        <f t="shared" si="222"/>
        <v>4974319061.9407539</v>
      </c>
      <c r="R664" s="112">
        <f t="shared" si="222"/>
        <v>5553919736.0699377</v>
      </c>
    </row>
    <row r="668" spans="1:18" ht="21">
      <c r="A668" s="714" t="s">
        <v>670</v>
      </c>
      <c r="B668" s="331" t="s">
        <v>668</v>
      </c>
    </row>
    <row r="670" spans="1:18" ht="31.5">
      <c r="B670" s="298" t="s">
        <v>617</v>
      </c>
    </row>
    <row r="672" spans="1:18" ht="30">
      <c r="B672" s="314" t="s">
        <v>564</v>
      </c>
      <c r="C672" s="127"/>
      <c r="D672" s="127"/>
      <c r="E672" s="127"/>
      <c r="F672" s="127"/>
      <c r="G672" s="127"/>
      <c r="H672" s="128"/>
      <c r="I672" s="128"/>
      <c r="J672" s="128"/>
      <c r="K672" s="128"/>
      <c r="L672" s="128"/>
      <c r="M672" s="128"/>
      <c r="N672" s="128"/>
      <c r="O672" s="128"/>
      <c r="P672" s="128"/>
      <c r="Q672" s="128"/>
      <c r="R672" s="128"/>
    </row>
    <row r="673" spans="1:19">
      <c r="B673" s="662"/>
      <c r="C673" s="663">
        <v>2005</v>
      </c>
      <c r="D673" s="664">
        <v>2006</v>
      </c>
      <c r="E673" s="664">
        <v>2007</v>
      </c>
      <c r="F673" s="664">
        <v>2008</v>
      </c>
      <c r="G673" s="664">
        <v>2009</v>
      </c>
      <c r="H673" s="664">
        <v>2010</v>
      </c>
      <c r="I673" s="665">
        <v>2011</v>
      </c>
      <c r="J673" s="665">
        <v>2012</v>
      </c>
      <c r="K673" s="665">
        <v>2013</v>
      </c>
      <c r="L673" s="665">
        <v>2014</v>
      </c>
      <c r="M673" s="665">
        <v>2015</v>
      </c>
      <c r="N673" s="665">
        <v>2016</v>
      </c>
      <c r="O673" s="665">
        <v>2017</v>
      </c>
      <c r="P673" s="665">
        <v>2018</v>
      </c>
      <c r="Q673" s="665">
        <v>2019</v>
      </c>
      <c r="R673" s="665">
        <v>2020</v>
      </c>
      <c r="S673" s="662" t="s">
        <v>744</v>
      </c>
    </row>
    <row r="674" spans="1:19">
      <c r="A674" s="1526" t="s">
        <v>624</v>
      </c>
      <c r="B674" s="334" t="s">
        <v>444</v>
      </c>
      <c r="C674" s="740">
        <f t="shared" ref="C674:D677" si="223">C295</f>
        <v>0.16038869360726821</v>
      </c>
      <c r="D674" s="740">
        <f t="shared" si="223"/>
        <v>0.17038485422344021</v>
      </c>
      <c r="E674" s="740">
        <f t="shared" ref="E674:R674" si="224">E295</f>
        <v>0.18273777452892756</v>
      </c>
      <c r="F674" s="740">
        <f t="shared" si="224"/>
        <v>0.15938986073083652</v>
      </c>
      <c r="G674" s="740">
        <f t="shared" si="224"/>
        <v>0.15208834107486019</v>
      </c>
      <c r="H674" s="740">
        <f t="shared" si="224"/>
        <v>0.13516150514267389</v>
      </c>
      <c r="I674" s="740">
        <f t="shared" si="224"/>
        <v>0.16720502336097634</v>
      </c>
      <c r="J674" s="740">
        <f>J295</f>
        <v>0.16446934570261074</v>
      </c>
      <c r="K674" s="740">
        <f t="shared" si="224"/>
        <v>0.15642144208141132</v>
      </c>
      <c r="L674" s="740">
        <f t="shared" si="224"/>
        <v>0.14500281467069259</v>
      </c>
      <c r="M674" s="740">
        <f t="shared" si="224"/>
        <v>0.13613053221765695</v>
      </c>
      <c r="N674" s="740">
        <f>N295</f>
        <v>0.13038104065956599</v>
      </c>
      <c r="O674" s="740">
        <f t="shared" si="224"/>
        <v>0.12600939774404454</v>
      </c>
      <c r="P674" s="740">
        <f t="shared" si="224"/>
        <v>0.12190552275508446</v>
      </c>
      <c r="Q674" s="740">
        <f t="shared" si="224"/>
        <v>0.11825137671963477</v>
      </c>
      <c r="R674" s="740">
        <f t="shared" si="224"/>
        <v>0.11570601198999671</v>
      </c>
    </row>
    <row r="675" spans="1:19">
      <c r="A675" s="1526"/>
      <c r="B675" s="333" t="s">
        <v>445</v>
      </c>
      <c r="C675" s="685">
        <f t="shared" si="223"/>
        <v>0.27186343263749058</v>
      </c>
      <c r="D675" s="685">
        <f t="shared" si="223"/>
        <v>0.33347180393842679</v>
      </c>
      <c r="E675" s="685">
        <f t="shared" ref="E675:I677" si="225">E296</f>
        <v>0.38243295110043352</v>
      </c>
      <c r="F675" s="685">
        <f t="shared" si="225"/>
        <v>0.75496333156898654</v>
      </c>
      <c r="G675" s="685">
        <f t="shared" si="225"/>
        <v>0.71737884575586541</v>
      </c>
      <c r="H675" s="685">
        <f t="shared" si="225"/>
        <v>0.95252396069783318</v>
      </c>
      <c r="I675" s="685">
        <f t="shared" si="225"/>
        <v>0.98904278878202778</v>
      </c>
      <c r="J675" s="685">
        <f>J296</f>
        <v>0.99091366900566669</v>
      </c>
      <c r="K675" s="685">
        <f t="shared" ref="K675:M677" si="226">K296</f>
        <v>1.0429889906323369</v>
      </c>
      <c r="L675" s="685">
        <f t="shared" si="226"/>
        <v>1.6564967044566499</v>
      </c>
      <c r="M675" s="685">
        <f t="shared" si="226"/>
        <v>1.6719486259964988</v>
      </c>
      <c r="N675" s="685">
        <f>N296</f>
        <v>1.4569552966296815</v>
      </c>
      <c r="O675" s="685">
        <f t="shared" ref="O675:R677" si="227">O296</f>
        <v>1.3974432470961757</v>
      </c>
      <c r="P675" s="685">
        <f t="shared" si="227"/>
        <v>1.2260384670183544</v>
      </c>
      <c r="Q675" s="685">
        <f t="shared" si="227"/>
        <v>1.2212514037947646</v>
      </c>
      <c r="R675" s="685">
        <f t="shared" si="227"/>
        <v>1.136985454072664</v>
      </c>
    </row>
    <row r="676" spans="1:19">
      <c r="A676" s="1526"/>
      <c r="B676" s="333" t="s">
        <v>441</v>
      </c>
      <c r="C676" s="685">
        <f t="shared" si="223"/>
        <v>1.0366064518765172</v>
      </c>
      <c r="D676" s="685">
        <f t="shared" si="223"/>
        <v>0.98948562713384969</v>
      </c>
      <c r="E676" s="685">
        <f t="shared" si="225"/>
        <v>0.92515204581868093</v>
      </c>
      <c r="F676" s="685">
        <f t="shared" si="225"/>
        <v>0.77587240191833473</v>
      </c>
      <c r="G676" s="685">
        <f t="shared" si="225"/>
        <v>0.71153390428904195</v>
      </c>
      <c r="H676" s="685">
        <f t="shared" si="225"/>
        <v>0.90643707517120831</v>
      </c>
      <c r="I676" s="685">
        <f t="shared" si="225"/>
        <v>0.83643516712717225</v>
      </c>
      <c r="J676" s="685">
        <f>J297</f>
        <v>0.75944919137973099</v>
      </c>
      <c r="K676" s="685">
        <f t="shared" si="226"/>
        <v>0.74335893195015246</v>
      </c>
      <c r="L676" s="685">
        <f t="shared" si="226"/>
        <v>0.59912194492249027</v>
      </c>
      <c r="M676" s="685">
        <f t="shared" si="226"/>
        <v>0.59986790218385155</v>
      </c>
      <c r="N676" s="685">
        <f>N297</f>
        <v>0.51823748681461057</v>
      </c>
      <c r="O676" s="685">
        <f t="shared" si="227"/>
        <v>0.49040307154288493</v>
      </c>
      <c r="P676" s="685">
        <f t="shared" si="227"/>
        <v>0.41845275853958563</v>
      </c>
      <c r="Q676" s="685">
        <f t="shared" si="227"/>
        <v>0.42490312580775269</v>
      </c>
      <c r="R676" s="685">
        <f t="shared" si="227"/>
        <v>0.40589393072508317</v>
      </c>
    </row>
    <row r="677" spans="1:19">
      <c r="A677" s="1526"/>
      <c r="B677" s="332" t="s">
        <v>396</v>
      </c>
      <c r="C677" s="685">
        <f t="shared" si="223"/>
        <v>1.2556660375557214</v>
      </c>
      <c r="D677" s="685">
        <f t="shared" si="223"/>
        <v>1.3179478370989854</v>
      </c>
      <c r="E677" s="685">
        <f t="shared" si="225"/>
        <v>1.1934117884433535</v>
      </c>
      <c r="F677" s="685">
        <f t="shared" si="225"/>
        <v>1.2264655823942461</v>
      </c>
      <c r="G677" s="685">
        <f t="shared" si="225"/>
        <v>0.75652670559480006</v>
      </c>
      <c r="H677" s="685">
        <f t="shared" si="225"/>
        <v>1.1746606649177453</v>
      </c>
      <c r="I677" s="685">
        <f t="shared" si="225"/>
        <v>1.0225512046322736</v>
      </c>
      <c r="J677" s="685">
        <f>J298</f>
        <v>0.95099460293190785</v>
      </c>
      <c r="K677" s="685">
        <f t="shared" si="226"/>
        <v>0.87883471632212196</v>
      </c>
      <c r="L677" s="685">
        <f t="shared" si="226"/>
        <v>0.82810119871645038</v>
      </c>
      <c r="M677" s="685">
        <f t="shared" si="226"/>
        <v>0.76813230404555477</v>
      </c>
      <c r="N677" s="685">
        <f>N298</f>
        <v>0.72926455932039191</v>
      </c>
      <c r="O677" s="685">
        <f t="shared" si="227"/>
        <v>0.68158645990132549</v>
      </c>
      <c r="P677" s="685">
        <f t="shared" si="227"/>
        <v>0.63362771055541722</v>
      </c>
      <c r="Q677" s="685">
        <f t="shared" si="227"/>
        <v>0.59485080910846833</v>
      </c>
      <c r="R677" s="685">
        <f t="shared" si="227"/>
        <v>0.56196113728112296</v>
      </c>
    </row>
    <row r="678" spans="1:19">
      <c r="A678" s="1527"/>
      <c r="B678" s="333" t="s">
        <v>427</v>
      </c>
      <c r="C678" s="685">
        <f t="shared" ref="C678:R678" si="228">C302</f>
        <v>1.0886064691544411E-2</v>
      </c>
      <c r="D678" s="685">
        <f t="shared" si="228"/>
        <v>9.4031028600353311E-3</v>
      </c>
      <c r="E678" s="685">
        <f t="shared" si="228"/>
        <v>9.2649644993530629E-3</v>
      </c>
      <c r="F678" s="685">
        <f t="shared" si="228"/>
        <v>1.1219990415828855E-2</v>
      </c>
      <c r="G678" s="685">
        <f t="shared" si="228"/>
        <v>1.091836716234852E-2</v>
      </c>
      <c r="H678" s="685">
        <f t="shared" si="228"/>
        <v>9.8700347042361622E-3</v>
      </c>
      <c r="I678" s="685">
        <f t="shared" si="228"/>
        <v>1.0120670698369983E-2</v>
      </c>
      <c r="J678" s="685">
        <f t="shared" si="228"/>
        <v>1.0595930939340329E-2</v>
      </c>
      <c r="K678" s="685">
        <f t="shared" si="228"/>
        <v>9.988618464408525E-3</v>
      </c>
      <c r="L678" s="685">
        <f t="shared" si="228"/>
        <v>9.719184419555495E-3</v>
      </c>
      <c r="M678" s="685">
        <f t="shared" si="228"/>
        <v>9.4004980321764613E-3</v>
      </c>
      <c r="N678" s="685">
        <f t="shared" si="228"/>
        <v>9.5818188227964514E-3</v>
      </c>
      <c r="O678" s="685">
        <f t="shared" si="228"/>
        <v>9.6032968216498878E-3</v>
      </c>
      <c r="P678" s="685">
        <f t="shared" si="228"/>
        <v>8.9804046121600752E-3</v>
      </c>
      <c r="Q678" s="685">
        <f t="shared" si="228"/>
        <v>8.5919993999354852E-3</v>
      </c>
      <c r="R678" s="685">
        <f t="shared" si="228"/>
        <v>8.1675862699698391E-3</v>
      </c>
    </row>
    <row r="679" spans="1:19">
      <c r="A679" s="1523" t="s">
        <v>618</v>
      </c>
      <c r="B679" s="334" t="s">
        <v>444</v>
      </c>
      <c r="C679" s="685">
        <f t="shared" ref="C679:R679" si="229">C338-C674</f>
        <v>0</v>
      </c>
      <c r="D679" s="685">
        <f t="shared" si="229"/>
        <v>0</v>
      </c>
      <c r="E679" s="685">
        <f t="shared" si="229"/>
        <v>0</v>
      </c>
      <c r="F679" s="685">
        <f t="shared" si="229"/>
        <v>0</v>
      </c>
      <c r="G679" s="685">
        <f t="shared" si="229"/>
        <v>0</v>
      </c>
      <c r="H679" s="685">
        <f t="shared" si="229"/>
        <v>0</v>
      </c>
      <c r="I679" s="685">
        <f t="shared" si="229"/>
        <v>0</v>
      </c>
      <c r="J679" s="685">
        <f t="shared" si="229"/>
        <v>0</v>
      </c>
      <c r="K679" s="685">
        <f t="shared" si="229"/>
        <v>0</v>
      </c>
      <c r="L679" s="685">
        <f t="shared" si="229"/>
        <v>0</v>
      </c>
      <c r="M679" s="685">
        <f t="shared" si="229"/>
        <v>0</v>
      </c>
      <c r="N679" s="685">
        <f t="shared" si="229"/>
        <v>0</v>
      </c>
      <c r="O679" s="685">
        <f t="shared" si="229"/>
        <v>0</v>
      </c>
      <c r="P679" s="685">
        <f t="shared" si="229"/>
        <v>0</v>
      </c>
      <c r="Q679" s="685">
        <f t="shared" si="229"/>
        <v>0</v>
      </c>
      <c r="R679" s="685">
        <f t="shared" si="229"/>
        <v>0</v>
      </c>
    </row>
    <row r="680" spans="1:19">
      <c r="A680" s="1524"/>
      <c r="B680" s="333" t="s">
        <v>445</v>
      </c>
      <c r="C680" s="685">
        <f t="shared" ref="C680:R680" si="230">C339-C675</f>
        <v>0.43768640996579455</v>
      </c>
      <c r="D680" s="685">
        <f t="shared" si="230"/>
        <v>0.48872089215973047</v>
      </c>
      <c r="E680" s="685">
        <f t="shared" si="230"/>
        <v>0.51313076605293118</v>
      </c>
      <c r="F680" s="685">
        <f t="shared" si="230"/>
        <v>1.0609278553698196</v>
      </c>
      <c r="G680" s="685">
        <f t="shared" si="230"/>
        <v>0.73139161986054502</v>
      </c>
      <c r="H680" s="685">
        <f t="shared" si="230"/>
        <v>1.1736006077656489</v>
      </c>
      <c r="I680" s="685">
        <f t="shared" si="230"/>
        <v>1.1650800877029677</v>
      </c>
      <c r="J680" s="685">
        <f t="shared" si="230"/>
        <v>1.0815522043828727</v>
      </c>
      <c r="K680" s="685">
        <f t="shared" si="230"/>
        <v>1.0909503951655291</v>
      </c>
      <c r="L680" s="685">
        <f t="shared" si="230"/>
        <v>1.6089223649712754</v>
      </c>
      <c r="M680" s="685">
        <f t="shared" si="230"/>
        <v>1.5340307770640587</v>
      </c>
      <c r="N680" s="685">
        <f t="shared" si="230"/>
        <v>1.401427868375317</v>
      </c>
      <c r="O680" s="685">
        <f t="shared" si="230"/>
        <v>1.4025991142588559</v>
      </c>
      <c r="P680" s="685">
        <f t="shared" si="230"/>
        <v>1.2688078728248382</v>
      </c>
      <c r="Q680" s="685">
        <f t="shared" si="230"/>
        <v>1.334641496314189</v>
      </c>
      <c r="R680" s="685">
        <f t="shared" si="230"/>
        <v>1.2975021364235833</v>
      </c>
    </row>
    <row r="681" spans="1:19">
      <c r="A681" s="1524"/>
      <c r="B681" s="333" t="s">
        <v>441</v>
      </c>
      <c r="C681" s="685">
        <f t="shared" ref="C681:R681" si="231">C340-C676</f>
        <v>1.7409727968999824</v>
      </c>
      <c r="D681" s="685">
        <f t="shared" si="231"/>
        <v>1.6404776934406959</v>
      </c>
      <c r="E681" s="685">
        <f t="shared" si="231"/>
        <v>1.5187869790584636</v>
      </c>
      <c r="F681" s="685">
        <f t="shared" si="231"/>
        <v>1.2615731045266183</v>
      </c>
      <c r="G681" s="685">
        <f t="shared" si="231"/>
        <v>1.1297011738500435</v>
      </c>
      <c r="H681" s="685">
        <f t="shared" si="231"/>
        <v>2.3829168968612904</v>
      </c>
      <c r="I681" s="685">
        <f t="shared" si="231"/>
        <v>2.6651324295071048</v>
      </c>
      <c r="J681" s="685">
        <f t="shared" si="231"/>
        <v>2.9599924237142643</v>
      </c>
      <c r="K681" s="685">
        <f t="shared" si="231"/>
        <v>3.2780010742038881</v>
      </c>
      <c r="L681" s="685">
        <f t="shared" si="231"/>
        <v>3.3044581585900095</v>
      </c>
      <c r="M681" s="685">
        <f t="shared" si="231"/>
        <v>3.683582141794739</v>
      </c>
      <c r="N681" s="685">
        <f t="shared" si="231"/>
        <v>3.8906455715366293</v>
      </c>
      <c r="O681" s="685">
        <f t="shared" si="231"/>
        <v>3.8222435397028356</v>
      </c>
      <c r="P681" s="685">
        <f t="shared" si="231"/>
        <v>3.6791676717009216</v>
      </c>
      <c r="Q681" s="685">
        <f t="shared" si="231"/>
        <v>4.0498251189415377</v>
      </c>
      <c r="R681" s="685">
        <f t="shared" si="231"/>
        <v>4.3289834705534771</v>
      </c>
    </row>
    <row r="682" spans="1:19">
      <c r="A682" s="1524"/>
      <c r="B682" s="332" t="s">
        <v>396</v>
      </c>
      <c r="C682" s="685">
        <f t="shared" ref="C682:R682" si="232">C341-C677</f>
        <v>0.29855869046485339</v>
      </c>
      <c r="D682" s="685">
        <f t="shared" si="232"/>
        <v>0.30977823272133187</v>
      </c>
      <c r="E682" s="685">
        <f t="shared" si="232"/>
        <v>0.28712098309011846</v>
      </c>
      <c r="F682" s="685">
        <f t="shared" si="232"/>
        <v>0.29559485959922727</v>
      </c>
      <c r="G682" s="685">
        <f t="shared" si="232"/>
        <v>0.8271183675701298</v>
      </c>
      <c r="H682" s="685">
        <f t="shared" si="232"/>
        <v>0.33589564800005434</v>
      </c>
      <c r="I682" s="685">
        <f t="shared" si="232"/>
        <v>0.28757497617158156</v>
      </c>
      <c r="J682" s="685">
        <f t="shared" si="232"/>
        <v>0.26281203846017087</v>
      </c>
      <c r="K682" s="685">
        <f t="shared" si="232"/>
        <v>0.23900035022847654</v>
      </c>
      <c r="L682" s="685">
        <f t="shared" si="232"/>
        <v>0.22083471815967592</v>
      </c>
      <c r="M682" s="685">
        <f t="shared" si="232"/>
        <v>0.20206072565599853</v>
      </c>
      <c r="N682" s="685">
        <f t="shared" si="232"/>
        <v>0.18851408070609565</v>
      </c>
      <c r="O682" s="685">
        <f t="shared" si="232"/>
        <v>0.1739598785182348</v>
      </c>
      <c r="P682" s="685">
        <f t="shared" si="232"/>
        <v>0.1599401183986936</v>
      </c>
      <c r="Q682" s="685">
        <f t="shared" si="232"/>
        <v>0.14826822339695145</v>
      </c>
      <c r="R682" s="685">
        <f t="shared" si="232"/>
        <v>0.13822691999268866</v>
      </c>
    </row>
    <row r="683" spans="1:19">
      <c r="A683" s="1525"/>
      <c r="B683" s="333" t="s">
        <v>427</v>
      </c>
      <c r="C683" s="685">
        <f t="shared" ref="C683:R683" si="233">C342-C678</f>
        <v>0</v>
      </c>
      <c r="D683" s="685">
        <f t="shared" si="233"/>
        <v>0</v>
      </c>
      <c r="E683" s="685">
        <f t="shared" si="233"/>
        <v>0</v>
      </c>
      <c r="F683" s="685">
        <f t="shared" si="233"/>
        <v>0</v>
      </c>
      <c r="G683" s="685">
        <f t="shared" si="233"/>
        <v>-5.7126674050944626E-10</v>
      </c>
      <c r="H683" s="685">
        <f t="shared" si="233"/>
        <v>0</v>
      </c>
      <c r="I683" s="685">
        <f t="shared" si="233"/>
        <v>0</v>
      </c>
      <c r="J683" s="685">
        <f t="shared" si="233"/>
        <v>0</v>
      </c>
      <c r="K683" s="685">
        <f t="shared" si="233"/>
        <v>0</v>
      </c>
      <c r="L683" s="685">
        <f t="shared" si="233"/>
        <v>0</v>
      </c>
      <c r="M683" s="685">
        <f t="shared" si="233"/>
        <v>0</v>
      </c>
      <c r="N683" s="685">
        <f t="shared" si="233"/>
        <v>0</v>
      </c>
      <c r="O683" s="685">
        <f t="shared" si="233"/>
        <v>0</v>
      </c>
      <c r="P683" s="685">
        <f t="shared" si="233"/>
        <v>0</v>
      </c>
      <c r="Q683" s="685">
        <f t="shared" si="233"/>
        <v>0</v>
      </c>
      <c r="R683" s="685">
        <f t="shared" si="233"/>
        <v>0</v>
      </c>
    </row>
    <row r="684" spans="1:19">
      <c r="A684" s="718" t="s">
        <v>760</v>
      </c>
      <c r="B684" s="742" t="s">
        <v>360</v>
      </c>
      <c r="C684" s="740">
        <f t="shared" ref="C684:R684" si="234">C674+C675+C676+C677+C678</f>
        <v>2.7354106803685414</v>
      </c>
      <c r="D684" s="740">
        <f t="shared" si="234"/>
        <v>2.8206932252547374</v>
      </c>
      <c r="E684" s="740">
        <f t="shared" si="234"/>
        <v>2.692999524390749</v>
      </c>
      <c r="F684" s="740">
        <f t="shared" si="234"/>
        <v>2.927911167028233</v>
      </c>
      <c r="G684" s="740">
        <f t="shared" si="234"/>
        <v>2.3484461638769161</v>
      </c>
      <c r="H684" s="740">
        <f t="shared" si="234"/>
        <v>3.1786532406336967</v>
      </c>
      <c r="I684" s="740">
        <f t="shared" si="234"/>
        <v>3.02535485460082</v>
      </c>
      <c r="J684" s="740">
        <f t="shared" si="234"/>
        <v>2.8764227399592563</v>
      </c>
      <c r="K684" s="740">
        <f t="shared" si="234"/>
        <v>2.831592699450431</v>
      </c>
      <c r="L684" s="740">
        <f t="shared" si="234"/>
        <v>3.2384418471858387</v>
      </c>
      <c r="M684" s="740">
        <f t="shared" si="234"/>
        <v>3.1854798624757383</v>
      </c>
      <c r="N684" s="740">
        <f t="shared" si="234"/>
        <v>2.8444202022470466</v>
      </c>
      <c r="O684" s="740">
        <f t="shared" si="234"/>
        <v>2.7050454731060802</v>
      </c>
      <c r="P684" s="740">
        <f t="shared" si="234"/>
        <v>2.4090048634806016</v>
      </c>
      <c r="Q684" s="740">
        <f t="shared" si="234"/>
        <v>2.3678487148305556</v>
      </c>
      <c r="R684" s="740">
        <f t="shared" si="234"/>
        <v>2.2287141203388368</v>
      </c>
    </row>
    <row r="685" spans="1:19">
      <c r="A685" s="719"/>
      <c r="B685" s="743" t="s">
        <v>618</v>
      </c>
      <c r="C685" s="741">
        <f t="shared" ref="C685:R685" si="235">C679+C680+C681+C682+C683</f>
        <v>2.4772178973306307</v>
      </c>
      <c r="D685" s="741">
        <f t="shared" si="235"/>
        <v>2.4389768183217582</v>
      </c>
      <c r="E685" s="741">
        <f t="shared" si="235"/>
        <v>2.3190387282015132</v>
      </c>
      <c r="F685" s="741">
        <f t="shared" si="235"/>
        <v>2.6180958194956649</v>
      </c>
      <c r="G685" s="741">
        <f t="shared" si="235"/>
        <v>2.6882111607094519</v>
      </c>
      <c r="H685" s="741">
        <f t="shared" si="235"/>
        <v>3.8924131526269936</v>
      </c>
      <c r="I685" s="741">
        <f t="shared" si="235"/>
        <v>4.1177874933816536</v>
      </c>
      <c r="J685" s="741">
        <f t="shared" si="235"/>
        <v>4.3043566665573074</v>
      </c>
      <c r="K685" s="741">
        <f t="shared" si="235"/>
        <v>4.6079518195978935</v>
      </c>
      <c r="L685" s="741">
        <f t="shared" si="235"/>
        <v>5.1342152417209608</v>
      </c>
      <c r="M685" s="741">
        <f t="shared" si="235"/>
        <v>5.4196736445147966</v>
      </c>
      <c r="N685" s="741">
        <f t="shared" si="235"/>
        <v>5.4805875206180419</v>
      </c>
      <c r="O685" s="741">
        <f t="shared" si="235"/>
        <v>5.3988025324799267</v>
      </c>
      <c r="P685" s="741">
        <f t="shared" si="235"/>
        <v>5.1079156629244533</v>
      </c>
      <c r="Q685" s="741">
        <f t="shared" si="235"/>
        <v>5.5327348386526785</v>
      </c>
      <c r="R685" s="741">
        <f t="shared" si="235"/>
        <v>5.764712526969749</v>
      </c>
    </row>
    <row r="686" spans="1:19">
      <c r="B686" s="127"/>
      <c r="C686" s="127"/>
      <c r="D686" s="127"/>
      <c r="E686" s="127"/>
      <c r="F686" s="127"/>
      <c r="G686" s="127"/>
      <c r="H686" s="128"/>
      <c r="I686" s="128"/>
      <c r="J686" s="128"/>
      <c r="K686" s="128"/>
      <c r="L686" s="128"/>
      <c r="M686" s="128"/>
      <c r="N686" s="128"/>
      <c r="O686" s="128"/>
      <c r="P686" s="128"/>
      <c r="Q686" s="128"/>
      <c r="R686" s="128"/>
    </row>
    <row r="687" spans="1:19" ht="31.5">
      <c r="B687" s="315" t="s">
        <v>565</v>
      </c>
      <c r="C687" s="124"/>
      <c r="D687" s="124"/>
      <c r="E687" s="124"/>
      <c r="F687" s="124"/>
      <c r="G687" s="124"/>
      <c r="H687" s="110"/>
      <c r="I687" s="110"/>
      <c r="J687" s="110"/>
      <c r="K687" s="110"/>
      <c r="L687" s="110"/>
      <c r="M687" s="110"/>
      <c r="N687" s="110"/>
      <c r="O687" s="110"/>
      <c r="P687" s="110"/>
      <c r="Q687" s="110"/>
      <c r="R687" s="110"/>
    </row>
    <row r="688" spans="1:19">
      <c r="B688" s="252"/>
      <c r="C688" s="252"/>
      <c r="D688" s="252"/>
      <c r="E688" s="252"/>
      <c r="F688" s="252"/>
      <c r="G688" s="252"/>
      <c r="H688" s="253"/>
      <c r="I688" s="253"/>
      <c r="J688" s="253"/>
      <c r="K688" s="253"/>
      <c r="L688" s="253"/>
      <c r="M688" s="253"/>
      <c r="N688" s="253"/>
      <c r="O688" s="253"/>
      <c r="P688" s="253"/>
      <c r="Q688" s="253"/>
      <c r="R688" s="253"/>
    </row>
    <row r="689" spans="2:19">
      <c r="B689" s="662"/>
      <c r="C689" s="663">
        <v>2005</v>
      </c>
      <c r="D689" s="664">
        <v>2006</v>
      </c>
      <c r="E689" s="664">
        <v>2007</v>
      </c>
      <c r="F689" s="664">
        <v>2008</v>
      </c>
      <c r="G689" s="664">
        <v>2009</v>
      </c>
      <c r="H689" s="664">
        <v>2010</v>
      </c>
      <c r="I689" s="665">
        <v>2011</v>
      </c>
      <c r="J689" s="665">
        <v>2012</v>
      </c>
      <c r="K689" s="665">
        <v>2013</v>
      </c>
      <c r="L689" s="665">
        <v>2014</v>
      </c>
      <c r="M689" s="665">
        <v>2015</v>
      </c>
      <c r="N689" s="665">
        <v>2016</v>
      </c>
      <c r="O689" s="665">
        <v>2017</v>
      </c>
      <c r="P689" s="665">
        <v>2018</v>
      </c>
      <c r="Q689" s="665">
        <v>2019</v>
      </c>
      <c r="R689" s="665">
        <v>2020</v>
      </c>
      <c r="S689" s="662" t="s">
        <v>744</v>
      </c>
    </row>
    <row r="690" spans="2:19">
      <c r="B690" s="124" t="s">
        <v>444</v>
      </c>
      <c r="C690" s="687">
        <v>1346000</v>
      </c>
      <c r="D690" s="687">
        <v>1660000</v>
      </c>
      <c r="E690" s="687">
        <v>2090000</v>
      </c>
      <c r="F690" s="687">
        <v>2367000</v>
      </c>
      <c r="G690" s="687">
        <v>2522216.3186679631</v>
      </c>
      <c r="H690" s="687">
        <v>2677432.6373359263</v>
      </c>
      <c r="I690" s="687">
        <v>4025896.7386713047</v>
      </c>
      <c r="J690" s="687">
        <v>4530017.454655475</v>
      </c>
      <c r="K690" s="687">
        <v>4947430.4672634797</v>
      </c>
      <c r="L690" s="687">
        <v>5252347.5301963659</v>
      </c>
      <c r="M690" s="687">
        <v>5621249.0330140423</v>
      </c>
      <c r="N690" s="687">
        <v>6112398.895697996</v>
      </c>
      <c r="O690" s="687">
        <v>6695044.5935450876</v>
      </c>
      <c r="P690" s="687">
        <v>7340483.3889486352</v>
      </c>
      <c r="Q690" s="687">
        <v>8072300.3749502599</v>
      </c>
      <c r="R690" s="687">
        <v>8957413.5110518802</v>
      </c>
    </row>
    <row r="691" spans="2:19">
      <c r="B691" s="124" t="s">
        <v>445</v>
      </c>
      <c r="C691" s="657">
        <v>5954622.2783171432</v>
      </c>
      <c r="D691" s="657">
        <v>8010335.6706407135</v>
      </c>
      <c r="E691" s="657">
        <v>10242699.812206786</v>
      </c>
      <c r="F691" s="657">
        <v>26966674.164692309</v>
      </c>
      <c r="G691" s="657">
        <v>24026250.037031334</v>
      </c>
      <c r="H691" s="657">
        <v>42116690.729634427</v>
      </c>
      <c r="I691" s="657">
        <v>51866122.732543446</v>
      </c>
      <c r="J691" s="657">
        <v>57082409.737335384</v>
      </c>
      <c r="K691" s="657">
        <v>67494050.637220815</v>
      </c>
      <c r="L691" s="657">
        <v>118281261.11425336</v>
      </c>
      <c r="M691" s="657">
        <v>132384765.75190812</v>
      </c>
      <c r="N691" s="657">
        <v>134003977.97773229</v>
      </c>
      <c r="O691" s="657">
        <v>148769923.58272913</v>
      </c>
      <c r="P691" s="657">
        <v>150225992.24147487</v>
      </c>
      <c r="Q691" s="657">
        <v>174475222.09233132</v>
      </c>
      <c r="R691" s="657">
        <v>188466542.58107615</v>
      </c>
    </row>
    <row r="692" spans="2:19">
      <c r="B692" s="124" t="s">
        <v>441</v>
      </c>
      <c r="C692" s="657">
        <v>23309758.217793401</v>
      </c>
      <c r="D692" s="657">
        <v>25622812.145195603</v>
      </c>
      <c r="E692" s="657">
        <v>27951706.072597802</v>
      </c>
      <c r="F692" s="657">
        <v>30256840</v>
      </c>
      <c r="G692" s="657">
        <v>30534840</v>
      </c>
      <c r="H692" s="657">
        <v>65159260.184131965</v>
      </c>
      <c r="I692" s="657">
        <v>84309366.334606886</v>
      </c>
      <c r="J692" s="657">
        <v>102445445.78181715</v>
      </c>
      <c r="K692" s="657">
        <v>127190996.00121681</v>
      </c>
      <c r="L692" s="657">
        <v>141396974.68749571</v>
      </c>
      <c r="M692" s="657">
        <v>176876847.72421321</v>
      </c>
      <c r="N692" s="657">
        <v>206693026.84500778</v>
      </c>
      <c r="O692" s="657">
        <v>229136571.52095878</v>
      </c>
      <c r="P692" s="657">
        <v>246736275.9505699</v>
      </c>
      <c r="Q692" s="657">
        <v>305462409.74032164</v>
      </c>
      <c r="R692" s="657">
        <v>366551867.77203518</v>
      </c>
    </row>
    <row r="693" spans="2:19">
      <c r="B693" s="124" t="s">
        <v>396</v>
      </c>
      <c r="C693" s="687">
        <v>13043229.150791541</v>
      </c>
      <c r="D693" s="687">
        <v>15858365.394134918</v>
      </c>
      <c r="E693" s="687">
        <v>16933080.751813158</v>
      </c>
      <c r="F693" s="687">
        <v>22603175.946571037</v>
      </c>
      <c r="G693" s="687">
        <v>26262995.692409147</v>
      </c>
      <c r="H693" s="687">
        <v>29922815.438247252</v>
      </c>
      <c r="I693" s="687">
        <v>31544702.500709213</v>
      </c>
      <c r="J693" s="687">
        <v>33432158.732030351</v>
      </c>
      <c r="K693" s="687">
        <v>35355838.637196332</v>
      </c>
      <c r="L693" s="687">
        <v>37994958.820976026</v>
      </c>
      <c r="M693" s="687">
        <v>40062258.930472642</v>
      </c>
      <c r="N693" s="687">
        <v>43026417.931735702</v>
      </c>
      <c r="O693" s="687">
        <v>45456299.213475823</v>
      </c>
      <c r="P693" s="687">
        <v>47784311.447027728</v>
      </c>
      <c r="Q693" s="687">
        <v>50728204.703684755</v>
      </c>
      <c r="R693" s="687">
        <v>54205255.687525027</v>
      </c>
    </row>
    <row r="694" spans="2:19">
      <c r="B694" s="230" t="s">
        <v>427</v>
      </c>
      <c r="C694" s="688">
        <v>91357.082256044843</v>
      </c>
      <c r="D694" s="688">
        <v>91611.140079323231</v>
      </c>
      <c r="E694" s="688">
        <v>105964.82229010947</v>
      </c>
      <c r="F694" s="688">
        <v>166621.12127141652</v>
      </c>
      <c r="G694" s="688">
        <v>181068.99052617521</v>
      </c>
      <c r="H694" s="688">
        <v>195516.85978093391</v>
      </c>
      <c r="I694" s="688">
        <v>243681.52546332707</v>
      </c>
      <c r="J694" s="688">
        <v>291846.19114572025</v>
      </c>
      <c r="K694" s="688">
        <v>315928.52398691687</v>
      </c>
      <c r="L694" s="688">
        <v>352052.02324871178</v>
      </c>
      <c r="M694" s="688">
        <v>388175.52251050662</v>
      </c>
      <c r="N694" s="689">
        <v>449205.63983044273</v>
      </c>
      <c r="O694" s="689">
        <v>510235.75715037883</v>
      </c>
      <c r="P694" s="689">
        <v>540750.81581034698</v>
      </c>
      <c r="Q694" s="690">
        <v>586523.40380029904</v>
      </c>
      <c r="R694" s="689">
        <v>632295.99179025122</v>
      </c>
    </row>
    <row r="695" spans="2:19">
      <c r="B695" s="316" t="s">
        <v>446</v>
      </c>
      <c r="C695" s="691">
        <f t="shared" ref="C695:R695" si="236">C694+C693+C692+C691+C690</f>
        <v>43744966.729158133</v>
      </c>
      <c r="D695" s="691">
        <f t="shared" si="236"/>
        <v>51243124.350050561</v>
      </c>
      <c r="E695" s="691">
        <f t="shared" si="236"/>
        <v>57323451.458907858</v>
      </c>
      <c r="F695" s="691">
        <f t="shared" si="236"/>
        <v>82360311.232534766</v>
      </c>
      <c r="G695" s="691">
        <f t="shared" si="236"/>
        <v>83527371.038634628</v>
      </c>
      <c r="H695" s="691">
        <f t="shared" si="236"/>
        <v>140071715.84913051</v>
      </c>
      <c r="I695" s="691">
        <f t="shared" si="236"/>
        <v>171989769.83199418</v>
      </c>
      <c r="J695" s="691">
        <f t="shared" si="236"/>
        <v>197781877.89698407</v>
      </c>
      <c r="K695" s="691">
        <f t="shared" si="236"/>
        <v>235304244.26688436</v>
      </c>
      <c r="L695" s="691">
        <f t="shared" si="236"/>
        <v>303277594.17617017</v>
      </c>
      <c r="M695" s="691">
        <f t="shared" si="236"/>
        <v>355333296.96211851</v>
      </c>
      <c r="N695" s="691">
        <f t="shared" si="236"/>
        <v>390285027.29000419</v>
      </c>
      <c r="O695" s="691">
        <f t="shared" si="236"/>
        <v>430568074.6678592</v>
      </c>
      <c r="P695" s="691">
        <f t="shared" si="236"/>
        <v>452627813.84383148</v>
      </c>
      <c r="Q695" s="691">
        <f t="shared" si="236"/>
        <v>539324660.31508827</v>
      </c>
      <c r="R695" s="691">
        <f t="shared" si="236"/>
        <v>618813375.54347849</v>
      </c>
    </row>
    <row r="696" spans="2:19">
      <c r="B696" s="317" t="s">
        <v>442</v>
      </c>
      <c r="C696" s="692">
        <f>ECO!B$64</f>
        <v>839211274.6400001</v>
      </c>
      <c r="D696" s="692">
        <f>ECO!C$64</f>
        <v>974265000.00000012</v>
      </c>
      <c r="E696" s="692">
        <f>ECO!D$64</f>
        <v>1143715362.29317</v>
      </c>
      <c r="F696" s="692">
        <f>ECO!E$64</f>
        <v>1485038000</v>
      </c>
      <c r="G696" s="692">
        <f>ECO!F$64</f>
        <v>1658389000</v>
      </c>
      <c r="H696" s="692">
        <f>ECO!G$64</f>
        <v>1980913600</v>
      </c>
      <c r="I696" s="692">
        <f>ECO!H$64</f>
        <v>2407760638.8534503</v>
      </c>
      <c r="J696" s="692">
        <f>ECO!I$64</f>
        <v>2754323266.3225503</v>
      </c>
      <c r="K696" s="692">
        <f>ECO!J$64</f>
        <v>3162885088.7901502</v>
      </c>
      <c r="L696" s="692">
        <f>ECO!K$64</f>
        <v>3622238328.3556705</v>
      </c>
      <c r="M696" s="692">
        <f>ECO!L$64</f>
        <v>4129308055.61409</v>
      </c>
      <c r="N696" s="692">
        <f>ECO!M$64</f>
        <v>4688104086.8955002</v>
      </c>
      <c r="O696" s="692">
        <f>ECO!N$64</f>
        <v>5313131173.8703308</v>
      </c>
      <c r="P696" s="692">
        <f>ECO!O$64</f>
        <v>6021452698.0013103</v>
      </c>
      <c r="Q696" s="692">
        <f>ECO!P$64</f>
        <v>6826390185.7896204</v>
      </c>
      <c r="R696" s="692">
        <f>ECO!Q$64</f>
        <v>7741528168.671381</v>
      </c>
    </row>
    <row r="697" spans="2:19">
      <c r="B697" s="124" t="s">
        <v>447</v>
      </c>
      <c r="C697" s="693">
        <f>C695/C696*100</f>
        <v>5.2126285776991725</v>
      </c>
      <c r="D697" s="693">
        <f>D695/D696*100</f>
        <v>5.2596700435764969</v>
      </c>
      <c r="E697" s="693">
        <f>E695/E696*100</f>
        <v>5.0120382525922622</v>
      </c>
      <c r="F697" s="693">
        <f>F695/F696*100</f>
        <v>5.5460069865238975</v>
      </c>
      <c r="G697" s="693">
        <f>G695/G696*100</f>
        <v>5.0366573245863684</v>
      </c>
      <c r="H697" s="693">
        <f t="shared" ref="H697:R697" si="237">H695/H696*100</f>
        <v>7.0710663932606916</v>
      </c>
      <c r="I697" s="693">
        <f t="shared" si="237"/>
        <v>7.143142347982474</v>
      </c>
      <c r="J697" s="693">
        <f t="shared" si="237"/>
        <v>7.1807794065165647</v>
      </c>
      <c r="K697" s="693">
        <f t="shared" si="237"/>
        <v>7.439544519048324</v>
      </c>
      <c r="L697" s="693">
        <f t="shared" si="237"/>
        <v>8.3726570889067986</v>
      </c>
      <c r="M697" s="693">
        <f t="shared" si="237"/>
        <v>8.6051535069905345</v>
      </c>
      <c r="N697" s="693">
        <f t="shared" si="237"/>
        <v>8.3250077228650881</v>
      </c>
      <c r="O697" s="693">
        <f t="shared" si="237"/>
        <v>8.1038480055860056</v>
      </c>
      <c r="P697" s="693">
        <f t="shared" si="237"/>
        <v>7.5169205264050545</v>
      </c>
      <c r="Q697" s="693">
        <f t="shared" si="237"/>
        <v>7.9005835534832327</v>
      </c>
      <c r="R697" s="693">
        <f t="shared" si="237"/>
        <v>7.9934266473085849</v>
      </c>
    </row>
    <row r="698" spans="2:19">
      <c r="B698" s="124" t="s">
        <v>455</v>
      </c>
      <c r="C698" s="657">
        <f>C$190</f>
        <v>255907479.99999997</v>
      </c>
      <c r="D698" s="657">
        <f t="shared" ref="D698:R698" si="238">D$190</f>
        <v>281466000</v>
      </c>
      <c r="E698" s="657">
        <f t="shared" si="238"/>
        <v>356931178.92700005</v>
      </c>
      <c r="F698" s="657">
        <f t="shared" si="238"/>
        <v>448286780.48000002</v>
      </c>
      <c r="G698" s="657">
        <f t="shared" si="238"/>
        <v>591473799.05000007</v>
      </c>
      <c r="H698" s="657">
        <f t="shared" si="238"/>
        <v>685042000</v>
      </c>
      <c r="I698" s="657">
        <f t="shared" si="238"/>
        <v>763802586.29371738</v>
      </c>
      <c r="J698" s="657">
        <f t="shared" si="238"/>
        <v>877373099.71108425</v>
      </c>
      <c r="K698" s="657">
        <f t="shared" si="238"/>
        <v>1002389012.8821763</v>
      </c>
      <c r="L698" s="657">
        <f t="shared" si="238"/>
        <v>1144676302.8963153</v>
      </c>
      <c r="M698" s="657">
        <f t="shared" si="238"/>
        <v>1300851167.6789532</v>
      </c>
      <c r="N698" s="657">
        <f t="shared" si="238"/>
        <v>1469895442.276958</v>
      </c>
      <c r="O698" s="657">
        <f t="shared" si="238"/>
        <v>1661713214.4005201</v>
      </c>
      <c r="P698" s="657">
        <f t="shared" si="238"/>
        <v>1874029225.4743962</v>
      </c>
      <c r="Q698" s="657">
        <f t="shared" si="238"/>
        <v>2114604066.9078875</v>
      </c>
      <c r="R698" s="657">
        <f t="shared" si="238"/>
        <v>2387002378.7881999</v>
      </c>
    </row>
    <row r="699" spans="2:19">
      <c r="B699" s="124" t="s">
        <v>456</v>
      </c>
      <c r="C699" s="687">
        <v>262697000</v>
      </c>
      <c r="D699" s="687">
        <v>308058000</v>
      </c>
      <c r="E699" s="687">
        <v>368000000</v>
      </c>
      <c r="F699" s="687">
        <v>474300000</v>
      </c>
      <c r="G699" s="687">
        <f>F699*F699/E699</f>
        <v>611305679.34782612</v>
      </c>
      <c r="H699" s="657">
        <v>615876414.00400448</v>
      </c>
      <c r="I699" s="657">
        <f>I636</f>
        <v>685165401.60587716</v>
      </c>
      <c r="J699" s="657">
        <f t="shared" ref="J699:R699" si="239">J636</f>
        <v>762249725.56700397</v>
      </c>
      <c r="K699" s="657">
        <f t="shared" si="239"/>
        <v>848006397.82040763</v>
      </c>
      <c r="L699" s="657">
        <f t="shared" si="239"/>
        <v>943411098.25841606</v>
      </c>
      <c r="M699" s="657">
        <f t="shared" si="239"/>
        <v>1049549275.3412479</v>
      </c>
      <c r="N699" s="657">
        <f t="shared" si="239"/>
        <v>1178012845.3441193</v>
      </c>
      <c r="O699" s="657">
        <f t="shared" si="239"/>
        <v>1322200201.9338729</v>
      </c>
      <c r="P699" s="657">
        <f t="shared" si="239"/>
        <v>1484035917.692637</v>
      </c>
      <c r="Q699" s="657">
        <f t="shared" si="239"/>
        <v>1665680130.5737312</v>
      </c>
      <c r="R699" s="657">
        <f t="shared" si="239"/>
        <v>1869557376.8200104</v>
      </c>
    </row>
    <row r="700" spans="2:19">
      <c r="B700" s="130" t="s">
        <v>508</v>
      </c>
      <c r="C700" s="694">
        <f>C$326/C698*100</f>
        <v>17.094055527082734</v>
      </c>
      <c r="D700" s="694">
        <f t="shared" ref="D700:J700" si="240">D$326/D698*100</f>
        <v>18.205795495743914</v>
      </c>
      <c r="E700" s="694">
        <f t="shared" si="240"/>
        <v>16.060085205005784</v>
      </c>
      <c r="F700" s="694">
        <f t="shared" si="240"/>
        <v>18.372237330832736</v>
      </c>
      <c r="G700" s="694">
        <f t="shared" si="240"/>
        <v>14.121905513446704</v>
      </c>
      <c r="H700" s="694">
        <f t="shared" si="240"/>
        <v>20.447171976189857</v>
      </c>
      <c r="I700" s="694">
        <f t="shared" si="240"/>
        <v>22.517568402924489</v>
      </c>
      <c r="J700" s="694">
        <f t="shared" si="240"/>
        <v>22.542505344888387</v>
      </c>
      <c r="K700" s="694">
        <f>K$326/K698*100</f>
        <v>23.474343916670872</v>
      </c>
      <c r="L700" s="694">
        <f t="shared" ref="L700:R700" si="241">L$326/L698*100</f>
        <v>26.494616286613304</v>
      </c>
      <c r="M700" s="694">
        <f t="shared" si="241"/>
        <v>27.315445901172751</v>
      </c>
      <c r="N700" s="694">
        <f t="shared" si="241"/>
        <v>26.551890431432916</v>
      </c>
      <c r="O700" s="694">
        <f t="shared" si="241"/>
        <v>25.911094100746563</v>
      </c>
      <c r="P700" s="694">
        <f t="shared" si="241"/>
        <v>24.152655022189006</v>
      </c>
      <c r="Q700" s="694">
        <f t="shared" si="241"/>
        <v>25.504758491442992</v>
      </c>
      <c r="R700" s="694">
        <f t="shared" si="241"/>
        <v>25.924288180124439</v>
      </c>
    </row>
    <row r="701" spans="2:19">
      <c r="B701" s="130" t="s">
        <v>616</v>
      </c>
      <c r="C701" s="694">
        <f>C$326/C699*100</f>
        <v>16.652252111428044</v>
      </c>
      <c r="D701" s="694">
        <f t="shared" ref="D701:J701" si="242">D$326/D699*100</f>
        <v>16.634245612855551</v>
      </c>
      <c r="E701" s="694">
        <f t="shared" si="242"/>
        <v>15.577024852964092</v>
      </c>
      <c r="F701" s="694">
        <f t="shared" si="242"/>
        <v>17.36460283207564</v>
      </c>
      <c r="G701" s="694">
        <f t="shared" si="242"/>
        <v>13.66376493144087</v>
      </c>
      <c r="H701" s="694">
        <f t="shared" si="242"/>
        <v>22.743477857591692</v>
      </c>
      <c r="I701" s="694">
        <f t="shared" si="242"/>
        <v>25.101934427641552</v>
      </c>
      <c r="J701" s="694">
        <f t="shared" si="242"/>
        <v>25.947123529610046</v>
      </c>
      <c r="K701" s="694">
        <f>K$326/K699*100</f>
        <v>27.747932665564338</v>
      </c>
      <c r="L701" s="694">
        <f t="shared" ref="L701:R701" si="243">L$326/L699*100</f>
        <v>32.146918213707231</v>
      </c>
      <c r="M701" s="694">
        <f t="shared" si="243"/>
        <v>33.855799371266897</v>
      </c>
      <c r="N701" s="694">
        <f t="shared" si="243"/>
        <v>33.130795545442012</v>
      </c>
      <c r="O701" s="694">
        <f t="shared" si="243"/>
        <v>32.564514363112551</v>
      </c>
      <c r="P701" s="694">
        <f t="shared" si="243"/>
        <v>30.499788343908303</v>
      </c>
      <c r="Q701" s="694">
        <f t="shared" si="243"/>
        <v>32.378645240207184</v>
      </c>
      <c r="R701" s="694">
        <f t="shared" si="243"/>
        <v>33.099458899519732</v>
      </c>
    </row>
    <row r="702" spans="2:19">
      <c r="B702" s="252"/>
      <c r="C702" s="252"/>
      <c r="D702" s="252"/>
      <c r="E702" s="252"/>
      <c r="F702" s="252"/>
      <c r="G702" s="252"/>
      <c r="H702" s="253"/>
      <c r="I702" s="253"/>
      <c r="J702" s="253"/>
      <c r="K702" s="253"/>
      <c r="L702" s="253"/>
      <c r="M702" s="253"/>
      <c r="N702" s="253"/>
      <c r="O702" s="253"/>
      <c r="P702" s="253"/>
      <c r="Q702" s="253"/>
      <c r="R702" s="253"/>
    </row>
    <row r="703" spans="2:19">
      <c r="B703" s="252"/>
      <c r="C703" s="252"/>
      <c r="D703" s="252"/>
      <c r="E703" s="252"/>
      <c r="F703" s="252"/>
      <c r="G703" s="252"/>
      <c r="H703" s="253"/>
      <c r="I703" s="253"/>
      <c r="J703" s="253"/>
      <c r="K703" s="253"/>
      <c r="L703" s="253"/>
      <c r="M703" s="253"/>
      <c r="N703" s="253"/>
      <c r="O703" s="253"/>
      <c r="P703" s="253"/>
      <c r="Q703" s="253"/>
      <c r="R703" s="253"/>
    </row>
  </sheetData>
  <sheetProtection formatCells="0" formatColumns="0" formatRows="0" insertColumns="0" insertRows="0" insertHyperlinks="0" deleteColumns="0" deleteRows="0" pivotTables="0"/>
  <mergeCells count="21">
    <mergeCell ref="A679:A683"/>
    <mergeCell ref="C204:H204"/>
    <mergeCell ref="I204:R204"/>
    <mergeCell ref="S204:S205"/>
    <mergeCell ref="C215:H215"/>
    <mergeCell ref="I215:R215"/>
    <mergeCell ref="S215:S216"/>
    <mergeCell ref="A674:A678"/>
    <mergeCell ref="I171:R171"/>
    <mergeCell ref="S171:S172"/>
    <mergeCell ref="C171:H171"/>
    <mergeCell ref="C108:H108"/>
    <mergeCell ref="I108:R108"/>
    <mergeCell ref="Q5:R5"/>
    <mergeCell ref="Q6:R6"/>
    <mergeCell ref="S13:S14"/>
    <mergeCell ref="C43:H43"/>
    <mergeCell ref="I43:R43"/>
    <mergeCell ref="S43:S44"/>
    <mergeCell ref="C13:H13"/>
    <mergeCell ref="I13:R13"/>
  </mergeCells>
  <phoneticPr fontId="24" type="noConversion"/>
  <hyperlinks>
    <hyperlink ref="B4" location="'GGO(SQ) (SQ and Post SPF)'!B141" display="2) Some information from ILSSA - Social security budget  (as planned for the SP strategy)"/>
    <hyperlink ref="B5" location="'GGO(SQ) (SQ and Post SPF)'!B254" display="3) Detailed social budget by 5-year plan and average annual (national data. Calculation from ILSSA from the strategy)"/>
    <hyperlink ref="B6" location="'GGO(SQ) (SQ and Post SPF)'!B320" display="4) Costing additional provisions necessary to complete the SPF and close the poverty gap"/>
    <hyperlink ref="B7" location="'GGO(SQ) (SQ and Post SPF)'!B410" display="5) Social security budget POST SPF benefits (based on information from ILSSA - Social security budget  (as planned for the SP strategy)"/>
    <hyperlink ref="B8" location="'GGO(SQ) (SQ and Post SPF)'!B540" display="6) Supplement | Tables for graphs"/>
    <hyperlink ref="A242" location="'GGO(SQ) (SQ and Post SPF)'!A1" display="Top"/>
    <hyperlink ref="A346" location="'GGO(SQ) (SQ and Post SPF)'!A1" display="Top"/>
    <hyperlink ref="A412" location="'GGO(SQ) (SQ and Post SPF)'!A1" display="Top"/>
    <hyperlink ref="A524" location="'GGO(SQ) (SQ and Post SPF)'!A1" display="Top"/>
    <hyperlink ref="A668" location="'GGO(SQ) (SQ and Post SPF)'!A1" display="Top"/>
  </hyperlinks>
  <pageMargins left="0.27559055118110237" right="0.19685039370078741" top="0.55118110236220474" bottom="0.51181102362204722" header="0.47244094488188981" footer="0.31496062992125984"/>
  <pageSetup paperSize="9" scale="40" orientation="landscape" verticalDpi="1200" r:id="rId1"/>
  <rowBreaks count="11" manualBreakCount="11">
    <brk id="170" max="16383" man="1"/>
    <brk id="202" max="16383" man="1"/>
    <brk id="214" max="16383" man="1"/>
    <brk id="241" max="16383" man="1"/>
    <brk id="280" max="16383" man="1"/>
    <brk id="345" max="16383" man="1"/>
    <brk id="411" max="16383" man="1"/>
    <brk id="494" max="16383" man="1"/>
    <brk id="523" max="16383" man="1"/>
    <brk id="583" max="16383" man="1"/>
    <brk id="641" max="16383" man="1"/>
  </rowBreaks>
  <ignoredErrors>
    <ignoredError sqref="E191" unlockedFormula="1"/>
    <ignoredError sqref="G267:G269" formula="1"/>
  </ignoredErrors>
  <drawing r:id="rId2"/>
  <legacyDrawing r:id="rId3"/>
</worksheet>
</file>

<file path=xl/worksheets/sheet10.xml><?xml version="1.0" encoding="utf-8"?>
<worksheet xmlns="http://schemas.openxmlformats.org/spreadsheetml/2006/main" xmlns:r="http://schemas.openxmlformats.org/officeDocument/2006/relationships">
  <sheetPr>
    <tabColor theme="3" tint="-0.249977111117893"/>
  </sheetPr>
  <dimension ref="B1:R479"/>
  <sheetViews>
    <sheetView topLeftCell="A476" workbookViewId="0">
      <selection activeCell="N493" sqref="N493"/>
    </sheetView>
  </sheetViews>
  <sheetFormatPr defaultColWidth="9.140625" defaultRowHeight="15"/>
  <cols>
    <col min="1" max="1" width="4.28515625" style="17" customWidth="1"/>
    <col min="2" max="2" width="5.28515625" style="17" customWidth="1"/>
    <col min="3" max="3" width="9.140625" style="17" customWidth="1"/>
    <col min="4" max="15" width="9.140625" style="17"/>
    <col min="16" max="16" width="16.5703125" style="17" customWidth="1"/>
    <col min="17" max="16384" width="9.140625" style="17"/>
  </cols>
  <sheetData>
    <row r="1" spans="2:16" ht="21">
      <c r="B1" s="335" t="s">
        <v>634</v>
      </c>
    </row>
    <row r="2" spans="2:16" ht="15.75" thickBot="1"/>
    <row r="3" spans="2:16" ht="6.75" customHeight="1">
      <c r="B3" s="749"/>
      <c r="C3" s="750"/>
      <c r="D3" s="750"/>
      <c r="E3" s="750"/>
      <c r="F3" s="750"/>
      <c r="G3" s="750"/>
      <c r="H3" s="750"/>
      <c r="I3" s="750"/>
      <c r="J3" s="750"/>
      <c r="K3" s="750"/>
      <c r="L3" s="750"/>
      <c r="M3" s="750"/>
      <c r="N3" s="750"/>
      <c r="O3" s="750"/>
      <c r="P3" s="751"/>
    </row>
    <row r="4" spans="2:16" ht="18.75">
      <c r="B4" s="752"/>
      <c r="C4" s="92" t="s">
        <v>527</v>
      </c>
      <c r="D4" s="75"/>
      <c r="E4" s="75"/>
      <c r="F4" s="75"/>
      <c r="G4" s="75"/>
      <c r="H4" s="75"/>
      <c r="I4" s="75"/>
      <c r="J4" s="75"/>
      <c r="K4" s="75"/>
      <c r="L4" s="75"/>
      <c r="M4" s="75"/>
      <c r="N4" s="75"/>
      <c r="O4" s="75"/>
      <c r="P4" s="753"/>
    </row>
    <row r="5" spans="2:16" ht="8.25" customHeight="1">
      <c r="B5" s="752"/>
      <c r="C5" s="75"/>
      <c r="D5" s="75"/>
      <c r="E5" s="75"/>
      <c r="F5" s="75"/>
      <c r="G5" s="75"/>
      <c r="H5" s="75"/>
      <c r="I5" s="75"/>
      <c r="J5" s="75"/>
      <c r="K5" s="75"/>
      <c r="L5" s="75"/>
      <c r="M5" s="75"/>
      <c r="N5" s="75"/>
      <c r="O5" s="75"/>
      <c r="P5" s="753"/>
    </row>
    <row r="6" spans="2:16">
      <c r="B6" s="752"/>
      <c r="C6" s="372" t="s">
        <v>558</v>
      </c>
      <c r="D6" s="75"/>
      <c r="E6" s="75"/>
      <c r="F6" s="75"/>
      <c r="G6" s="75"/>
      <c r="H6" s="75"/>
      <c r="I6" s="75"/>
      <c r="J6" s="75"/>
      <c r="K6" s="75"/>
      <c r="L6" s="75"/>
      <c r="M6" s="75"/>
      <c r="N6" s="75"/>
      <c r="O6" s="75"/>
      <c r="P6" s="753"/>
    </row>
    <row r="7" spans="2:16">
      <c r="B7" s="752"/>
      <c r="C7" s="75"/>
      <c r="D7" s="75"/>
      <c r="E7" s="75"/>
      <c r="F7" s="75"/>
      <c r="G7" s="75"/>
      <c r="H7" s="75"/>
      <c r="I7" s="75"/>
      <c r="J7" s="75"/>
      <c r="K7" s="75"/>
      <c r="L7" s="75"/>
      <c r="M7" s="75"/>
      <c r="N7" s="75"/>
      <c r="O7" s="75"/>
      <c r="P7" s="753"/>
    </row>
    <row r="8" spans="2:16">
      <c r="B8" s="752"/>
      <c r="C8" s="75"/>
      <c r="D8" s="75"/>
      <c r="E8" s="75"/>
      <c r="F8" s="75"/>
      <c r="G8" s="75"/>
      <c r="H8" s="75"/>
      <c r="I8" s="75"/>
      <c r="J8" s="75"/>
      <c r="K8" s="75"/>
      <c r="L8" s="75"/>
      <c r="M8" s="75"/>
      <c r="N8" s="75"/>
      <c r="O8" s="75"/>
      <c r="P8" s="753"/>
    </row>
    <row r="9" spans="2:16">
      <c r="B9" s="752"/>
      <c r="C9" s="75"/>
      <c r="D9" s="75"/>
      <c r="E9" s="75"/>
      <c r="F9" s="75"/>
      <c r="G9" s="75"/>
      <c r="H9" s="75"/>
      <c r="I9" s="75"/>
      <c r="J9" s="75"/>
      <c r="K9" s="75"/>
      <c r="L9" s="75"/>
      <c r="M9" s="75"/>
      <c r="N9" s="75"/>
      <c r="O9" s="75"/>
      <c r="P9" s="753"/>
    </row>
    <row r="10" spans="2:16">
      <c r="B10" s="752"/>
      <c r="C10" s="75"/>
      <c r="D10" s="75"/>
      <c r="E10" s="75"/>
      <c r="F10" s="75"/>
      <c r="G10" s="75"/>
      <c r="H10" s="75"/>
      <c r="I10" s="75"/>
      <c r="J10" s="75"/>
      <c r="K10" s="75"/>
      <c r="L10" s="75"/>
      <c r="M10" s="75"/>
      <c r="N10" s="75"/>
      <c r="O10" s="75"/>
      <c r="P10" s="753"/>
    </row>
    <row r="11" spans="2:16">
      <c r="B11" s="752"/>
      <c r="C11" s="75"/>
      <c r="D11" s="75"/>
      <c r="E11" s="75"/>
      <c r="F11" s="75"/>
      <c r="G11" s="75"/>
      <c r="H11" s="75"/>
      <c r="I11" s="75"/>
      <c r="J11" s="75"/>
      <c r="K11" s="75"/>
      <c r="L11" s="75"/>
      <c r="M11" s="75"/>
      <c r="N11" s="75"/>
      <c r="O11" s="75"/>
      <c r="P11" s="753"/>
    </row>
    <row r="12" spans="2:16">
      <c r="B12" s="752"/>
      <c r="C12" s="75"/>
      <c r="D12" s="75"/>
      <c r="E12" s="75"/>
      <c r="F12" s="75"/>
      <c r="G12" s="75"/>
      <c r="H12" s="75"/>
      <c r="I12" s="75"/>
      <c r="J12" s="75"/>
      <c r="K12" s="75"/>
      <c r="L12" s="75"/>
      <c r="M12" s="75"/>
      <c r="N12" s="75"/>
      <c r="O12" s="75"/>
      <c r="P12" s="753"/>
    </row>
    <row r="13" spans="2:16">
      <c r="B13" s="752"/>
      <c r="C13" s="75"/>
      <c r="D13" s="75"/>
      <c r="E13" s="75"/>
      <c r="F13" s="75"/>
      <c r="G13" s="75"/>
      <c r="H13" s="75"/>
      <c r="I13" s="75"/>
      <c r="J13" s="75"/>
      <c r="K13" s="75"/>
      <c r="L13" s="75"/>
      <c r="M13" s="75"/>
      <c r="N13" s="75"/>
      <c r="O13" s="75"/>
      <c r="P13" s="753"/>
    </row>
    <row r="14" spans="2:16">
      <c r="B14" s="752"/>
      <c r="C14" s="75"/>
      <c r="D14" s="75"/>
      <c r="E14" s="75"/>
      <c r="F14" s="75"/>
      <c r="G14" s="75"/>
      <c r="H14" s="75"/>
      <c r="I14" s="75"/>
      <c r="J14" s="75"/>
      <c r="K14" s="75"/>
      <c r="L14" s="75"/>
      <c r="M14" s="75"/>
      <c r="N14" s="75"/>
      <c r="O14" s="75"/>
      <c r="P14" s="753"/>
    </row>
    <row r="15" spans="2:16">
      <c r="B15" s="752"/>
      <c r="C15" s="75"/>
      <c r="D15" s="75"/>
      <c r="E15" s="75"/>
      <c r="F15" s="75"/>
      <c r="G15" s="75"/>
      <c r="H15" s="75"/>
      <c r="I15" s="75"/>
      <c r="J15" s="75"/>
      <c r="K15" s="75"/>
      <c r="L15" s="75"/>
      <c r="M15" s="75"/>
      <c r="N15" s="75"/>
      <c r="O15" s="75"/>
      <c r="P15" s="753"/>
    </row>
    <row r="16" spans="2:16">
      <c r="B16" s="752"/>
      <c r="C16" s="75"/>
      <c r="D16" s="75"/>
      <c r="E16" s="75"/>
      <c r="F16" s="75"/>
      <c r="G16" s="75"/>
      <c r="H16" s="75"/>
      <c r="I16" s="75"/>
      <c r="J16" s="75"/>
      <c r="K16" s="75"/>
      <c r="L16" s="75"/>
      <c r="M16" s="75"/>
      <c r="N16" s="75"/>
      <c r="O16" s="75"/>
      <c r="P16" s="753"/>
    </row>
    <row r="17" spans="2:16">
      <c r="B17" s="752"/>
      <c r="C17" s="75"/>
      <c r="D17" s="75"/>
      <c r="E17" s="75"/>
      <c r="F17" s="75"/>
      <c r="G17" s="75"/>
      <c r="H17" s="75"/>
      <c r="I17" s="75"/>
      <c r="J17" s="75"/>
      <c r="K17" s="75"/>
      <c r="L17" s="75"/>
      <c r="M17" s="75"/>
      <c r="N17" s="75"/>
      <c r="O17" s="75"/>
      <c r="P17" s="753"/>
    </row>
    <row r="18" spans="2:16">
      <c r="B18" s="752"/>
      <c r="C18" s="75"/>
      <c r="D18" s="75"/>
      <c r="E18" s="75"/>
      <c r="F18" s="75"/>
      <c r="G18" s="75"/>
      <c r="H18" s="75"/>
      <c r="I18" s="75"/>
      <c r="J18" s="75"/>
      <c r="K18" s="75"/>
      <c r="L18" s="75"/>
      <c r="M18" s="75"/>
      <c r="N18" s="75"/>
      <c r="O18" s="75"/>
      <c r="P18" s="753"/>
    </row>
    <row r="19" spans="2:16">
      <c r="B19" s="752"/>
      <c r="C19" s="75"/>
      <c r="D19" s="75"/>
      <c r="E19" s="75"/>
      <c r="F19" s="75"/>
      <c r="G19" s="75"/>
      <c r="H19" s="75"/>
      <c r="I19" s="75"/>
      <c r="J19" s="75"/>
      <c r="K19" s="75"/>
      <c r="L19" s="75"/>
      <c r="M19" s="75"/>
      <c r="N19" s="75"/>
      <c r="O19" s="75"/>
      <c r="P19" s="753"/>
    </row>
    <row r="20" spans="2:16">
      <c r="B20" s="752"/>
      <c r="C20" s="75"/>
      <c r="D20" s="75"/>
      <c r="E20" s="75"/>
      <c r="F20" s="75"/>
      <c r="G20" s="75"/>
      <c r="H20" s="75"/>
      <c r="I20" s="75"/>
      <c r="J20" s="75"/>
      <c r="K20" s="75"/>
      <c r="L20" s="75"/>
      <c r="M20" s="75"/>
      <c r="N20" s="75"/>
      <c r="O20" s="75"/>
      <c r="P20" s="753"/>
    </row>
    <row r="21" spans="2:16">
      <c r="B21" s="752"/>
      <c r="C21" s="75"/>
      <c r="D21" s="75"/>
      <c r="E21" s="75"/>
      <c r="F21" s="75"/>
      <c r="G21" s="75"/>
      <c r="H21" s="75"/>
      <c r="I21" s="75"/>
      <c r="J21" s="75"/>
      <c r="K21" s="75"/>
      <c r="L21" s="75"/>
      <c r="M21" s="75"/>
      <c r="N21" s="75"/>
      <c r="O21" s="75"/>
      <c r="P21" s="753"/>
    </row>
    <row r="22" spans="2:16">
      <c r="B22" s="752"/>
      <c r="C22" s="372" t="s">
        <v>559</v>
      </c>
      <c r="D22" s="75"/>
      <c r="E22" s="75"/>
      <c r="F22" s="75"/>
      <c r="G22" s="75"/>
      <c r="H22" s="75"/>
      <c r="I22" s="75"/>
      <c r="J22" s="75"/>
      <c r="K22" s="75"/>
      <c r="L22" s="75"/>
      <c r="M22" s="75"/>
      <c r="N22" s="75"/>
      <c r="O22" s="75"/>
      <c r="P22" s="753"/>
    </row>
    <row r="23" spans="2:16">
      <c r="B23" s="752"/>
      <c r="C23" s="75"/>
      <c r="D23" s="75"/>
      <c r="E23" s="75"/>
      <c r="F23" s="75"/>
      <c r="G23" s="75"/>
      <c r="H23" s="75"/>
      <c r="I23" s="75"/>
      <c r="J23" s="75"/>
      <c r="K23" s="75"/>
      <c r="L23" s="75"/>
      <c r="M23" s="75"/>
      <c r="N23" s="75"/>
      <c r="O23" s="75"/>
      <c r="P23" s="753"/>
    </row>
    <row r="24" spans="2:16">
      <c r="B24" s="752"/>
      <c r="C24" s="75"/>
      <c r="D24" s="75"/>
      <c r="E24" s="75"/>
      <c r="F24" s="75"/>
      <c r="G24" s="75"/>
      <c r="H24" s="75"/>
      <c r="I24" s="75"/>
      <c r="J24" s="75"/>
      <c r="K24" s="75"/>
      <c r="L24" s="75"/>
      <c r="M24" s="75"/>
      <c r="N24" s="75"/>
      <c r="O24" s="75"/>
      <c r="P24" s="753"/>
    </row>
    <row r="25" spans="2:16">
      <c r="B25" s="752"/>
      <c r="C25" s="75"/>
      <c r="D25" s="75"/>
      <c r="E25" s="75"/>
      <c r="F25" s="75"/>
      <c r="G25" s="75"/>
      <c r="H25" s="75"/>
      <c r="I25" s="75"/>
      <c r="J25" s="75"/>
      <c r="K25" s="75"/>
      <c r="L25" s="75"/>
      <c r="M25" s="75"/>
      <c r="N25" s="75"/>
      <c r="O25" s="75"/>
      <c r="P25" s="753"/>
    </row>
    <row r="26" spans="2:16">
      <c r="B26" s="752"/>
      <c r="C26" s="75"/>
      <c r="D26" s="75"/>
      <c r="E26" s="75"/>
      <c r="F26" s="75"/>
      <c r="G26" s="75"/>
      <c r="H26" s="75"/>
      <c r="I26" s="75"/>
      <c r="J26" s="75"/>
      <c r="K26" s="75"/>
      <c r="L26" s="75"/>
      <c r="M26" s="75"/>
      <c r="N26" s="75"/>
      <c r="O26" s="75"/>
      <c r="P26" s="753"/>
    </row>
    <row r="27" spans="2:16">
      <c r="B27" s="752"/>
      <c r="C27" s="75"/>
      <c r="D27" s="75"/>
      <c r="E27" s="75"/>
      <c r="F27" s="75"/>
      <c r="G27" s="75"/>
      <c r="H27" s="75"/>
      <c r="I27" s="75"/>
      <c r="J27" s="75"/>
      <c r="K27" s="75"/>
      <c r="L27" s="75"/>
      <c r="M27" s="75"/>
      <c r="N27" s="75"/>
      <c r="O27" s="75"/>
      <c r="P27" s="753"/>
    </row>
    <row r="28" spans="2:16">
      <c r="B28" s="752"/>
      <c r="C28" s="75"/>
      <c r="D28" s="75"/>
      <c r="E28" s="75"/>
      <c r="F28" s="75"/>
      <c r="G28" s="75"/>
      <c r="H28" s="75"/>
      <c r="I28" s="75"/>
      <c r="J28" s="75"/>
      <c r="K28" s="75"/>
      <c r="L28" s="75"/>
      <c r="M28" s="75"/>
      <c r="N28" s="75"/>
      <c r="O28" s="75"/>
      <c r="P28" s="753"/>
    </row>
    <row r="29" spans="2:16">
      <c r="B29" s="752"/>
      <c r="C29" s="75"/>
      <c r="D29" s="75"/>
      <c r="E29" s="75"/>
      <c r="F29" s="75"/>
      <c r="G29" s="75"/>
      <c r="H29" s="75"/>
      <c r="I29" s="75"/>
      <c r="J29" s="75"/>
      <c r="K29" s="75"/>
      <c r="L29" s="75"/>
      <c r="M29" s="75"/>
      <c r="N29" s="75"/>
      <c r="O29" s="75"/>
      <c r="P29" s="753"/>
    </row>
    <row r="30" spans="2:16">
      <c r="B30" s="752"/>
      <c r="C30" s="75"/>
      <c r="D30" s="75"/>
      <c r="E30" s="75"/>
      <c r="F30" s="75"/>
      <c r="G30" s="75"/>
      <c r="H30" s="75"/>
      <c r="I30" s="75"/>
      <c r="J30" s="75"/>
      <c r="K30" s="75"/>
      <c r="L30" s="75"/>
      <c r="M30" s="75"/>
      <c r="N30" s="75"/>
      <c r="O30" s="75"/>
      <c r="P30" s="753"/>
    </row>
    <row r="31" spans="2:16">
      <c r="B31" s="752"/>
      <c r="C31" s="75"/>
      <c r="D31" s="75"/>
      <c r="E31" s="75"/>
      <c r="F31" s="75"/>
      <c r="G31" s="75"/>
      <c r="H31" s="75"/>
      <c r="I31" s="75"/>
      <c r="J31" s="75"/>
      <c r="K31" s="75"/>
      <c r="L31" s="75"/>
      <c r="M31" s="75"/>
      <c r="N31" s="75"/>
      <c r="O31" s="75"/>
      <c r="P31" s="753"/>
    </row>
    <row r="32" spans="2:16">
      <c r="B32" s="752"/>
      <c r="C32" s="75"/>
      <c r="D32" s="75"/>
      <c r="E32" s="75"/>
      <c r="F32" s="75"/>
      <c r="G32" s="75"/>
      <c r="H32" s="75"/>
      <c r="I32" s="75"/>
      <c r="J32" s="75"/>
      <c r="K32" s="75"/>
      <c r="L32" s="75"/>
      <c r="M32" s="75"/>
      <c r="N32" s="75"/>
      <c r="O32" s="75"/>
      <c r="P32" s="753"/>
    </row>
    <row r="33" spans="2:16">
      <c r="B33" s="752"/>
      <c r="C33" s="75"/>
      <c r="D33" s="75"/>
      <c r="E33" s="75"/>
      <c r="F33" s="75"/>
      <c r="G33" s="75"/>
      <c r="H33" s="75"/>
      <c r="I33" s="75"/>
      <c r="J33" s="75"/>
      <c r="K33" s="75"/>
      <c r="L33" s="75"/>
      <c r="M33" s="75"/>
      <c r="N33" s="75"/>
      <c r="O33" s="75"/>
      <c r="P33" s="753"/>
    </row>
    <row r="34" spans="2:16">
      <c r="B34" s="752"/>
      <c r="C34" s="75"/>
      <c r="D34" s="75"/>
      <c r="E34" s="75"/>
      <c r="F34" s="75"/>
      <c r="G34" s="75"/>
      <c r="H34" s="75"/>
      <c r="I34" s="75"/>
      <c r="J34" s="75"/>
      <c r="K34" s="75"/>
      <c r="L34" s="75"/>
      <c r="M34" s="75"/>
      <c r="N34" s="75"/>
      <c r="O34" s="75"/>
      <c r="P34" s="753"/>
    </row>
    <row r="35" spans="2:16">
      <c r="B35" s="752"/>
      <c r="C35" s="75"/>
      <c r="D35" s="75"/>
      <c r="E35" s="75"/>
      <c r="F35" s="75"/>
      <c r="G35" s="75"/>
      <c r="H35" s="75"/>
      <c r="I35" s="75"/>
      <c r="J35" s="75"/>
      <c r="K35" s="75"/>
      <c r="L35" s="75"/>
      <c r="M35" s="75"/>
      <c r="N35" s="75"/>
      <c r="O35" s="75"/>
      <c r="P35" s="753"/>
    </row>
    <row r="36" spans="2:16">
      <c r="B36" s="752"/>
      <c r="C36" s="75"/>
      <c r="D36" s="75"/>
      <c r="E36" s="75"/>
      <c r="F36" s="75"/>
      <c r="G36" s="75"/>
      <c r="H36" s="75"/>
      <c r="I36" s="75"/>
      <c r="J36" s="75"/>
      <c r="K36" s="75"/>
      <c r="L36" s="75"/>
      <c r="M36" s="75"/>
      <c r="N36" s="75"/>
      <c r="O36" s="75"/>
      <c r="P36" s="753"/>
    </row>
    <row r="37" spans="2:16">
      <c r="B37" s="752"/>
      <c r="C37" s="75"/>
      <c r="D37" s="75"/>
      <c r="E37" s="75"/>
      <c r="F37" s="75"/>
      <c r="G37" s="75"/>
      <c r="H37" s="75"/>
      <c r="I37" s="75"/>
      <c r="J37" s="75"/>
      <c r="K37" s="75"/>
      <c r="L37" s="75"/>
      <c r="M37" s="75"/>
      <c r="N37" s="75"/>
      <c r="O37" s="75"/>
      <c r="P37" s="753"/>
    </row>
    <row r="38" spans="2:16">
      <c r="B38" s="752"/>
      <c r="C38" s="75"/>
      <c r="D38" s="75"/>
      <c r="E38" s="75"/>
      <c r="F38" s="75"/>
      <c r="G38" s="75"/>
      <c r="H38" s="75"/>
      <c r="I38" s="75"/>
      <c r="J38" s="75"/>
      <c r="K38" s="75"/>
      <c r="L38" s="75"/>
      <c r="M38" s="75"/>
      <c r="N38" s="75"/>
      <c r="O38" s="75"/>
      <c r="P38" s="753"/>
    </row>
    <row r="39" spans="2:16" s="296" customFormat="1">
      <c r="B39" s="754"/>
      <c r="C39" s="374"/>
      <c r="D39" s="374"/>
      <c r="E39" s="374"/>
      <c r="F39" s="374"/>
      <c r="G39" s="374"/>
      <c r="H39" s="374"/>
      <c r="I39" s="374"/>
      <c r="J39" s="374"/>
      <c r="K39" s="374"/>
      <c r="L39" s="374"/>
      <c r="M39" s="374"/>
      <c r="N39" s="374"/>
      <c r="O39" s="374"/>
      <c r="P39" s="756"/>
    </row>
    <row r="40" spans="2:16" s="296" customFormat="1">
      <c r="B40" s="754"/>
      <c r="C40" s="1353" t="s">
        <v>526</v>
      </c>
      <c r="D40" s="1354"/>
      <c r="E40" s="1354"/>
      <c r="F40" s="1354"/>
      <c r="G40" s="1354"/>
      <c r="H40" s="1354"/>
      <c r="I40" s="1354"/>
      <c r="J40" s="1354"/>
      <c r="K40" s="1354"/>
      <c r="L40" s="374"/>
      <c r="M40" s="374"/>
      <c r="N40" s="374"/>
      <c r="O40" s="374"/>
      <c r="P40" s="756"/>
    </row>
    <row r="41" spans="2:16" s="296" customFormat="1">
      <c r="B41" s="754"/>
      <c r="C41" s="374"/>
      <c r="D41" s="374"/>
      <c r="E41" s="374"/>
      <c r="F41" s="374"/>
      <c r="G41" s="374"/>
      <c r="H41" s="374"/>
      <c r="I41" s="374"/>
      <c r="J41" s="374"/>
      <c r="K41" s="374"/>
      <c r="L41" s="374"/>
      <c r="M41" s="374"/>
      <c r="N41" s="374"/>
      <c r="O41" s="374"/>
      <c r="P41" s="756"/>
    </row>
    <row r="42" spans="2:16" s="296" customFormat="1">
      <c r="B42" s="754"/>
      <c r="C42" s="374"/>
      <c r="D42" s="374"/>
      <c r="E42" s="374"/>
      <c r="F42" s="374"/>
      <c r="G42" s="374"/>
      <c r="H42" s="374"/>
      <c r="I42" s="374"/>
      <c r="J42" s="374"/>
      <c r="K42" s="374"/>
      <c r="L42" s="374"/>
      <c r="M42" s="374"/>
      <c r="N42" s="374"/>
      <c r="O42" s="374"/>
      <c r="P42" s="756"/>
    </row>
    <row r="43" spans="2:16" s="296" customFormat="1">
      <c r="B43" s="754"/>
      <c r="C43" s="374"/>
      <c r="D43" s="374"/>
      <c r="E43" s="374"/>
      <c r="F43" s="374"/>
      <c r="G43" s="374"/>
      <c r="H43" s="374"/>
      <c r="I43" s="374"/>
      <c r="J43" s="374"/>
      <c r="K43" s="374"/>
      <c r="L43" s="374"/>
      <c r="M43" s="374"/>
      <c r="N43" s="374"/>
      <c r="O43" s="374"/>
      <c r="P43" s="756"/>
    </row>
    <row r="44" spans="2:16" s="296" customFormat="1">
      <c r="B44" s="754"/>
      <c r="C44" s="374"/>
      <c r="D44" s="374"/>
      <c r="E44" s="374"/>
      <c r="F44" s="374"/>
      <c r="G44" s="374"/>
      <c r="H44" s="374"/>
      <c r="I44" s="374"/>
      <c r="J44" s="374"/>
      <c r="K44" s="374"/>
      <c r="L44" s="374"/>
      <c r="M44" s="374"/>
      <c r="N44" s="374"/>
      <c r="O44" s="374"/>
      <c r="P44" s="756"/>
    </row>
    <row r="45" spans="2:16" s="296" customFormat="1">
      <c r="B45" s="754"/>
      <c r="C45" s="374"/>
      <c r="D45" s="374"/>
      <c r="E45" s="374"/>
      <c r="F45" s="374"/>
      <c r="G45" s="374"/>
      <c r="H45" s="374"/>
      <c r="I45" s="374"/>
      <c r="J45" s="374"/>
      <c r="K45" s="374"/>
      <c r="L45" s="374"/>
      <c r="M45" s="374"/>
      <c r="N45" s="374"/>
      <c r="O45" s="374"/>
      <c r="P45" s="756"/>
    </row>
    <row r="46" spans="2:16" s="296" customFormat="1">
      <c r="B46" s="754"/>
      <c r="C46" s="374"/>
      <c r="D46" s="374"/>
      <c r="E46" s="374"/>
      <c r="F46" s="374"/>
      <c r="G46" s="374"/>
      <c r="H46" s="374"/>
      <c r="I46" s="374"/>
      <c r="J46" s="374"/>
      <c r="K46" s="374"/>
      <c r="L46" s="374"/>
      <c r="M46" s="374"/>
      <c r="N46" s="374"/>
      <c r="O46" s="374"/>
      <c r="P46" s="756"/>
    </row>
    <row r="47" spans="2:16" s="296" customFormat="1">
      <c r="B47" s="754"/>
      <c r="C47" s="374"/>
      <c r="D47" s="374"/>
      <c r="E47" s="374"/>
      <c r="F47" s="374"/>
      <c r="G47" s="374"/>
      <c r="H47" s="374"/>
      <c r="I47" s="374"/>
      <c r="J47" s="374"/>
      <c r="K47" s="374"/>
      <c r="L47" s="374"/>
      <c r="M47" s="374"/>
      <c r="N47" s="374"/>
      <c r="O47" s="374"/>
      <c r="P47" s="756"/>
    </row>
    <row r="48" spans="2:16" s="296" customFormat="1">
      <c r="B48" s="754"/>
      <c r="C48" s="374"/>
      <c r="D48" s="374"/>
      <c r="E48" s="374"/>
      <c r="F48" s="374"/>
      <c r="G48" s="374"/>
      <c r="H48" s="374"/>
      <c r="I48" s="374"/>
      <c r="J48" s="374"/>
      <c r="K48" s="374"/>
      <c r="L48" s="374"/>
      <c r="M48" s="374"/>
      <c r="N48" s="374"/>
      <c r="O48" s="374"/>
      <c r="P48" s="756"/>
    </row>
    <row r="49" spans="2:16" s="296" customFormat="1">
      <c r="B49" s="754"/>
      <c r="C49" s="374"/>
      <c r="D49" s="374"/>
      <c r="E49" s="374"/>
      <c r="F49" s="374"/>
      <c r="G49" s="374"/>
      <c r="H49" s="374"/>
      <c r="I49" s="374"/>
      <c r="J49" s="374"/>
      <c r="K49" s="374"/>
      <c r="L49" s="374"/>
      <c r="M49" s="374"/>
      <c r="N49" s="374"/>
      <c r="O49" s="374"/>
      <c r="P49" s="756"/>
    </row>
    <row r="50" spans="2:16" s="296" customFormat="1">
      <c r="B50" s="754"/>
      <c r="C50" s="374"/>
      <c r="D50" s="374"/>
      <c r="E50" s="374"/>
      <c r="F50" s="374"/>
      <c r="G50" s="374"/>
      <c r="H50" s="374"/>
      <c r="I50" s="374"/>
      <c r="J50" s="374"/>
      <c r="K50" s="374"/>
      <c r="L50" s="374"/>
      <c r="M50" s="374"/>
      <c r="N50" s="374"/>
      <c r="O50" s="374"/>
      <c r="P50" s="756"/>
    </row>
    <row r="51" spans="2:16" s="296" customFormat="1">
      <c r="B51" s="754"/>
      <c r="C51" s="374"/>
      <c r="D51" s="374"/>
      <c r="E51" s="374"/>
      <c r="F51" s="374"/>
      <c r="G51" s="374"/>
      <c r="H51" s="374"/>
      <c r="I51" s="374"/>
      <c r="J51" s="374"/>
      <c r="K51" s="374"/>
      <c r="L51" s="374"/>
      <c r="M51" s="374"/>
      <c r="N51" s="374"/>
      <c r="O51" s="374"/>
      <c r="P51" s="756"/>
    </row>
    <row r="52" spans="2:16" s="296" customFormat="1">
      <c r="B52" s="754"/>
      <c r="C52" s="374"/>
      <c r="D52" s="374"/>
      <c r="E52" s="374"/>
      <c r="F52" s="374"/>
      <c r="G52" s="374"/>
      <c r="H52" s="374"/>
      <c r="I52" s="374"/>
      <c r="J52" s="374"/>
      <c r="K52" s="374"/>
      <c r="L52" s="374"/>
      <c r="M52" s="374"/>
      <c r="N52" s="374"/>
      <c r="O52" s="374"/>
      <c r="P52" s="756"/>
    </row>
    <row r="53" spans="2:16" s="296" customFormat="1">
      <c r="B53" s="754"/>
      <c r="C53" s="374"/>
      <c r="D53" s="374"/>
      <c r="E53" s="374"/>
      <c r="F53" s="374"/>
      <c r="G53" s="374"/>
      <c r="H53" s="374"/>
      <c r="I53" s="374"/>
      <c r="J53" s="374"/>
      <c r="K53" s="374"/>
      <c r="L53" s="374"/>
      <c r="M53" s="374"/>
      <c r="N53" s="374"/>
      <c r="O53" s="374"/>
      <c r="P53" s="756"/>
    </row>
    <row r="54" spans="2:16" s="296" customFormat="1">
      <c r="B54" s="754"/>
      <c r="C54" s="374"/>
      <c r="D54" s="374"/>
      <c r="E54" s="374"/>
      <c r="F54" s="374"/>
      <c r="G54" s="374"/>
      <c r="H54" s="374"/>
      <c r="I54" s="374"/>
      <c r="J54" s="374"/>
      <c r="K54" s="374"/>
      <c r="L54" s="374"/>
      <c r="M54" s="374"/>
      <c r="N54" s="374"/>
      <c r="O54" s="374"/>
      <c r="P54" s="756"/>
    </row>
    <row r="55" spans="2:16" s="296" customFormat="1">
      <c r="B55" s="754"/>
      <c r="C55" s="1353" t="s">
        <v>343</v>
      </c>
      <c r="D55" s="1354"/>
      <c r="E55" s="1354"/>
      <c r="F55" s="1354"/>
      <c r="G55" s="1354"/>
      <c r="H55" s="1354"/>
      <c r="I55" s="1354"/>
      <c r="J55" s="1354"/>
      <c r="K55" s="1354"/>
      <c r="L55" s="1354"/>
      <c r="M55" s="1354"/>
      <c r="N55" s="1354"/>
      <c r="O55" s="374"/>
      <c r="P55" s="756"/>
    </row>
    <row r="56" spans="2:16" s="296" customFormat="1">
      <c r="B56" s="754"/>
      <c r="C56" s="374"/>
      <c r="D56" s="374"/>
      <c r="E56" s="374"/>
      <c r="F56" s="374"/>
      <c r="G56" s="374"/>
      <c r="H56" s="374"/>
      <c r="I56" s="374"/>
      <c r="J56" s="374"/>
      <c r="K56" s="374"/>
      <c r="L56" s="374"/>
      <c r="M56" s="374"/>
      <c r="N56" s="374"/>
      <c r="O56" s="374"/>
      <c r="P56" s="756"/>
    </row>
    <row r="57" spans="2:16" s="296" customFormat="1">
      <c r="B57" s="754"/>
      <c r="C57" s="374"/>
      <c r="D57" s="374"/>
      <c r="E57" s="374"/>
      <c r="F57" s="374"/>
      <c r="G57" s="374"/>
      <c r="H57" s="374"/>
      <c r="I57" s="374"/>
      <c r="J57" s="374"/>
      <c r="K57" s="374"/>
      <c r="L57" s="374"/>
      <c r="M57" s="374"/>
      <c r="N57" s="374"/>
      <c r="O57" s="374"/>
      <c r="P57" s="756"/>
    </row>
    <row r="58" spans="2:16" s="296" customFormat="1">
      <c r="B58" s="754"/>
      <c r="C58" s="374"/>
      <c r="D58" s="374"/>
      <c r="E58" s="374"/>
      <c r="F58" s="374"/>
      <c r="G58" s="374"/>
      <c r="H58" s="374"/>
      <c r="I58" s="374"/>
      <c r="J58" s="374"/>
      <c r="K58" s="374"/>
      <c r="L58" s="374"/>
      <c r="M58" s="374"/>
      <c r="N58" s="374"/>
      <c r="O58" s="374"/>
      <c r="P58" s="756"/>
    </row>
    <row r="59" spans="2:16" s="296" customFormat="1">
      <c r="B59" s="754"/>
      <c r="C59" s="374"/>
      <c r="D59" s="374"/>
      <c r="E59" s="374"/>
      <c r="F59" s="374"/>
      <c r="G59" s="374"/>
      <c r="H59" s="374"/>
      <c r="I59" s="374"/>
      <c r="J59" s="374"/>
      <c r="K59" s="374"/>
      <c r="L59" s="374"/>
      <c r="M59" s="374"/>
      <c r="N59" s="374"/>
      <c r="O59" s="374"/>
      <c r="P59" s="756"/>
    </row>
    <row r="60" spans="2:16" s="296" customFormat="1">
      <c r="B60" s="754"/>
      <c r="C60" s="374"/>
      <c r="D60" s="374"/>
      <c r="E60" s="374"/>
      <c r="F60" s="374"/>
      <c r="G60" s="374"/>
      <c r="H60" s="374"/>
      <c r="I60" s="374"/>
      <c r="J60" s="374"/>
      <c r="K60" s="374"/>
      <c r="L60" s="374"/>
      <c r="M60" s="374"/>
      <c r="N60" s="374"/>
      <c r="O60" s="374"/>
      <c r="P60" s="756"/>
    </row>
    <row r="61" spans="2:16" s="296" customFormat="1">
      <c r="B61" s="754"/>
      <c r="C61" s="374"/>
      <c r="D61" s="374"/>
      <c r="E61" s="374"/>
      <c r="F61" s="374"/>
      <c r="G61" s="374"/>
      <c r="H61" s="374"/>
      <c r="I61" s="374"/>
      <c r="J61" s="374"/>
      <c r="K61" s="374"/>
      <c r="L61" s="374"/>
      <c r="M61" s="374"/>
      <c r="N61" s="374"/>
      <c r="O61" s="374"/>
      <c r="P61" s="756"/>
    </row>
    <row r="62" spans="2:16" s="296" customFormat="1">
      <c r="B62" s="754"/>
      <c r="C62" s="374"/>
      <c r="D62" s="374"/>
      <c r="E62" s="374"/>
      <c r="F62" s="374"/>
      <c r="G62" s="374"/>
      <c r="H62" s="374"/>
      <c r="I62" s="374"/>
      <c r="J62" s="374"/>
      <c r="K62" s="374"/>
      <c r="L62" s="374"/>
      <c r="M62" s="374"/>
      <c r="N62" s="374"/>
      <c r="O62" s="374"/>
      <c r="P62" s="756"/>
    </row>
    <row r="63" spans="2:16" s="296" customFormat="1">
      <c r="B63" s="754"/>
      <c r="C63" s="374"/>
      <c r="D63" s="374"/>
      <c r="E63" s="374"/>
      <c r="F63" s="374"/>
      <c r="G63" s="374"/>
      <c r="H63" s="374"/>
      <c r="I63" s="374"/>
      <c r="J63" s="374"/>
      <c r="K63" s="374"/>
      <c r="L63" s="374"/>
      <c r="M63" s="374"/>
      <c r="N63" s="374"/>
      <c r="O63" s="374"/>
      <c r="P63" s="756"/>
    </row>
    <row r="64" spans="2:16" s="296" customFormat="1">
      <c r="B64" s="754"/>
      <c r="C64" s="374"/>
      <c r="D64" s="374"/>
      <c r="E64" s="374"/>
      <c r="F64" s="374"/>
      <c r="G64" s="374"/>
      <c r="H64" s="374"/>
      <c r="I64" s="374"/>
      <c r="J64" s="374"/>
      <c r="K64" s="374"/>
      <c r="L64" s="374"/>
      <c r="M64" s="374"/>
      <c r="N64" s="374"/>
      <c r="O64" s="374"/>
      <c r="P64" s="756"/>
    </row>
    <row r="65" spans="2:16" s="296" customFormat="1">
      <c r="B65" s="754"/>
      <c r="C65" s="374"/>
      <c r="D65" s="374"/>
      <c r="E65" s="374"/>
      <c r="F65" s="374"/>
      <c r="G65" s="374"/>
      <c r="H65" s="374"/>
      <c r="I65" s="374"/>
      <c r="J65" s="374"/>
      <c r="K65" s="374"/>
      <c r="L65" s="374"/>
      <c r="M65" s="374"/>
      <c r="N65" s="374"/>
      <c r="O65" s="374"/>
      <c r="P65" s="756"/>
    </row>
    <row r="66" spans="2:16" s="296" customFormat="1">
      <c r="B66" s="754"/>
      <c r="C66" s="374"/>
      <c r="D66" s="374"/>
      <c r="E66" s="374"/>
      <c r="F66" s="374"/>
      <c r="G66" s="374"/>
      <c r="H66" s="374"/>
      <c r="I66" s="374"/>
      <c r="J66" s="374"/>
      <c r="K66" s="374"/>
      <c r="L66" s="374"/>
      <c r="M66" s="374"/>
      <c r="N66" s="374"/>
      <c r="O66" s="374"/>
      <c r="P66" s="756"/>
    </row>
    <row r="67" spans="2:16" s="296" customFormat="1">
      <c r="B67" s="754"/>
      <c r="C67" s="374"/>
      <c r="D67" s="374"/>
      <c r="E67" s="374"/>
      <c r="F67" s="374"/>
      <c r="G67" s="374"/>
      <c r="H67" s="374"/>
      <c r="I67" s="374"/>
      <c r="J67" s="374"/>
      <c r="K67" s="374"/>
      <c r="L67" s="374"/>
      <c r="M67" s="374"/>
      <c r="N67" s="374"/>
      <c r="O67" s="374"/>
      <c r="P67" s="756"/>
    </row>
    <row r="68" spans="2:16" s="296" customFormat="1">
      <c r="B68" s="754"/>
      <c r="C68" s="374"/>
      <c r="D68" s="374"/>
      <c r="E68" s="374"/>
      <c r="F68" s="374"/>
      <c r="G68" s="374"/>
      <c r="H68" s="374"/>
      <c r="I68" s="374"/>
      <c r="J68" s="374"/>
      <c r="K68" s="374"/>
      <c r="L68" s="374"/>
      <c r="M68" s="374"/>
      <c r="N68" s="374"/>
      <c r="O68" s="374"/>
      <c r="P68" s="756"/>
    </row>
    <row r="69" spans="2:16" s="296" customFormat="1">
      <c r="B69" s="754"/>
      <c r="C69" s="374"/>
      <c r="D69" s="374"/>
      <c r="E69" s="374"/>
      <c r="F69" s="374"/>
      <c r="G69" s="374"/>
      <c r="H69" s="374"/>
      <c r="I69" s="374"/>
      <c r="J69" s="374"/>
      <c r="K69" s="374"/>
      <c r="L69" s="374"/>
      <c r="M69" s="374"/>
      <c r="N69" s="374"/>
      <c r="O69" s="374"/>
      <c r="P69" s="756"/>
    </row>
    <row r="70" spans="2:16" s="296" customFormat="1">
      <c r="B70" s="754"/>
      <c r="C70" s="374"/>
      <c r="D70" s="374"/>
      <c r="E70" s="374"/>
      <c r="F70" s="374"/>
      <c r="G70" s="374"/>
      <c r="H70" s="374"/>
      <c r="I70" s="374"/>
      <c r="J70" s="374"/>
      <c r="K70" s="374"/>
      <c r="L70" s="374"/>
      <c r="M70" s="374"/>
      <c r="N70" s="374"/>
      <c r="O70" s="374"/>
      <c r="P70" s="756"/>
    </row>
    <row r="71" spans="2:16" s="296" customFormat="1">
      <c r="B71" s="754"/>
      <c r="C71" s="755" t="s">
        <v>344</v>
      </c>
      <c r="D71" s="374"/>
      <c r="E71" s="374"/>
      <c r="F71" s="374"/>
      <c r="G71" s="374"/>
      <c r="H71" s="374"/>
      <c r="I71" s="374"/>
      <c r="J71" s="374"/>
      <c r="K71" s="374"/>
      <c r="L71" s="374"/>
      <c r="M71" s="374"/>
      <c r="N71" s="374"/>
      <c r="O71" s="374"/>
      <c r="P71" s="756"/>
    </row>
    <row r="72" spans="2:16" s="296" customFormat="1">
      <c r="B72" s="754"/>
      <c r="C72" s="374"/>
      <c r="D72" s="374"/>
      <c r="E72" s="374"/>
      <c r="F72" s="374"/>
      <c r="G72" s="374"/>
      <c r="H72" s="374"/>
      <c r="I72" s="374"/>
      <c r="J72" s="374"/>
      <c r="K72" s="374"/>
      <c r="L72" s="374"/>
      <c r="M72" s="374"/>
      <c r="N72" s="374"/>
      <c r="O72" s="374"/>
      <c r="P72" s="756"/>
    </row>
    <row r="73" spans="2:16" s="296" customFormat="1">
      <c r="B73" s="754"/>
      <c r="C73" s="374"/>
      <c r="D73" s="374"/>
      <c r="E73" s="374"/>
      <c r="F73" s="374"/>
      <c r="G73" s="374"/>
      <c r="H73" s="374"/>
      <c r="I73" s="374"/>
      <c r="J73" s="374"/>
      <c r="K73" s="374"/>
      <c r="L73" s="374"/>
      <c r="M73" s="374"/>
      <c r="N73" s="374"/>
      <c r="O73" s="374"/>
      <c r="P73" s="756"/>
    </row>
    <row r="74" spans="2:16" s="296" customFormat="1">
      <c r="B74" s="754"/>
      <c r="C74" s="374"/>
      <c r="D74" s="374"/>
      <c r="E74" s="374"/>
      <c r="F74" s="374"/>
      <c r="G74" s="374"/>
      <c r="H74" s="374"/>
      <c r="I74" s="374"/>
      <c r="J74" s="374"/>
      <c r="K74" s="374"/>
      <c r="L74" s="374"/>
      <c r="M74" s="374"/>
      <c r="N74" s="374"/>
      <c r="O74" s="374"/>
      <c r="P74" s="756"/>
    </row>
    <row r="75" spans="2:16" s="296" customFormat="1">
      <c r="B75" s="754"/>
      <c r="C75" s="374"/>
      <c r="D75" s="374"/>
      <c r="E75" s="374"/>
      <c r="F75" s="374"/>
      <c r="G75" s="374"/>
      <c r="H75" s="374"/>
      <c r="I75" s="374"/>
      <c r="J75" s="374"/>
      <c r="K75" s="374"/>
      <c r="L75" s="374"/>
      <c r="M75" s="374"/>
      <c r="N75" s="374"/>
      <c r="O75" s="374"/>
      <c r="P75" s="756"/>
    </row>
    <row r="76" spans="2:16" s="296" customFormat="1">
      <c r="B76" s="754"/>
      <c r="C76" s="374"/>
      <c r="D76" s="374"/>
      <c r="E76" s="374"/>
      <c r="F76" s="374"/>
      <c r="G76" s="374"/>
      <c r="H76" s="374"/>
      <c r="I76" s="374"/>
      <c r="J76" s="374"/>
      <c r="K76" s="374"/>
      <c r="L76" s="374"/>
      <c r="M76" s="374"/>
      <c r="N76" s="374"/>
      <c r="O76" s="374"/>
      <c r="P76" s="756"/>
    </row>
    <row r="77" spans="2:16" s="296" customFormat="1">
      <c r="B77" s="754"/>
      <c r="C77" s="374"/>
      <c r="D77" s="374"/>
      <c r="E77" s="374"/>
      <c r="F77" s="374"/>
      <c r="G77" s="374"/>
      <c r="H77" s="374"/>
      <c r="I77" s="374"/>
      <c r="J77" s="374"/>
      <c r="K77" s="374"/>
      <c r="L77" s="374"/>
      <c r="M77" s="374"/>
      <c r="N77" s="374"/>
      <c r="O77" s="374"/>
      <c r="P77" s="756"/>
    </row>
    <row r="78" spans="2:16" s="296" customFormat="1">
      <c r="B78" s="754"/>
      <c r="C78" s="374"/>
      <c r="D78" s="374"/>
      <c r="E78" s="374"/>
      <c r="F78" s="374"/>
      <c r="G78" s="374"/>
      <c r="H78" s="374"/>
      <c r="I78" s="374"/>
      <c r="J78" s="374"/>
      <c r="K78" s="374"/>
      <c r="L78" s="374"/>
      <c r="M78" s="374"/>
      <c r="N78" s="374"/>
      <c r="O78" s="374"/>
      <c r="P78" s="756"/>
    </row>
    <row r="79" spans="2:16" s="296" customFormat="1">
      <c r="B79" s="754"/>
      <c r="C79" s="374"/>
      <c r="D79" s="374"/>
      <c r="E79" s="374"/>
      <c r="F79" s="374"/>
      <c r="G79" s="374"/>
      <c r="H79" s="374"/>
      <c r="I79" s="374"/>
      <c r="J79" s="374"/>
      <c r="K79" s="374"/>
      <c r="L79" s="374"/>
      <c r="M79" s="374"/>
      <c r="N79" s="374"/>
      <c r="O79" s="374"/>
      <c r="P79" s="756"/>
    </row>
    <row r="80" spans="2:16" s="296" customFormat="1">
      <c r="B80" s="754"/>
      <c r="C80" s="374"/>
      <c r="D80" s="374"/>
      <c r="E80" s="374"/>
      <c r="F80" s="374"/>
      <c r="G80" s="374"/>
      <c r="H80" s="374"/>
      <c r="I80" s="374"/>
      <c r="J80" s="374"/>
      <c r="K80" s="374"/>
      <c r="L80" s="374"/>
      <c r="M80" s="374"/>
      <c r="N80" s="374"/>
      <c r="O80" s="374"/>
      <c r="P80" s="756"/>
    </row>
    <row r="81" spans="2:16" s="296" customFormat="1">
      <c r="B81" s="754"/>
      <c r="C81" s="374"/>
      <c r="D81" s="374"/>
      <c r="E81" s="374"/>
      <c r="F81" s="374"/>
      <c r="G81" s="374"/>
      <c r="H81" s="374"/>
      <c r="I81" s="374"/>
      <c r="J81" s="374"/>
      <c r="K81" s="374"/>
      <c r="L81" s="374"/>
      <c r="M81" s="374"/>
      <c r="N81" s="374"/>
      <c r="O81" s="374"/>
      <c r="P81" s="756"/>
    </row>
    <row r="82" spans="2:16" s="296" customFormat="1">
      <c r="B82" s="754"/>
      <c r="C82" s="374"/>
      <c r="D82" s="374"/>
      <c r="E82" s="374"/>
      <c r="F82" s="374"/>
      <c r="G82" s="374"/>
      <c r="H82" s="374"/>
      <c r="I82" s="374"/>
      <c r="J82" s="374"/>
      <c r="K82" s="374"/>
      <c r="L82" s="374"/>
      <c r="M82" s="374"/>
      <c r="N82" s="374"/>
      <c r="O82" s="374"/>
      <c r="P82" s="756"/>
    </row>
    <row r="83" spans="2:16" s="296" customFormat="1">
      <c r="B83" s="754"/>
      <c r="C83" s="374"/>
      <c r="D83" s="374"/>
      <c r="E83" s="374"/>
      <c r="F83" s="374"/>
      <c r="G83" s="374"/>
      <c r="H83" s="374"/>
      <c r="I83" s="374"/>
      <c r="J83" s="374"/>
      <c r="K83" s="374"/>
      <c r="L83" s="374"/>
      <c r="M83" s="374"/>
      <c r="N83" s="374"/>
      <c r="O83" s="374"/>
      <c r="P83" s="756"/>
    </row>
    <row r="84" spans="2:16" s="296" customFormat="1">
      <c r="B84" s="754"/>
      <c r="C84" s="374"/>
      <c r="D84" s="374"/>
      <c r="E84" s="374"/>
      <c r="F84" s="374"/>
      <c r="G84" s="374"/>
      <c r="H84" s="374"/>
      <c r="I84" s="374"/>
      <c r="J84" s="374"/>
      <c r="K84" s="374"/>
      <c r="L84" s="374"/>
      <c r="M84" s="374"/>
      <c r="N84" s="374"/>
      <c r="O84" s="374"/>
      <c r="P84" s="756"/>
    </row>
    <row r="85" spans="2:16" s="296" customFormat="1">
      <c r="B85" s="754"/>
      <c r="C85" s="374"/>
      <c r="D85" s="374"/>
      <c r="E85" s="374"/>
      <c r="F85" s="374"/>
      <c r="G85" s="374"/>
      <c r="H85" s="374"/>
      <c r="I85" s="374"/>
      <c r="J85" s="374"/>
      <c r="K85" s="374"/>
      <c r="L85" s="374"/>
      <c r="M85" s="374"/>
      <c r="N85" s="374"/>
      <c r="O85" s="374"/>
      <c r="P85" s="756"/>
    </row>
    <row r="86" spans="2:16">
      <c r="B86" s="752"/>
      <c r="C86" s="91" t="s">
        <v>611</v>
      </c>
      <c r="D86" s="75"/>
      <c r="E86" s="75"/>
      <c r="F86" s="75"/>
      <c r="G86" s="75"/>
      <c r="H86" s="75"/>
      <c r="I86" s="75"/>
      <c r="J86" s="75"/>
      <c r="K86" s="75"/>
      <c r="L86" s="75"/>
      <c r="M86" s="75"/>
      <c r="N86" s="75"/>
      <c r="O86" s="75"/>
      <c r="P86" s="753"/>
    </row>
    <row r="87" spans="2:16">
      <c r="B87" s="752"/>
      <c r="C87" s="75"/>
      <c r="D87" s="75"/>
      <c r="E87" s="75"/>
      <c r="F87" s="75"/>
      <c r="G87" s="75"/>
      <c r="H87" s="75"/>
      <c r="I87" s="75"/>
      <c r="J87" s="75"/>
      <c r="K87" s="75"/>
      <c r="L87" s="75"/>
      <c r="M87" s="75"/>
      <c r="N87" s="75"/>
      <c r="O87" s="75"/>
      <c r="P87" s="753"/>
    </row>
    <row r="88" spans="2:16">
      <c r="B88" s="752"/>
      <c r="C88" s="75"/>
      <c r="D88" s="75"/>
      <c r="E88" s="75"/>
      <c r="F88" s="75"/>
      <c r="G88" s="75"/>
      <c r="H88" s="75"/>
      <c r="I88" s="75"/>
      <c r="J88" s="75"/>
      <c r="K88" s="75"/>
      <c r="L88" s="75"/>
      <c r="M88" s="75"/>
      <c r="N88" s="75"/>
      <c r="O88" s="75"/>
      <c r="P88" s="753"/>
    </row>
    <row r="89" spans="2:16">
      <c r="B89" s="752"/>
      <c r="C89" s="75"/>
      <c r="D89" s="75"/>
      <c r="E89" s="75"/>
      <c r="F89" s="75"/>
      <c r="G89" s="75"/>
      <c r="H89" s="75"/>
      <c r="I89" s="75"/>
      <c r="J89" s="75"/>
      <c r="K89" s="75"/>
      <c r="L89" s="75"/>
      <c r="M89" s="75"/>
      <c r="N89" s="75"/>
      <c r="O89" s="75"/>
      <c r="P89" s="753"/>
    </row>
    <row r="90" spans="2:16">
      <c r="B90" s="752"/>
      <c r="C90" s="75"/>
      <c r="D90" s="75"/>
      <c r="E90" s="75"/>
      <c r="F90" s="75"/>
      <c r="G90" s="75"/>
      <c r="H90" s="75"/>
      <c r="I90" s="75"/>
      <c r="J90" s="75"/>
      <c r="K90" s="75"/>
      <c r="L90" s="75"/>
      <c r="M90" s="75"/>
      <c r="N90" s="75"/>
      <c r="O90" s="75"/>
      <c r="P90" s="753"/>
    </row>
    <row r="91" spans="2:16">
      <c r="B91" s="752"/>
      <c r="C91" s="75"/>
      <c r="D91" s="75"/>
      <c r="E91" s="75"/>
      <c r="F91" s="75"/>
      <c r="G91" s="75"/>
      <c r="H91" s="75"/>
      <c r="I91" s="75"/>
      <c r="J91" s="75"/>
      <c r="K91" s="75"/>
      <c r="L91" s="75"/>
      <c r="M91" s="75"/>
      <c r="N91" s="75"/>
      <c r="O91" s="75"/>
      <c r="P91" s="753"/>
    </row>
    <row r="92" spans="2:16">
      <c r="B92" s="752"/>
      <c r="C92" s="75"/>
      <c r="D92" s="75"/>
      <c r="E92" s="75"/>
      <c r="F92" s="75"/>
      <c r="G92" s="75"/>
      <c r="H92" s="75"/>
      <c r="I92" s="75"/>
      <c r="J92" s="75"/>
      <c r="K92" s="75"/>
      <c r="L92" s="75"/>
      <c r="M92" s="75"/>
      <c r="N92" s="75"/>
      <c r="O92" s="75"/>
      <c r="P92" s="753"/>
    </row>
    <row r="93" spans="2:16">
      <c r="B93" s="752"/>
      <c r="C93" s="75"/>
      <c r="D93" s="75"/>
      <c r="E93" s="75"/>
      <c r="F93" s="75"/>
      <c r="G93" s="75"/>
      <c r="H93" s="75"/>
      <c r="I93" s="75"/>
      <c r="J93" s="75"/>
      <c r="K93" s="75"/>
      <c r="L93" s="75"/>
      <c r="M93" s="75"/>
      <c r="N93" s="75"/>
      <c r="O93" s="75"/>
      <c r="P93" s="753"/>
    </row>
    <row r="94" spans="2:16">
      <c r="B94" s="752"/>
      <c r="C94" s="75"/>
      <c r="D94" s="75"/>
      <c r="E94" s="75"/>
      <c r="F94" s="75"/>
      <c r="G94" s="75"/>
      <c r="H94" s="75"/>
      <c r="I94" s="75"/>
      <c r="J94" s="75"/>
      <c r="K94" s="75"/>
      <c r="L94" s="75"/>
      <c r="M94" s="75"/>
      <c r="N94" s="75"/>
      <c r="O94" s="75"/>
      <c r="P94" s="753"/>
    </row>
    <row r="95" spans="2:16">
      <c r="B95" s="752"/>
      <c r="C95" s="75"/>
      <c r="D95" s="75"/>
      <c r="E95" s="75"/>
      <c r="F95" s="75"/>
      <c r="G95" s="75"/>
      <c r="H95" s="75"/>
      <c r="I95" s="75"/>
      <c r="J95" s="75"/>
      <c r="K95" s="75"/>
      <c r="L95" s="75"/>
      <c r="M95" s="75"/>
      <c r="N95" s="75"/>
      <c r="O95" s="75"/>
      <c r="P95" s="753"/>
    </row>
    <row r="96" spans="2:16">
      <c r="B96" s="752"/>
      <c r="C96" s="75"/>
      <c r="D96" s="75"/>
      <c r="E96" s="75"/>
      <c r="F96" s="75"/>
      <c r="G96" s="75"/>
      <c r="H96" s="75"/>
      <c r="I96" s="75"/>
      <c r="J96" s="75"/>
      <c r="K96" s="75"/>
      <c r="L96" s="75"/>
      <c r="M96" s="75"/>
      <c r="N96" s="75"/>
      <c r="O96" s="75"/>
      <c r="P96" s="753"/>
    </row>
    <row r="97" spans="2:16">
      <c r="B97" s="752"/>
      <c r="C97" s="75"/>
      <c r="D97" s="75"/>
      <c r="E97" s="75"/>
      <c r="F97" s="75"/>
      <c r="G97" s="75"/>
      <c r="H97" s="75"/>
      <c r="I97" s="75"/>
      <c r="J97" s="75"/>
      <c r="K97" s="75"/>
      <c r="L97" s="75"/>
      <c r="M97" s="75"/>
      <c r="N97" s="75"/>
      <c r="O97" s="75"/>
      <c r="P97" s="753"/>
    </row>
    <row r="98" spans="2:16">
      <c r="B98" s="752"/>
      <c r="C98" s="75"/>
      <c r="D98" s="75"/>
      <c r="E98" s="75"/>
      <c r="F98" s="75"/>
      <c r="G98" s="75"/>
      <c r="H98" s="75"/>
      <c r="I98" s="75"/>
      <c r="J98" s="75"/>
      <c r="K98" s="75"/>
      <c r="L98" s="75"/>
      <c r="M98" s="75"/>
      <c r="N98" s="75"/>
      <c r="O98" s="75"/>
      <c r="P98" s="753"/>
    </row>
    <row r="99" spans="2:16">
      <c r="B99" s="752"/>
      <c r="C99" s="75"/>
      <c r="D99" s="75"/>
      <c r="E99" s="75"/>
      <c r="F99" s="75"/>
      <c r="G99" s="75"/>
      <c r="H99" s="75"/>
      <c r="I99" s="75"/>
      <c r="J99" s="75"/>
      <c r="K99" s="75"/>
      <c r="L99" s="75"/>
      <c r="M99" s="75"/>
      <c r="N99" s="75"/>
      <c r="O99" s="75"/>
      <c r="P99" s="753"/>
    </row>
    <row r="100" spans="2:16">
      <c r="B100" s="752"/>
      <c r="C100" s="75"/>
      <c r="D100" s="75"/>
      <c r="E100" s="75"/>
      <c r="F100" s="75"/>
      <c r="G100" s="75"/>
      <c r="H100" s="75"/>
      <c r="I100" s="75"/>
      <c r="J100" s="75"/>
      <c r="K100" s="75"/>
      <c r="L100" s="75"/>
      <c r="M100" s="75"/>
      <c r="N100" s="75"/>
      <c r="O100" s="75"/>
      <c r="P100" s="753"/>
    </row>
    <row r="101" spans="2:16" ht="15.75" thickBot="1">
      <c r="B101" s="757"/>
      <c r="C101" s="758"/>
      <c r="D101" s="758"/>
      <c r="E101" s="758"/>
      <c r="F101" s="758"/>
      <c r="G101" s="758"/>
      <c r="H101" s="758"/>
      <c r="I101" s="758"/>
      <c r="J101" s="758"/>
      <c r="K101" s="758"/>
      <c r="L101" s="758"/>
      <c r="M101" s="758"/>
      <c r="N101" s="758"/>
      <c r="O101" s="758"/>
      <c r="P101" s="759"/>
    </row>
    <row r="102" spans="2:16" s="75" customFormat="1" ht="15.75" thickBot="1"/>
    <row r="103" spans="2:16">
      <c r="B103" s="749"/>
      <c r="C103" s="750"/>
      <c r="D103" s="750"/>
      <c r="E103" s="750"/>
      <c r="F103" s="750"/>
      <c r="G103" s="750"/>
      <c r="H103" s="750"/>
      <c r="I103" s="750"/>
      <c r="J103" s="750"/>
      <c r="K103" s="750"/>
      <c r="L103" s="750"/>
      <c r="M103" s="750"/>
      <c r="N103" s="750"/>
      <c r="O103" s="750"/>
      <c r="P103" s="751"/>
    </row>
    <row r="104" spans="2:16">
      <c r="B104" s="752"/>
      <c r="C104" s="376" t="s">
        <v>626</v>
      </c>
      <c r="D104" s="376"/>
      <c r="E104" s="376"/>
      <c r="F104" s="376"/>
      <c r="G104" s="376"/>
      <c r="H104" s="376"/>
      <c r="I104" s="376"/>
      <c r="J104" s="376"/>
      <c r="K104" s="376"/>
      <c r="L104" s="376"/>
      <c r="M104" s="376"/>
      <c r="N104" s="376"/>
      <c r="O104" s="75"/>
      <c r="P104" s="753"/>
    </row>
    <row r="105" spans="2:16">
      <c r="B105" s="752"/>
      <c r="C105" s="376"/>
      <c r="D105" s="376"/>
      <c r="E105" s="376"/>
      <c r="F105" s="376"/>
      <c r="G105" s="376"/>
      <c r="H105" s="376"/>
      <c r="I105" s="376"/>
      <c r="J105" s="376"/>
      <c r="K105" s="376"/>
      <c r="L105" s="376"/>
      <c r="M105" s="376"/>
      <c r="N105" s="376"/>
      <c r="O105" s="75"/>
      <c r="P105" s="753"/>
    </row>
    <row r="106" spans="2:16">
      <c r="B106" s="752"/>
      <c r="C106" s="376" t="s">
        <v>627</v>
      </c>
      <c r="D106" s="376"/>
      <c r="E106" s="376"/>
      <c r="F106" s="376"/>
      <c r="G106" s="376"/>
      <c r="H106" s="376"/>
      <c r="I106" s="376"/>
      <c r="J106" s="75"/>
      <c r="K106" s="376" t="s">
        <v>628</v>
      </c>
      <c r="L106" s="376"/>
      <c r="M106" s="376"/>
      <c r="N106" s="376"/>
      <c r="O106" s="75"/>
      <c r="P106" s="753"/>
    </row>
    <row r="107" spans="2:16">
      <c r="B107" s="752"/>
      <c r="C107" s="75"/>
      <c r="D107" s="75"/>
      <c r="E107" s="75"/>
      <c r="F107" s="75"/>
      <c r="G107" s="75"/>
      <c r="H107" s="75"/>
      <c r="I107" s="75"/>
      <c r="J107" s="75"/>
      <c r="K107" s="75"/>
      <c r="L107" s="75"/>
      <c r="M107" s="75"/>
      <c r="N107" s="75"/>
      <c r="O107" s="75"/>
      <c r="P107" s="753"/>
    </row>
    <row r="108" spans="2:16">
      <c r="B108" s="752"/>
      <c r="C108" s="75"/>
      <c r="D108" s="75"/>
      <c r="E108" s="75"/>
      <c r="F108" s="75"/>
      <c r="G108" s="75"/>
      <c r="H108" s="75"/>
      <c r="I108" s="75"/>
      <c r="J108" s="75"/>
      <c r="K108" s="75"/>
      <c r="L108" s="75"/>
      <c r="M108" s="75"/>
      <c r="N108" s="75"/>
      <c r="O108" s="75"/>
      <c r="P108" s="753"/>
    </row>
    <row r="109" spans="2:16">
      <c r="B109" s="752"/>
      <c r="C109" s="75"/>
      <c r="D109" s="75"/>
      <c r="E109" s="75"/>
      <c r="F109" s="75"/>
      <c r="G109" s="75"/>
      <c r="H109" s="75"/>
      <c r="I109" s="75"/>
      <c r="J109" s="75"/>
      <c r="K109" s="75"/>
      <c r="L109" s="75"/>
      <c r="M109" s="75"/>
      <c r="N109" s="75"/>
      <c r="O109" s="75"/>
      <c r="P109" s="753"/>
    </row>
    <row r="110" spans="2:16">
      <c r="B110" s="752"/>
      <c r="C110" s="75"/>
      <c r="D110" s="75"/>
      <c r="E110" s="75"/>
      <c r="F110" s="75"/>
      <c r="G110" s="75"/>
      <c r="H110" s="75"/>
      <c r="I110" s="75"/>
      <c r="J110" s="75"/>
      <c r="K110" s="75"/>
      <c r="L110" s="75"/>
      <c r="M110" s="75"/>
      <c r="N110" s="75"/>
      <c r="O110" s="75"/>
      <c r="P110" s="753"/>
    </row>
    <row r="111" spans="2:16">
      <c r="B111" s="752"/>
      <c r="C111" s="75"/>
      <c r="D111" s="75"/>
      <c r="E111" s="75"/>
      <c r="F111" s="75"/>
      <c r="G111" s="75"/>
      <c r="H111" s="75"/>
      <c r="I111" s="75"/>
      <c r="J111" s="75"/>
      <c r="K111" s="75"/>
      <c r="L111" s="75"/>
      <c r="M111" s="75"/>
      <c r="N111" s="75"/>
      <c r="O111" s="75"/>
      <c r="P111" s="753"/>
    </row>
    <row r="112" spans="2:16">
      <c r="B112" s="752"/>
      <c r="C112" s="75"/>
      <c r="D112" s="75"/>
      <c r="E112" s="75"/>
      <c r="F112" s="75"/>
      <c r="G112" s="75"/>
      <c r="H112" s="75"/>
      <c r="I112" s="75"/>
      <c r="J112" s="75"/>
      <c r="K112" s="75"/>
      <c r="L112" s="75"/>
      <c r="M112" s="75"/>
      <c r="N112" s="75"/>
      <c r="O112" s="75"/>
      <c r="P112" s="753"/>
    </row>
    <row r="113" spans="2:16">
      <c r="B113" s="752"/>
      <c r="C113" s="75"/>
      <c r="D113" s="75"/>
      <c r="E113" s="75"/>
      <c r="F113" s="75"/>
      <c r="G113" s="75"/>
      <c r="H113" s="75"/>
      <c r="I113" s="75"/>
      <c r="J113" s="75"/>
      <c r="K113" s="75"/>
      <c r="L113" s="75"/>
      <c r="M113" s="75"/>
      <c r="N113" s="75"/>
      <c r="O113" s="75"/>
      <c r="P113" s="753"/>
    </row>
    <row r="114" spans="2:16">
      <c r="B114" s="752"/>
      <c r="C114" s="75"/>
      <c r="D114" s="75"/>
      <c r="E114" s="75"/>
      <c r="F114" s="75"/>
      <c r="G114" s="75"/>
      <c r="H114" s="75"/>
      <c r="I114" s="75"/>
      <c r="J114" s="75"/>
      <c r="K114" s="75"/>
      <c r="L114" s="75"/>
      <c r="M114" s="75"/>
      <c r="N114" s="75"/>
      <c r="O114" s="75"/>
      <c r="P114" s="753"/>
    </row>
    <row r="115" spans="2:16">
      <c r="B115" s="752"/>
      <c r="C115" s="75"/>
      <c r="D115" s="75"/>
      <c r="E115" s="75"/>
      <c r="F115" s="75"/>
      <c r="G115" s="75"/>
      <c r="H115" s="75"/>
      <c r="I115" s="75"/>
      <c r="J115" s="75"/>
      <c r="K115" s="75"/>
      <c r="L115" s="75"/>
      <c r="M115" s="75"/>
      <c r="N115" s="75"/>
      <c r="O115" s="75"/>
      <c r="P115" s="753"/>
    </row>
    <row r="116" spans="2:16">
      <c r="B116" s="752"/>
      <c r="C116" s="75"/>
      <c r="D116" s="75"/>
      <c r="E116" s="75"/>
      <c r="F116" s="75"/>
      <c r="G116" s="75"/>
      <c r="H116" s="75"/>
      <c r="I116" s="75"/>
      <c r="J116" s="75"/>
      <c r="K116" s="75"/>
      <c r="L116" s="75"/>
      <c r="M116" s="75"/>
      <c r="N116" s="75"/>
      <c r="O116" s="75"/>
      <c r="P116" s="753"/>
    </row>
    <row r="117" spans="2:16">
      <c r="B117" s="752"/>
      <c r="C117" s="75"/>
      <c r="D117" s="75"/>
      <c r="E117" s="75"/>
      <c r="F117" s="75"/>
      <c r="G117" s="75"/>
      <c r="H117" s="75"/>
      <c r="I117" s="75"/>
      <c r="J117" s="75"/>
      <c r="K117" s="75"/>
      <c r="L117" s="75"/>
      <c r="M117" s="75"/>
      <c r="N117" s="75"/>
      <c r="O117" s="75"/>
      <c r="P117" s="753"/>
    </row>
    <row r="118" spans="2:16">
      <c r="B118" s="752"/>
      <c r="C118" s="75"/>
      <c r="D118" s="75"/>
      <c r="E118" s="75"/>
      <c r="F118" s="75"/>
      <c r="G118" s="75"/>
      <c r="H118" s="75"/>
      <c r="I118" s="75"/>
      <c r="J118" s="75"/>
      <c r="K118" s="75"/>
      <c r="L118" s="75"/>
      <c r="M118" s="75"/>
      <c r="N118" s="75"/>
      <c r="O118" s="75"/>
      <c r="P118" s="753"/>
    </row>
    <row r="119" spans="2:16">
      <c r="B119" s="752"/>
      <c r="C119" s="75"/>
      <c r="D119" s="75"/>
      <c r="E119" s="75"/>
      <c r="F119" s="75"/>
      <c r="G119" s="75"/>
      <c r="H119" s="75"/>
      <c r="I119" s="75"/>
      <c r="J119" s="75"/>
      <c r="K119" s="75"/>
      <c r="L119" s="75"/>
      <c r="M119" s="75"/>
      <c r="N119" s="75"/>
      <c r="O119" s="75"/>
      <c r="P119" s="753"/>
    </row>
    <row r="120" spans="2:16">
      <c r="B120" s="752"/>
      <c r="C120" s="75"/>
      <c r="D120" s="75"/>
      <c r="E120" s="75"/>
      <c r="F120" s="75"/>
      <c r="G120" s="75"/>
      <c r="H120" s="75"/>
      <c r="I120" s="75"/>
      <c r="J120" s="75"/>
      <c r="K120" s="75"/>
      <c r="L120" s="75"/>
      <c r="M120" s="75"/>
      <c r="N120" s="75"/>
      <c r="O120" s="75"/>
      <c r="P120" s="753"/>
    </row>
    <row r="121" spans="2:16">
      <c r="B121" s="752"/>
      <c r="C121" s="75"/>
      <c r="D121" s="75"/>
      <c r="E121" s="75"/>
      <c r="F121" s="75"/>
      <c r="G121" s="75"/>
      <c r="H121" s="75"/>
      <c r="I121" s="75"/>
      <c r="J121" s="75"/>
      <c r="K121" s="75"/>
      <c r="L121" s="75"/>
      <c r="M121" s="75"/>
      <c r="N121" s="75"/>
      <c r="O121" s="75"/>
      <c r="P121" s="753"/>
    </row>
    <row r="122" spans="2:16">
      <c r="B122" s="752"/>
      <c r="C122" s="75"/>
      <c r="D122" s="75"/>
      <c r="E122" s="75"/>
      <c r="F122" s="75"/>
      <c r="G122" s="75"/>
      <c r="H122" s="75"/>
      <c r="I122" s="75"/>
      <c r="J122" s="75"/>
      <c r="K122" s="75"/>
      <c r="L122" s="75"/>
      <c r="M122" s="75"/>
      <c r="N122" s="75"/>
      <c r="O122" s="75"/>
      <c r="P122" s="753"/>
    </row>
    <row r="123" spans="2:16">
      <c r="B123" s="752"/>
      <c r="C123" s="75"/>
      <c r="D123" s="75"/>
      <c r="E123" s="75"/>
      <c r="F123" s="75"/>
      <c r="G123" s="75"/>
      <c r="H123" s="75"/>
      <c r="I123" s="75"/>
      <c r="J123" s="75"/>
      <c r="K123" s="75"/>
      <c r="L123" s="75"/>
      <c r="M123" s="75"/>
      <c r="N123" s="75"/>
      <c r="O123" s="75"/>
      <c r="P123" s="753"/>
    </row>
    <row r="124" spans="2:16">
      <c r="B124" s="752"/>
      <c r="C124" s="75"/>
      <c r="D124" s="75"/>
      <c r="E124" s="75"/>
      <c r="F124" s="75"/>
      <c r="G124" s="75"/>
      <c r="H124" s="75"/>
      <c r="I124" s="75"/>
      <c r="J124" s="75"/>
      <c r="K124" s="75"/>
      <c r="L124" s="75"/>
      <c r="M124" s="75"/>
      <c r="N124" s="75"/>
      <c r="O124" s="75"/>
      <c r="P124" s="753"/>
    </row>
    <row r="125" spans="2:16">
      <c r="B125" s="752"/>
      <c r="C125" s="75"/>
      <c r="D125" s="75"/>
      <c r="E125" s="75"/>
      <c r="F125" s="75"/>
      <c r="G125" s="75"/>
      <c r="H125" s="75"/>
      <c r="I125" s="75"/>
      <c r="J125" s="75"/>
      <c r="K125" s="75"/>
      <c r="L125" s="75"/>
      <c r="M125" s="75"/>
      <c r="N125" s="75"/>
      <c r="O125" s="75"/>
      <c r="P125" s="753"/>
    </row>
    <row r="126" spans="2:16">
      <c r="B126" s="752"/>
      <c r="C126" s="75"/>
      <c r="D126" s="75"/>
      <c r="E126" s="75"/>
      <c r="F126" s="75"/>
      <c r="G126" s="75"/>
      <c r="H126" s="75"/>
      <c r="I126" s="75"/>
      <c r="J126" s="75"/>
      <c r="K126" s="75"/>
      <c r="L126" s="75"/>
      <c r="M126" s="75"/>
      <c r="N126" s="75"/>
      <c r="O126" s="75"/>
      <c r="P126" s="753"/>
    </row>
    <row r="127" spans="2:16">
      <c r="B127" s="752"/>
      <c r="C127" s="75"/>
      <c r="D127" s="75"/>
      <c r="E127" s="75"/>
      <c r="F127" s="75"/>
      <c r="G127" s="75"/>
      <c r="H127" s="75"/>
      <c r="I127" s="75"/>
      <c r="J127" s="75"/>
      <c r="K127" s="75"/>
      <c r="L127" s="75"/>
      <c r="M127" s="75"/>
      <c r="N127" s="75"/>
      <c r="O127" s="75"/>
      <c r="P127" s="753"/>
    </row>
    <row r="128" spans="2:16">
      <c r="B128" s="752"/>
      <c r="C128" s="75"/>
      <c r="D128" s="75"/>
      <c r="E128" s="75"/>
      <c r="F128" s="75"/>
      <c r="G128" s="75"/>
      <c r="H128" s="75"/>
      <c r="I128" s="75"/>
      <c r="J128" s="75"/>
      <c r="K128" s="75"/>
      <c r="L128" s="75"/>
      <c r="M128" s="75"/>
      <c r="N128" s="75"/>
      <c r="O128" s="75"/>
      <c r="P128" s="753"/>
    </row>
    <row r="129" spans="2:16">
      <c r="B129" s="752"/>
      <c r="C129" s="75"/>
      <c r="D129" s="75"/>
      <c r="E129" s="75"/>
      <c r="F129" s="75"/>
      <c r="G129" s="75"/>
      <c r="H129" s="75"/>
      <c r="I129" s="75"/>
      <c r="J129" s="75"/>
      <c r="K129" s="75"/>
      <c r="L129" s="75"/>
      <c r="M129" s="75"/>
      <c r="N129" s="75"/>
      <c r="O129" s="75"/>
      <c r="P129" s="753"/>
    </row>
    <row r="130" spans="2:16">
      <c r="B130" s="752"/>
      <c r="C130" s="75"/>
      <c r="D130" s="75"/>
      <c r="E130" s="75"/>
      <c r="F130" s="75"/>
      <c r="G130" s="75"/>
      <c r="H130" s="75"/>
      <c r="I130" s="75"/>
      <c r="J130" s="75"/>
      <c r="K130" s="75"/>
      <c r="L130" s="75"/>
      <c r="M130" s="75"/>
      <c r="N130" s="75"/>
      <c r="O130" s="75"/>
      <c r="P130" s="753"/>
    </row>
    <row r="131" spans="2:16">
      <c r="B131" s="752"/>
      <c r="C131" s="75"/>
      <c r="D131" s="75"/>
      <c r="E131" s="75"/>
      <c r="F131" s="75"/>
      <c r="G131" s="75"/>
      <c r="H131" s="75"/>
      <c r="I131" s="75"/>
      <c r="J131" s="75"/>
      <c r="K131" s="75"/>
      <c r="L131" s="75"/>
      <c r="M131" s="75"/>
      <c r="N131" s="75"/>
      <c r="O131" s="75"/>
      <c r="P131" s="753"/>
    </row>
    <row r="132" spans="2:16">
      <c r="B132" s="752"/>
      <c r="C132" s="75"/>
      <c r="D132" s="75"/>
      <c r="E132" s="75"/>
      <c r="F132" s="75"/>
      <c r="G132" s="75"/>
      <c r="H132" s="75"/>
      <c r="I132" s="75"/>
      <c r="J132" s="75"/>
      <c r="K132" s="75"/>
      <c r="L132" s="75"/>
      <c r="M132" s="75"/>
      <c r="N132" s="75"/>
      <c r="O132" s="75"/>
      <c r="P132" s="753"/>
    </row>
    <row r="133" spans="2:16">
      <c r="B133" s="752"/>
      <c r="C133" s="75"/>
      <c r="D133" s="75"/>
      <c r="E133" s="75"/>
      <c r="F133" s="75"/>
      <c r="G133" s="75"/>
      <c r="H133" s="75"/>
      <c r="I133" s="75"/>
      <c r="J133" s="75"/>
      <c r="K133" s="75"/>
      <c r="L133" s="75"/>
      <c r="M133" s="75"/>
      <c r="N133" s="75"/>
      <c r="O133" s="75"/>
      <c r="P133" s="753"/>
    </row>
    <row r="134" spans="2:16">
      <c r="B134" s="752"/>
      <c r="C134" s="75"/>
      <c r="D134" s="75"/>
      <c r="E134" s="75"/>
      <c r="F134" s="75"/>
      <c r="G134" s="75"/>
      <c r="H134" s="75"/>
      <c r="I134" s="75"/>
      <c r="J134" s="75"/>
      <c r="K134" s="75"/>
      <c r="L134" s="75"/>
      <c r="M134" s="75"/>
      <c r="N134" s="75"/>
      <c r="O134" s="75"/>
      <c r="P134" s="753"/>
    </row>
    <row r="135" spans="2:16">
      <c r="B135" s="752"/>
      <c r="C135" s="75"/>
      <c r="D135" s="75"/>
      <c r="E135" s="75"/>
      <c r="F135" s="75"/>
      <c r="G135" s="75"/>
      <c r="H135" s="75"/>
      <c r="I135" s="75"/>
      <c r="J135" s="75"/>
      <c r="K135" s="75"/>
      <c r="L135" s="75"/>
      <c r="M135" s="75"/>
      <c r="N135" s="75"/>
      <c r="O135" s="75"/>
      <c r="P135" s="753"/>
    </row>
    <row r="136" spans="2:16">
      <c r="B136" s="752"/>
      <c r="C136" s="75"/>
      <c r="D136" s="75"/>
      <c r="E136" s="75"/>
      <c r="F136" s="75"/>
      <c r="G136" s="75"/>
      <c r="H136" s="75"/>
      <c r="I136" s="75"/>
      <c r="J136" s="75"/>
      <c r="K136" s="75"/>
      <c r="L136" s="75"/>
      <c r="M136" s="75"/>
      <c r="N136" s="75"/>
      <c r="O136" s="75"/>
      <c r="P136" s="753"/>
    </row>
    <row r="137" spans="2:16">
      <c r="B137" s="752"/>
      <c r="C137" s="75"/>
      <c r="D137" s="75"/>
      <c r="E137" s="75"/>
      <c r="F137" s="75"/>
      <c r="G137" s="75"/>
      <c r="H137" s="75"/>
      <c r="I137" s="75"/>
      <c r="J137" s="75"/>
      <c r="K137" s="75"/>
      <c r="L137" s="75"/>
      <c r="M137" s="75"/>
      <c r="N137" s="75"/>
      <c r="O137" s="75"/>
      <c r="P137" s="753"/>
    </row>
    <row r="138" spans="2:16">
      <c r="B138" s="752"/>
      <c r="C138" s="75"/>
      <c r="D138" s="75"/>
      <c r="E138" s="75"/>
      <c r="F138" s="75"/>
      <c r="G138" s="75"/>
      <c r="H138" s="75"/>
      <c r="I138" s="75"/>
      <c r="J138" s="75"/>
      <c r="K138" s="75"/>
      <c r="L138" s="75"/>
      <c r="M138" s="75"/>
      <c r="N138" s="75"/>
      <c r="O138" s="75"/>
      <c r="P138" s="753"/>
    </row>
    <row r="139" spans="2:16">
      <c r="B139" s="752"/>
      <c r="C139" s="75"/>
      <c r="D139" s="75"/>
      <c r="E139" s="75"/>
      <c r="F139" s="75"/>
      <c r="G139" s="75"/>
      <c r="H139" s="75"/>
      <c r="I139" s="75"/>
      <c r="J139" s="75"/>
      <c r="K139" s="75"/>
      <c r="L139" s="75"/>
      <c r="M139" s="75"/>
      <c r="N139" s="75"/>
      <c r="O139" s="75"/>
      <c r="P139" s="753"/>
    </row>
    <row r="140" spans="2:16">
      <c r="B140" s="752"/>
      <c r="C140" s="75"/>
      <c r="D140" s="75"/>
      <c r="E140" s="75"/>
      <c r="F140" s="75"/>
      <c r="G140" s="75"/>
      <c r="H140" s="75"/>
      <c r="I140" s="75"/>
      <c r="J140" s="75"/>
      <c r="K140" s="75"/>
      <c r="L140" s="75"/>
      <c r="M140" s="75"/>
      <c r="N140" s="75"/>
      <c r="O140" s="75"/>
      <c r="P140" s="753"/>
    </row>
    <row r="141" spans="2:16">
      <c r="B141" s="752"/>
      <c r="C141" s="75"/>
      <c r="D141" s="75"/>
      <c r="E141" s="75"/>
      <c r="F141" s="75"/>
      <c r="G141" s="75"/>
      <c r="H141" s="75"/>
      <c r="I141" s="75"/>
      <c r="J141" s="75"/>
      <c r="K141" s="75"/>
      <c r="L141" s="75"/>
      <c r="M141" s="75"/>
      <c r="N141" s="75"/>
      <c r="O141" s="75"/>
      <c r="P141" s="753"/>
    </row>
    <row r="142" spans="2:16">
      <c r="B142" s="752"/>
      <c r="C142" s="75"/>
      <c r="D142" s="75"/>
      <c r="E142" s="75"/>
      <c r="F142" s="75"/>
      <c r="G142" s="75"/>
      <c r="H142" s="75"/>
      <c r="I142" s="75"/>
      <c r="J142" s="75"/>
      <c r="K142" s="75"/>
      <c r="L142" s="75"/>
      <c r="M142" s="75"/>
      <c r="N142" s="75"/>
      <c r="O142" s="75"/>
      <c r="P142" s="753"/>
    </row>
    <row r="143" spans="2:16">
      <c r="B143" s="752"/>
      <c r="C143" s="75"/>
      <c r="D143" s="75"/>
      <c r="E143" s="75"/>
      <c r="F143" s="75"/>
      <c r="G143" s="75"/>
      <c r="H143" s="75"/>
      <c r="I143" s="75"/>
      <c r="J143" s="75"/>
      <c r="K143" s="75"/>
      <c r="L143" s="75"/>
      <c r="M143" s="75"/>
      <c r="N143" s="75"/>
      <c r="O143" s="75"/>
      <c r="P143" s="753"/>
    </row>
    <row r="144" spans="2:16">
      <c r="B144" s="752"/>
      <c r="C144" s="75"/>
      <c r="D144" s="75"/>
      <c r="E144" s="75"/>
      <c r="F144" s="75"/>
      <c r="G144" s="75"/>
      <c r="H144" s="75"/>
      <c r="I144" s="75"/>
      <c r="J144" s="75"/>
      <c r="K144" s="75"/>
      <c r="L144" s="75"/>
      <c r="M144" s="75"/>
      <c r="N144" s="75"/>
      <c r="O144" s="75"/>
      <c r="P144" s="753"/>
    </row>
    <row r="145" spans="2:16">
      <c r="B145" s="752"/>
      <c r="C145" s="75"/>
      <c r="D145" s="75"/>
      <c r="E145" s="75"/>
      <c r="F145" s="75"/>
      <c r="G145" s="75"/>
      <c r="H145" s="75"/>
      <c r="I145" s="75"/>
      <c r="J145" s="75"/>
      <c r="K145" s="75"/>
      <c r="L145" s="75"/>
      <c r="M145" s="75"/>
      <c r="N145" s="75"/>
      <c r="O145" s="75"/>
      <c r="P145" s="753"/>
    </row>
    <row r="146" spans="2:16">
      <c r="B146" s="752"/>
      <c r="C146" s="75"/>
      <c r="D146" s="75"/>
      <c r="E146" s="75"/>
      <c r="F146" s="75"/>
      <c r="G146" s="75"/>
      <c r="H146" s="75"/>
      <c r="I146" s="75"/>
      <c r="J146" s="75"/>
      <c r="K146" s="75"/>
      <c r="L146" s="75"/>
      <c r="M146" s="75"/>
      <c r="N146" s="75"/>
      <c r="O146" s="75"/>
      <c r="P146" s="753"/>
    </row>
    <row r="147" spans="2:16" ht="15.75" thickBot="1">
      <c r="B147" s="752"/>
      <c r="C147" s="75"/>
      <c r="D147" s="75"/>
      <c r="E147" s="75"/>
      <c r="F147" s="75"/>
      <c r="G147" s="75"/>
      <c r="H147" s="75"/>
      <c r="I147" s="75"/>
      <c r="J147" s="75"/>
      <c r="K147" s="75"/>
      <c r="L147" s="75"/>
      <c r="M147" s="75"/>
      <c r="N147" s="75"/>
      <c r="O147" s="75"/>
      <c r="P147" s="753"/>
    </row>
    <row r="148" spans="2:16">
      <c r="B148" s="749"/>
      <c r="C148" s="750"/>
      <c r="D148" s="750"/>
      <c r="E148" s="750"/>
      <c r="F148" s="750"/>
      <c r="G148" s="750"/>
      <c r="H148" s="750"/>
      <c r="I148" s="750"/>
      <c r="J148" s="750"/>
      <c r="K148" s="750"/>
      <c r="L148" s="750"/>
      <c r="M148" s="750"/>
      <c r="N148" s="750"/>
      <c r="O148" s="750"/>
      <c r="P148" s="751"/>
    </row>
    <row r="149" spans="2:16">
      <c r="B149" s="752"/>
      <c r="C149" s="75"/>
      <c r="D149" s="75"/>
      <c r="E149" s="75"/>
      <c r="F149" s="75"/>
      <c r="G149" s="75"/>
      <c r="H149" s="75"/>
      <c r="I149" s="75"/>
      <c r="J149" s="75"/>
      <c r="K149" s="75"/>
      <c r="L149" s="75"/>
      <c r="M149" s="75"/>
      <c r="N149" s="75"/>
      <c r="O149" s="75"/>
      <c r="P149" s="753"/>
    </row>
    <row r="150" spans="2:16">
      <c r="B150" s="752"/>
      <c r="C150" s="75"/>
      <c r="D150" s="75"/>
      <c r="E150" s="75"/>
      <c r="F150" s="75"/>
      <c r="G150" s="75"/>
      <c r="H150" s="75"/>
      <c r="I150" s="75"/>
      <c r="J150" s="75"/>
      <c r="K150" s="75"/>
      <c r="L150" s="75"/>
      <c r="M150" s="75"/>
      <c r="N150" s="75"/>
      <c r="O150" s="75"/>
      <c r="P150" s="753"/>
    </row>
    <row r="151" spans="2:16">
      <c r="B151" s="803" t="s">
        <v>677</v>
      </c>
      <c r="C151" s="376"/>
      <c r="D151" s="376"/>
      <c r="E151" s="376"/>
      <c r="F151" s="376"/>
      <c r="G151" s="376"/>
      <c r="H151" s="376"/>
      <c r="I151" s="376"/>
      <c r="J151" s="376"/>
      <c r="K151" s="376"/>
      <c r="L151" s="376"/>
      <c r="M151" s="376"/>
      <c r="N151" s="75"/>
      <c r="O151" s="75"/>
      <c r="P151" s="753"/>
    </row>
    <row r="152" spans="2:16">
      <c r="B152" s="803"/>
      <c r="C152" s="376"/>
      <c r="D152" s="376"/>
      <c r="E152" s="376"/>
      <c r="F152" s="376"/>
      <c r="G152" s="376"/>
      <c r="H152" s="376"/>
      <c r="I152" s="376"/>
      <c r="J152" s="376"/>
      <c r="K152" s="376"/>
      <c r="L152" s="376"/>
      <c r="M152" s="376"/>
      <c r="N152" s="75"/>
      <c r="O152" s="75"/>
      <c r="P152" s="753"/>
    </row>
    <row r="153" spans="2:16">
      <c r="B153" s="803" t="s">
        <v>627</v>
      </c>
      <c r="C153" s="376"/>
      <c r="D153" s="376"/>
      <c r="E153" s="376"/>
      <c r="F153" s="376"/>
      <c r="G153" s="376"/>
      <c r="H153" s="376"/>
      <c r="I153" s="75"/>
      <c r="J153" s="376" t="s">
        <v>628</v>
      </c>
      <c r="K153" s="376"/>
      <c r="L153" s="376"/>
      <c r="M153" s="376"/>
      <c r="N153" s="75"/>
      <c r="O153" s="75"/>
      <c r="P153" s="753"/>
    </row>
    <row r="154" spans="2:16">
      <c r="B154" s="752"/>
      <c r="C154" s="75"/>
      <c r="D154" s="75"/>
      <c r="E154" s="75"/>
      <c r="F154" s="75"/>
      <c r="G154" s="75"/>
      <c r="H154" s="75"/>
      <c r="I154" s="75"/>
      <c r="J154" s="75"/>
      <c r="K154" s="75"/>
      <c r="L154" s="75"/>
      <c r="M154" s="75"/>
      <c r="N154" s="75"/>
      <c r="O154" s="75"/>
      <c r="P154" s="753"/>
    </row>
    <row r="155" spans="2:16">
      <c r="B155" s="752"/>
      <c r="C155" s="75"/>
      <c r="D155" s="75"/>
      <c r="E155" s="75"/>
      <c r="F155" s="75"/>
      <c r="G155" s="75"/>
      <c r="H155" s="75"/>
      <c r="I155" s="75"/>
      <c r="J155" s="75"/>
      <c r="K155" s="75"/>
      <c r="L155" s="75"/>
      <c r="M155" s="75"/>
      <c r="N155" s="75"/>
      <c r="O155" s="75"/>
      <c r="P155" s="753"/>
    </row>
    <row r="156" spans="2:16">
      <c r="B156" s="752"/>
      <c r="C156" s="75"/>
      <c r="D156" s="75"/>
      <c r="E156" s="75"/>
      <c r="F156" s="75"/>
      <c r="G156" s="75"/>
      <c r="H156" s="75"/>
      <c r="I156" s="75"/>
      <c r="J156" s="75"/>
      <c r="K156" s="75"/>
      <c r="L156" s="75"/>
      <c r="M156" s="75"/>
      <c r="N156" s="75"/>
      <c r="O156" s="75"/>
      <c r="P156" s="753"/>
    </row>
    <row r="157" spans="2:16">
      <c r="B157" s="752"/>
      <c r="C157" s="75"/>
      <c r="D157" s="75"/>
      <c r="E157" s="75"/>
      <c r="F157" s="75"/>
      <c r="G157" s="75"/>
      <c r="H157" s="75"/>
      <c r="I157" s="75"/>
      <c r="J157" s="75"/>
      <c r="K157" s="75"/>
      <c r="L157" s="75"/>
      <c r="M157" s="75"/>
      <c r="N157" s="75"/>
      <c r="O157" s="75"/>
      <c r="P157" s="753"/>
    </row>
    <row r="158" spans="2:16">
      <c r="B158" s="752"/>
      <c r="C158" s="75"/>
      <c r="D158" s="75"/>
      <c r="E158" s="75"/>
      <c r="F158" s="75"/>
      <c r="G158" s="75"/>
      <c r="H158" s="75"/>
      <c r="I158" s="75"/>
      <c r="J158" s="75"/>
      <c r="K158" s="75"/>
      <c r="L158" s="75"/>
      <c r="M158" s="75"/>
      <c r="N158" s="75"/>
      <c r="O158" s="75"/>
      <c r="P158" s="753"/>
    </row>
    <row r="159" spans="2:16">
      <c r="B159" s="752"/>
      <c r="C159" s="75"/>
      <c r="D159" s="75"/>
      <c r="E159" s="75"/>
      <c r="F159" s="75"/>
      <c r="G159" s="75"/>
      <c r="H159" s="75"/>
      <c r="I159" s="75"/>
      <c r="J159" s="75"/>
      <c r="K159" s="75"/>
      <c r="L159" s="75"/>
      <c r="M159" s="75"/>
      <c r="N159" s="75"/>
      <c r="O159" s="75"/>
      <c r="P159" s="753"/>
    </row>
    <row r="160" spans="2:16">
      <c r="B160" s="752"/>
      <c r="C160" s="75"/>
      <c r="D160" s="75"/>
      <c r="E160" s="75"/>
      <c r="F160" s="75"/>
      <c r="G160" s="75"/>
      <c r="H160" s="75"/>
      <c r="I160" s="75"/>
      <c r="J160" s="75"/>
      <c r="K160" s="75"/>
      <c r="L160" s="75"/>
      <c r="M160" s="75"/>
      <c r="N160" s="75"/>
      <c r="O160" s="75"/>
      <c r="P160" s="753"/>
    </row>
    <row r="161" spans="2:16">
      <c r="B161" s="752"/>
      <c r="C161" s="75"/>
      <c r="D161" s="75"/>
      <c r="E161" s="75"/>
      <c r="F161" s="75"/>
      <c r="G161" s="75"/>
      <c r="H161" s="75"/>
      <c r="I161" s="75"/>
      <c r="J161" s="75"/>
      <c r="K161" s="75"/>
      <c r="L161" s="75"/>
      <c r="M161" s="75"/>
      <c r="N161" s="75"/>
      <c r="O161" s="75"/>
      <c r="P161" s="753"/>
    </row>
    <row r="162" spans="2:16">
      <c r="B162" s="752"/>
      <c r="C162" s="75"/>
      <c r="D162" s="75"/>
      <c r="E162" s="75"/>
      <c r="F162" s="75"/>
      <c r="G162" s="75"/>
      <c r="H162" s="75"/>
      <c r="I162" s="75"/>
      <c r="J162" s="75"/>
      <c r="K162" s="75"/>
      <c r="L162" s="75"/>
      <c r="M162" s="75"/>
      <c r="N162" s="75"/>
      <c r="O162" s="75"/>
      <c r="P162" s="753"/>
    </row>
    <row r="163" spans="2:16">
      <c r="B163" s="752"/>
      <c r="C163" s="75"/>
      <c r="D163" s="75"/>
      <c r="E163" s="75"/>
      <c r="F163" s="75"/>
      <c r="G163" s="75"/>
      <c r="H163" s="75"/>
      <c r="I163" s="75"/>
      <c r="J163" s="75"/>
      <c r="K163" s="75"/>
      <c r="L163" s="75"/>
      <c r="M163" s="75"/>
      <c r="N163" s="75"/>
      <c r="O163" s="75"/>
      <c r="P163" s="753"/>
    </row>
    <row r="164" spans="2:16">
      <c r="B164" s="752"/>
      <c r="C164" s="75"/>
      <c r="D164" s="75"/>
      <c r="E164" s="75"/>
      <c r="F164" s="75"/>
      <c r="G164" s="75"/>
      <c r="H164" s="75"/>
      <c r="I164" s="75"/>
      <c r="J164" s="75"/>
      <c r="K164" s="75"/>
      <c r="L164" s="75"/>
      <c r="M164" s="75"/>
      <c r="N164" s="75"/>
      <c r="O164" s="75"/>
      <c r="P164" s="753"/>
    </row>
    <row r="165" spans="2:16">
      <c r="B165" s="752"/>
      <c r="C165" s="75"/>
      <c r="D165" s="75"/>
      <c r="E165" s="75"/>
      <c r="F165" s="75"/>
      <c r="G165" s="75"/>
      <c r="H165" s="75"/>
      <c r="I165" s="75"/>
      <c r="J165" s="75"/>
      <c r="K165" s="75"/>
      <c r="L165" s="75"/>
      <c r="M165" s="75"/>
      <c r="N165" s="75"/>
      <c r="O165" s="75"/>
      <c r="P165" s="753"/>
    </row>
    <row r="166" spans="2:16">
      <c r="B166" s="752"/>
      <c r="C166" s="75"/>
      <c r="D166" s="75"/>
      <c r="E166" s="75"/>
      <c r="F166" s="75"/>
      <c r="G166" s="75"/>
      <c r="H166" s="75"/>
      <c r="I166" s="75"/>
      <c r="J166" s="75"/>
      <c r="K166" s="75"/>
      <c r="L166" s="75"/>
      <c r="M166" s="75"/>
      <c r="N166" s="75"/>
      <c r="O166" s="75"/>
      <c r="P166" s="753"/>
    </row>
    <row r="167" spans="2:16">
      <c r="B167" s="752"/>
      <c r="C167" s="75"/>
      <c r="D167" s="75"/>
      <c r="E167" s="75"/>
      <c r="F167" s="75"/>
      <c r="G167" s="75"/>
      <c r="H167" s="75"/>
      <c r="I167" s="75"/>
      <c r="J167" s="75"/>
      <c r="K167" s="75"/>
      <c r="L167" s="75"/>
      <c r="M167" s="75"/>
      <c r="N167" s="75"/>
      <c r="O167" s="75"/>
      <c r="P167" s="753"/>
    </row>
    <row r="168" spans="2:16">
      <c r="B168" s="752"/>
      <c r="C168" s="75"/>
      <c r="D168" s="75"/>
      <c r="E168" s="75"/>
      <c r="F168" s="75"/>
      <c r="G168" s="75"/>
      <c r="H168" s="75"/>
      <c r="I168" s="75"/>
      <c r="J168" s="75"/>
      <c r="K168" s="75"/>
      <c r="L168" s="75"/>
      <c r="M168" s="75"/>
      <c r="N168" s="75"/>
      <c r="O168" s="75"/>
      <c r="P168" s="753"/>
    </row>
    <row r="169" spans="2:16">
      <c r="B169" s="752"/>
      <c r="C169" s="75"/>
      <c r="D169" s="75"/>
      <c r="E169" s="75"/>
      <c r="F169" s="75"/>
      <c r="G169" s="75"/>
      <c r="H169" s="75"/>
      <c r="I169" s="75"/>
      <c r="J169" s="75"/>
      <c r="K169" s="75"/>
      <c r="L169" s="75"/>
      <c r="M169" s="75"/>
      <c r="N169" s="75"/>
      <c r="O169" s="75"/>
      <c r="P169" s="753"/>
    </row>
    <row r="170" spans="2:16">
      <c r="B170" s="752"/>
      <c r="C170" s="75"/>
      <c r="D170" s="75"/>
      <c r="E170" s="75"/>
      <c r="F170" s="75"/>
      <c r="G170" s="75"/>
      <c r="H170" s="75"/>
      <c r="I170" s="75"/>
      <c r="J170" s="75"/>
      <c r="K170" s="75"/>
      <c r="L170" s="75"/>
      <c r="M170" s="75"/>
      <c r="N170" s="75"/>
      <c r="O170" s="75"/>
      <c r="P170" s="753"/>
    </row>
    <row r="171" spans="2:16">
      <c r="B171" s="752"/>
      <c r="C171" s="75"/>
      <c r="D171" s="75"/>
      <c r="E171" s="75"/>
      <c r="F171" s="75"/>
      <c r="G171" s="75"/>
      <c r="H171" s="75"/>
      <c r="I171" s="75"/>
      <c r="J171" s="75"/>
      <c r="K171" s="75"/>
      <c r="L171" s="75"/>
      <c r="M171" s="75"/>
      <c r="N171" s="75"/>
      <c r="O171" s="75"/>
      <c r="P171" s="753"/>
    </row>
    <row r="172" spans="2:16">
      <c r="B172" s="752"/>
      <c r="C172" s="75"/>
      <c r="D172" s="75"/>
      <c r="E172" s="75"/>
      <c r="F172" s="75"/>
      <c r="G172" s="75"/>
      <c r="H172" s="75"/>
      <c r="I172" s="75"/>
      <c r="J172" s="75"/>
      <c r="K172" s="75"/>
      <c r="L172" s="75"/>
      <c r="M172" s="75"/>
      <c r="N172" s="75"/>
      <c r="O172" s="75"/>
      <c r="P172" s="753"/>
    </row>
    <row r="173" spans="2:16">
      <c r="B173" s="752"/>
      <c r="C173" s="75"/>
      <c r="D173" s="75"/>
      <c r="E173" s="75"/>
      <c r="F173" s="75"/>
      <c r="G173" s="75"/>
      <c r="H173" s="75"/>
      <c r="I173" s="75"/>
      <c r="J173" s="75"/>
      <c r="K173" s="75"/>
      <c r="L173" s="75"/>
      <c r="M173" s="75"/>
      <c r="N173" s="75"/>
      <c r="O173" s="75"/>
      <c r="P173" s="753"/>
    </row>
    <row r="174" spans="2:16">
      <c r="B174" s="752"/>
      <c r="C174" s="75"/>
      <c r="D174" s="75"/>
      <c r="E174" s="75"/>
      <c r="F174" s="75"/>
      <c r="G174" s="75"/>
      <c r="H174" s="75"/>
      <c r="I174" s="75"/>
      <c r="J174" s="75"/>
      <c r="K174" s="75"/>
      <c r="L174" s="75"/>
      <c r="M174" s="75"/>
      <c r="N174" s="75"/>
      <c r="O174" s="75"/>
      <c r="P174" s="753"/>
    </row>
    <row r="175" spans="2:16">
      <c r="B175" s="752"/>
      <c r="C175" s="75"/>
      <c r="D175" s="75"/>
      <c r="E175" s="75"/>
      <c r="F175" s="75"/>
      <c r="G175" s="75"/>
      <c r="H175" s="75"/>
      <c r="I175" s="75"/>
      <c r="J175" s="75"/>
      <c r="K175" s="75"/>
      <c r="L175" s="75"/>
      <c r="M175" s="75"/>
      <c r="N175" s="75"/>
      <c r="O175" s="75"/>
      <c r="P175" s="753"/>
    </row>
    <row r="176" spans="2:16">
      <c r="B176" s="752"/>
      <c r="C176" s="75"/>
      <c r="D176" s="75"/>
      <c r="E176" s="75"/>
      <c r="F176" s="75"/>
      <c r="G176" s="75"/>
      <c r="H176" s="75"/>
      <c r="I176" s="75"/>
      <c r="J176" s="75"/>
      <c r="K176" s="75"/>
      <c r="L176" s="75"/>
      <c r="M176" s="75"/>
      <c r="N176" s="75"/>
      <c r="O176" s="75"/>
      <c r="P176" s="753"/>
    </row>
    <row r="177" spans="2:16">
      <c r="B177" s="752"/>
      <c r="C177" s="75"/>
      <c r="D177" s="75"/>
      <c r="E177" s="75"/>
      <c r="F177" s="75"/>
      <c r="G177" s="75"/>
      <c r="H177" s="75"/>
      <c r="I177" s="75"/>
      <c r="J177" s="75"/>
      <c r="K177" s="75"/>
      <c r="L177" s="75"/>
      <c r="M177" s="75"/>
      <c r="N177" s="75"/>
      <c r="O177" s="75"/>
      <c r="P177" s="753"/>
    </row>
    <row r="178" spans="2:16">
      <c r="B178" s="752"/>
      <c r="C178" s="75"/>
      <c r="D178" s="75"/>
      <c r="E178" s="75"/>
      <c r="F178" s="75"/>
      <c r="G178" s="75"/>
      <c r="H178" s="75"/>
      <c r="I178" s="75"/>
      <c r="J178" s="75"/>
      <c r="K178" s="75"/>
      <c r="L178" s="75"/>
      <c r="M178" s="75"/>
      <c r="N178" s="75"/>
      <c r="O178" s="75"/>
      <c r="P178" s="753"/>
    </row>
    <row r="179" spans="2:16">
      <c r="B179" s="752"/>
      <c r="C179" s="75"/>
      <c r="D179" s="75"/>
      <c r="E179" s="75"/>
      <c r="F179" s="75"/>
      <c r="G179" s="75"/>
      <c r="H179" s="75"/>
      <c r="I179" s="75"/>
      <c r="J179" s="75"/>
      <c r="K179" s="75"/>
      <c r="L179" s="75"/>
      <c r="M179" s="75"/>
      <c r="N179" s="75"/>
      <c r="O179" s="75"/>
      <c r="P179" s="753"/>
    </row>
    <row r="180" spans="2:16">
      <c r="B180" s="752"/>
      <c r="C180" s="75"/>
      <c r="D180" s="75"/>
      <c r="E180" s="75"/>
      <c r="F180" s="75"/>
      <c r="G180" s="75"/>
      <c r="H180" s="75"/>
      <c r="I180" s="75"/>
      <c r="J180" s="75"/>
      <c r="K180" s="75"/>
      <c r="L180" s="75"/>
      <c r="M180" s="75"/>
      <c r="N180" s="75"/>
      <c r="O180" s="75"/>
      <c r="P180" s="753"/>
    </row>
    <row r="181" spans="2:16">
      <c r="B181" s="752"/>
      <c r="C181" s="75"/>
      <c r="D181" s="75"/>
      <c r="E181" s="75"/>
      <c r="F181" s="75"/>
      <c r="G181" s="75"/>
      <c r="H181" s="75"/>
      <c r="I181" s="75"/>
      <c r="J181" s="75"/>
      <c r="K181" s="75"/>
      <c r="L181" s="75"/>
      <c r="M181" s="75"/>
      <c r="N181" s="75"/>
      <c r="O181" s="75"/>
      <c r="P181" s="753"/>
    </row>
    <row r="182" spans="2:16">
      <c r="B182" s="752"/>
      <c r="C182" s="75"/>
      <c r="D182" s="75"/>
      <c r="E182" s="75"/>
      <c r="F182" s="75"/>
      <c r="G182" s="75"/>
      <c r="H182" s="75"/>
      <c r="I182" s="75"/>
      <c r="J182" s="75"/>
      <c r="K182" s="75"/>
      <c r="L182" s="75"/>
      <c r="M182" s="75"/>
      <c r="N182" s="75"/>
      <c r="O182" s="75"/>
      <c r="P182" s="753"/>
    </row>
    <row r="183" spans="2:16">
      <c r="B183" s="752"/>
      <c r="C183" s="75"/>
      <c r="D183" s="75"/>
      <c r="E183" s="75"/>
      <c r="F183" s="75"/>
      <c r="G183" s="75"/>
      <c r="H183" s="75"/>
      <c r="I183" s="75"/>
      <c r="J183" s="75"/>
      <c r="K183" s="75"/>
      <c r="L183" s="75"/>
      <c r="M183" s="75"/>
      <c r="N183" s="75"/>
      <c r="O183" s="75"/>
      <c r="P183" s="753"/>
    </row>
    <row r="184" spans="2:16">
      <c r="B184" s="752"/>
      <c r="C184" s="75"/>
      <c r="D184" s="75"/>
      <c r="E184" s="75"/>
      <c r="F184" s="75"/>
      <c r="G184" s="75"/>
      <c r="H184" s="75"/>
      <c r="I184" s="75"/>
      <c r="J184" s="75"/>
      <c r="K184" s="75"/>
      <c r="L184" s="75"/>
      <c r="M184" s="75"/>
      <c r="N184" s="75"/>
      <c r="O184" s="75"/>
      <c r="P184" s="753"/>
    </row>
    <row r="185" spans="2:16">
      <c r="B185" s="752"/>
      <c r="C185" s="75"/>
      <c r="D185" s="75"/>
      <c r="E185" s="75"/>
      <c r="F185" s="75"/>
      <c r="G185" s="75"/>
      <c r="H185" s="75"/>
      <c r="I185" s="75"/>
      <c r="J185" s="75"/>
      <c r="K185" s="75"/>
      <c r="L185" s="75"/>
      <c r="M185" s="75"/>
      <c r="N185" s="75"/>
      <c r="O185" s="75"/>
      <c r="P185" s="753"/>
    </row>
    <row r="186" spans="2:16">
      <c r="B186" s="752"/>
      <c r="C186" s="75"/>
      <c r="D186" s="75"/>
      <c r="E186" s="75"/>
      <c r="F186" s="75"/>
      <c r="G186" s="75"/>
      <c r="H186" s="75"/>
      <c r="I186" s="75"/>
      <c r="J186" s="75"/>
      <c r="K186" s="75"/>
      <c r="L186" s="75"/>
      <c r="M186" s="75"/>
      <c r="N186" s="75"/>
      <c r="O186" s="75"/>
      <c r="P186" s="753"/>
    </row>
    <row r="187" spans="2:16">
      <c r="B187" s="752"/>
      <c r="C187" s="75"/>
      <c r="D187" s="75"/>
      <c r="E187" s="75"/>
      <c r="F187" s="75"/>
      <c r="G187" s="75"/>
      <c r="H187" s="75"/>
      <c r="I187" s="75"/>
      <c r="J187" s="75"/>
      <c r="K187" s="75"/>
      <c r="L187" s="75"/>
      <c r="M187" s="75"/>
      <c r="N187" s="75"/>
      <c r="O187" s="75"/>
      <c r="P187" s="753"/>
    </row>
    <row r="188" spans="2:16">
      <c r="B188" s="752"/>
      <c r="C188" s="75"/>
      <c r="D188" s="75"/>
      <c r="E188" s="75"/>
      <c r="F188" s="75"/>
      <c r="G188" s="75"/>
      <c r="H188" s="75"/>
      <c r="I188" s="75"/>
      <c r="J188" s="75"/>
      <c r="K188" s="75"/>
      <c r="L188" s="75"/>
      <c r="M188" s="75"/>
      <c r="N188" s="75"/>
      <c r="O188" s="75"/>
      <c r="P188" s="753"/>
    </row>
    <row r="189" spans="2:16">
      <c r="B189" s="752"/>
      <c r="C189" s="75"/>
      <c r="D189" s="75"/>
      <c r="E189" s="75"/>
      <c r="F189" s="75"/>
      <c r="G189" s="75"/>
      <c r="H189" s="75"/>
      <c r="I189" s="75"/>
      <c r="J189" s="75"/>
      <c r="K189" s="75"/>
      <c r="L189" s="75"/>
      <c r="M189" s="75"/>
      <c r="N189" s="75"/>
      <c r="O189" s="75"/>
      <c r="P189" s="753"/>
    </row>
    <row r="190" spans="2:16">
      <c r="B190" s="752"/>
      <c r="C190" s="75"/>
      <c r="D190" s="75"/>
      <c r="E190" s="75"/>
      <c r="F190" s="75"/>
      <c r="G190" s="75"/>
      <c r="H190" s="75"/>
      <c r="I190" s="75"/>
      <c r="J190" s="75"/>
      <c r="K190" s="75"/>
      <c r="L190" s="75"/>
      <c r="M190" s="75"/>
      <c r="N190" s="75"/>
      <c r="O190" s="75"/>
      <c r="P190" s="753"/>
    </row>
    <row r="191" spans="2:16">
      <c r="B191" s="803" t="s">
        <v>676</v>
      </c>
      <c r="C191" s="376"/>
      <c r="D191" s="376"/>
      <c r="E191" s="376"/>
      <c r="F191" s="376"/>
      <c r="G191" s="376"/>
      <c r="H191" s="376"/>
      <c r="I191" s="376"/>
      <c r="J191" s="376"/>
      <c r="K191" s="376"/>
      <c r="L191" s="376"/>
      <c r="M191" s="376"/>
      <c r="N191" s="75"/>
      <c r="O191" s="75"/>
      <c r="P191" s="753"/>
    </row>
    <row r="192" spans="2:16">
      <c r="B192" s="803"/>
      <c r="C192" s="376"/>
      <c r="D192" s="376"/>
      <c r="E192" s="376"/>
      <c r="F192" s="376"/>
      <c r="G192" s="376"/>
      <c r="H192" s="376"/>
      <c r="I192" s="376"/>
      <c r="J192" s="376"/>
      <c r="K192" s="376"/>
      <c r="L192" s="376"/>
      <c r="M192" s="376"/>
      <c r="N192" s="75"/>
      <c r="O192" s="75"/>
      <c r="P192" s="753"/>
    </row>
    <row r="193" spans="2:16">
      <c r="B193" s="803" t="s">
        <v>627</v>
      </c>
      <c r="C193" s="376"/>
      <c r="D193" s="376"/>
      <c r="E193" s="376"/>
      <c r="F193" s="376"/>
      <c r="G193" s="376"/>
      <c r="H193" s="376"/>
      <c r="I193" s="75"/>
      <c r="J193" s="376" t="s">
        <v>628</v>
      </c>
      <c r="K193" s="376"/>
      <c r="L193" s="376"/>
      <c r="M193" s="376"/>
      <c r="N193" s="75"/>
      <c r="O193" s="75"/>
      <c r="P193" s="753"/>
    </row>
    <row r="194" spans="2:16">
      <c r="B194" s="752"/>
      <c r="C194" s="75"/>
      <c r="D194" s="75"/>
      <c r="E194" s="75"/>
      <c r="F194" s="75"/>
      <c r="G194" s="75"/>
      <c r="H194" s="75"/>
      <c r="I194" s="75"/>
      <c r="J194" s="75"/>
      <c r="K194" s="75"/>
      <c r="L194" s="75"/>
      <c r="M194" s="75"/>
      <c r="N194" s="75"/>
      <c r="O194" s="75"/>
      <c r="P194" s="753"/>
    </row>
    <row r="195" spans="2:16">
      <c r="B195" s="752"/>
      <c r="C195" s="75"/>
      <c r="D195" s="75"/>
      <c r="E195" s="75"/>
      <c r="F195" s="75"/>
      <c r="G195" s="75"/>
      <c r="H195" s="75"/>
      <c r="I195" s="75"/>
      <c r="J195" s="75"/>
      <c r="K195" s="75"/>
      <c r="L195" s="75"/>
      <c r="M195" s="75"/>
      <c r="N195" s="75"/>
      <c r="O195" s="75"/>
      <c r="P195" s="753"/>
    </row>
    <row r="196" spans="2:16">
      <c r="B196" s="752"/>
      <c r="C196" s="75"/>
      <c r="D196" s="75"/>
      <c r="E196" s="75"/>
      <c r="F196" s="75"/>
      <c r="G196" s="75"/>
      <c r="H196" s="75"/>
      <c r="I196" s="75"/>
      <c r="J196" s="75"/>
      <c r="K196" s="75"/>
      <c r="L196" s="75"/>
      <c r="M196" s="75"/>
      <c r="N196" s="75"/>
      <c r="O196" s="75"/>
      <c r="P196" s="753"/>
    </row>
    <row r="197" spans="2:16">
      <c r="B197" s="752"/>
      <c r="C197" s="75"/>
      <c r="D197" s="75"/>
      <c r="E197" s="75"/>
      <c r="F197" s="75"/>
      <c r="G197" s="75"/>
      <c r="H197" s="75"/>
      <c r="I197" s="75"/>
      <c r="J197" s="75"/>
      <c r="K197" s="75"/>
      <c r="L197" s="75"/>
      <c r="M197" s="75"/>
      <c r="N197" s="75"/>
      <c r="O197" s="75"/>
      <c r="P197" s="753"/>
    </row>
    <row r="198" spans="2:16">
      <c r="B198" s="752"/>
      <c r="C198" s="75"/>
      <c r="D198" s="75"/>
      <c r="E198" s="75"/>
      <c r="F198" s="75"/>
      <c r="G198" s="75"/>
      <c r="H198" s="75"/>
      <c r="I198" s="75"/>
      <c r="J198" s="75"/>
      <c r="K198" s="75"/>
      <c r="L198" s="75"/>
      <c r="M198" s="75"/>
      <c r="N198" s="75"/>
      <c r="O198" s="75"/>
      <c r="P198" s="753"/>
    </row>
    <row r="199" spans="2:16">
      <c r="B199" s="752"/>
      <c r="C199" s="75"/>
      <c r="D199" s="75"/>
      <c r="E199" s="75"/>
      <c r="F199" s="75"/>
      <c r="G199" s="75"/>
      <c r="H199" s="75"/>
      <c r="I199" s="75"/>
      <c r="J199" s="75"/>
      <c r="K199" s="75"/>
      <c r="L199" s="75"/>
      <c r="M199" s="75"/>
      <c r="N199" s="75"/>
      <c r="O199" s="75"/>
      <c r="P199" s="753"/>
    </row>
    <row r="200" spans="2:16">
      <c r="B200" s="752"/>
      <c r="C200" s="75"/>
      <c r="D200" s="75"/>
      <c r="E200" s="75"/>
      <c r="F200" s="75"/>
      <c r="G200" s="75"/>
      <c r="H200" s="75"/>
      <c r="I200" s="75"/>
      <c r="J200" s="75"/>
      <c r="K200" s="75"/>
      <c r="L200" s="75"/>
      <c r="M200" s="75"/>
      <c r="N200" s="75"/>
      <c r="O200" s="75"/>
      <c r="P200" s="753"/>
    </row>
    <row r="201" spans="2:16">
      <c r="B201" s="752"/>
      <c r="C201" s="75"/>
      <c r="D201" s="75"/>
      <c r="E201" s="75"/>
      <c r="F201" s="75"/>
      <c r="G201" s="75"/>
      <c r="H201" s="75"/>
      <c r="I201" s="75"/>
      <c r="J201" s="75"/>
      <c r="K201" s="75"/>
      <c r="L201" s="75"/>
      <c r="M201" s="75"/>
      <c r="N201" s="75"/>
      <c r="O201" s="75"/>
      <c r="P201" s="753"/>
    </row>
    <row r="202" spans="2:16">
      <c r="B202" s="752"/>
      <c r="C202" s="75"/>
      <c r="D202" s="75"/>
      <c r="E202" s="75"/>
      <c r="F202" s="75"/>
      <c r="G202" s="75"/>
      <c r="H202" s="75"/>
      <c r="I202" s="75"/>
      <c r="J202" s="75"/>
      <c r="K202" s="75"/>
      <c r="L202" s="75"/>
      <c r="M202" s="75"/>
      <c r="N202" s="75"/>
      <c r="O202" s="75"/>
      <c r="P202" s="753"/>
    </row>
    <row r="203" spans="2:16">
      <c r="B203" s="752"/>
      <c r="C203" s="75"/>
      <c r="D203" s="75"/>
      <c r="E203" s="75"/>
      <c r="F203" s="75"/>
      <c r="G203" s="75"/>
      <c r="H203" s="75"/>
      <c r="I203" s="75"/>
      <c r="J203" s="75"/>
      <c r="K203" s="75"/>
      <c r="L203" s="75"/>
      <c r="M203" s="75"/>
      <c r="N203" s="75"/>
      <c r="O203" s="75"/>
      <c r="P203" s="753"/>
    </row>
    <row r="204" spans="2:16">
      <c r="B204" s="752"/>
      <c r="C204" s="75"/>
      <c r="D204" s="75"/>
      <c r="E204" s="75"/>
      <c r="F204" s="75"/>
      <c r="G204" s="75"/>
      <c r="H204" s="75"/>
      <c r="I204" s="75"/>
      <c r="J204" s="75"/>
      <c r="K204" s="75"/>
      <c r="L204" s="75"/>
      <c r="M204" s="75"/>
      <c r="N204" s="75"/>
      <c r="O204" s="75"/>
      <c r="P204" s="753"/>
    </row>
    <row r="205" spans="2:16">
      <c r="B205" s="752"/>
      <c r="C205" s="75"/>
      <c r="D205" s="75"/>
      <c r="E205" s="75"/>
      <c r="F205" s="75"/>
      <c r="G205" s="75"/>
      <c r="H205" s="75"/>
      <c r="I205" s="75"/>
      <c r="J205" s="75"/>
      <c r="K205" s="75"/>
      <c r="L205" s="75"/>
      <c r="M205" s="75"/>
      <c r="N205" s="75"/>
      <c r="O205" s="75"/>
      <c r="P205" s="753"/>
    </row>
    <row r="206" spans="2:16">
      <c r="B206" s="752"/>
      <c r="C206" s="75"/>
      <c r="D206" s="75"/>
      <c r="E206" s="75"/>
      <c r="F206" s="75"/>
      <c r="G206" s="75"/>
      <c r="H206" s="75"/>
      <c r="I206" s="75"/>
      <c r="J206" s="75"/>
      <c r="K206" s="75"/>
      <c r="L206" s="75"/>
      <c r="M206" s="75"/>
      <c r="N206" s="75"/>
      <c r="O206" s="75"/>
      <c r="P206" s="753"/>
    </row>
    <row r="207" spans="2:16">
      <c r="B207" s="752"/>
      <c r="C207" s="75"/>
      <c r="D207" s="75"/>
      <c r="E207" s="75"/>
      <c r="F207" s="75"/>
      <c r="G207" s="75"/>
      <c r="H207" s="75"/>
      <c r="I207" s="75"/>
      <c r="J207" s="75"/>
      <c r="K207" s="75"/>
      <c r="L207" s="75"/>
      <c r="M207" s="75"/>
      <c r="N207" s="75"/>
      <c r="O207" s="75"/>
      <c r="P207" s="753"/>
    </row>
    <row r="208" spans="2:16">
      <c r="B208" s="752"/>
      <c r="C208" s="75"/>
      <c r="D208" s="75"/>
      <c r="E208" s="75"/>
      <c r="F208" s="75"/>
      <c r="G208" s="75"/>
      <c r="H208" s="75"/>
      <c r="I208" s="75"/>
      <c r="J208" s="75"/>
      <c r="K208" s="75"/>
      <c r="L208" s="75"/>
      <c r="M208" s="75"/>
      <c r="N208" s="75"/>
      <c r="O208" s="75"/>
      <c r="P208" s="753"/>
    </row>
    <row r="209" spans="2:16">
      <c r="B209" s="752"/>
      <c r="C209" s="75"/>
      <c r="D209" s="75"/>
      <c r="E209" s="75"/>
      <c r="F209" s="75"/>
      <c r="G209" s="75"/>
      <c r="H209" s="75"/>
      <c r="I209" s="75"/>
      <c r="J209" s="75"/>
      <c r="K209" s="75"/>
      <c r="L209" s="75"/>
      <c r="M209" s="75"/>
      <c r="N209" s="75"/>
      <c r="O209" s="75"/>
      <c r="P209" s="753"/>
    </row>
    <row r="210" spans="2:16">
      <c r="B210" s="752"/>
      <c r="C210" s="75"/>
      <c r="D210" s="75"/>
      <c r="E210" s="75"/>
      <c r="F210" s="75"/>
      <c r="G210" s="75"/>
      <c r="H210" s="75"/>
      <c r="I210" s="75"/>
      <c r="J210" s="75"/>
      <c r="K210" s="75"/>
      <c r="L210" s="75"/>
      <c r="M210" s="75"/>
      <c r="N210" s="75"/>
      <c r="O210" s="75"/>
      <c r="P210" s="753"/>
    </row>
    <row r="211" spans="2:16" ht="15.75" thickBot="1">
      <c r="B211" s="757"/>
      <c r="C211" s="758"/>
      <c r="D211" s="758"/>
      <c r="E211" s="758"/>
      <c r="F211" s="758"/>
      <c r="G211" s="758"/>
      <c r="H211" s="758"/>
      <c r="I211" s="758"/>
      <c r="J211" s="758"/>
      <c r="K211" s="758"/>
      <c r="L211" s="758"/>
      <c r="M211" s="758"/>
      <c r="N211" s="758"/>
      <c r="O211" s="758"/>
      <c r="P211" s="759"/>
    </row>
    <row r="212" spans="2:16">
      <c r="B212" s="75"/>
      <c r="C212" s="75"/>
      <c r="D212" s="75"/>
      <c r="E212" s="75"/>
      <c r="F212" s="75"/>
      <c r="G212" s="75"/>
      <c r="H212" s="75"/>
      <c r="I212" s="75"/>
      <c r="J212" s="75"/>
      <c r="K212" s="75"/>
      <c r="L212" s="75"/>
      <c r="M212" s="75"/>
      <c r="N212" s="75"/>
      <c r="O212" s="75"/>
      <c r="P212" s="75"/>
    </row>
    <row r="213" spans="2:16">
      <c r="B213" s="75"/>
      <c r="C213" s="75"/>
      <c r="D213" s="75"/>
      <c r="E213" s="75"/>
      <c r="F213" s="75"/>
      <c r="G213" s="75"/>
      <c r="H213" s="75"/>
      <c r="I213" s="75"/>
      <c r="J213" s="75"/>
      <c r="K213" s="75"/>
      <c r="L213" s="75"/>
      <c r="M213" s="75"/>
      <c r="N213" s="75"/>
      <c r="O213" s="75"/>
      <c r="P213" s="75"/>
    </row>
    <row r="214" spans="2:16">
      <c r="B214" s="75"/>
      <c r="C214" s="75"/>
      <c r="D214" s="75"/>
      <c r="E214" s="75"/>
      <c r="F214" s="75"/>
      <c r="G214" s="75"/>
      <c r="H214" s="75"/>
      <c r="I214" s="75"/>
      <c r="J214" s="75"/>
      <c r="K214" s="75"/>
      <c r="L214" s="75"/>
      <c r="M214" s="75"/>
      <c r="N214" s="75"/>
      <c r="O214" s="75"/>
      <c r="P214" s="75"/>
    </row>
    <row r="215" spans="2:16">
      <c r="B215" s="75"/>
      <c r="C215" s="75"/>
      <c r="D215" s="75"/>
      <c r="E215" s="75"/>
      <c r="F215" s="75"/>
      <c r="G215" s="75"/>
      <c r="H215" s="75"/>
      <c r="I215" s="75"/>
      <c r="J215" s="75"/>
      <c r="K215" s="75"/>
      <c r="L215" s="75"/>
      <c r="M215" s="75"/>
      <c r="N215" s="75"/>
      <c r="O215" s="75"/>
      <c r="P215" s="75"/>
    </row>
    <row r="216" spans="2:16">
      <c r="B216" s="75"/>
      <c r="C216" s="75"/>
      <c r="D216" s="75"/>
      <c r="E216" s="75"/>
      <c r="F216" s="75"/>
      <c r="G216" s="75"/>
      <c r="H216" s="75"/>
      <c r="I216" s="75"/>
      <c r="J216" s="75"/>
      <c r="K216" s="75"/>
      <c r="L216" s="75"/>
      <c r="M216" s="75"/>
      <c r="N216" s="75"/>
      <c r="O216" s="75"/>
      <c r="P216" s="75"/>
    </row>
    <row r="217" spans="2:16">
      <c r="B217" s="75"/>
      <c r="C217" s="75"/>
      <c r="D217" s="75"/>
      <c r="E217" s="75"/>
      <c r="F217" s="75"/>
      <c r="G217" s="75"/>
      <c r="H217" s="75"/>
      <c r="I217" s="75"/>
      <c r="J217" s="75"/>
      <c r="K217" s="75"/>
      <c r="L217" s="75"/>
      <c r="M217" s="75"/>
      <c r="N217" s="75"/>
      <c r="O217" s="75"/>
      <c r="P217" s="75"/>
    </row>
    <row r="218" spans="2:16">
      <c r="B218" s="75"/>
      <c r="C218" s="75"/>
      <c r="D218" s="75"/>
      <c r="E218" s="75"/>
      <c r="F218" s="75"/>
      <c r="G218" s="75"/>
      <c r="H218" s="75"/>
      <c r="I218" s="75"/>
      <c r="J218" s="75"/>
      <c r="K218" s="75"/>
      <c r="L218" s="75"/>
      <c r="M218" s="75"/>
      <c r="N218" s="75"/>
      <c r="O218" s="75"/>
      <c r="P218" s="75"/>
    </row>
    <row r="219" spans="2:16">
      <c r="B219" s="75"/>
      <c r="C219" s="75"/>
      <c r="D219" s="75"/>
      <c r="E219" s="75"/>
      <c r="F219" s="75"/>
      <c r="G219" s="75"/>
      <c r="H219" s="75"/>
      <c r="I219" s="75"/>
      <c r="J219" s="75"/>
      <c r="K219" s="75"/>
      <c r="L219" s="75"/>
      <c r="M219" s="75"/>
      <c r="N219" s="75"/>
      <c r="O219" s="75"/>
      <c r="P219" s="75"/>
    </row>
    <row r="220" spans="2:16">
      <c r="B220" s="75"/>
      <c r="C220" s="75"/>
      <c r="D220" s="75"/>
      <c r="E220" s="75"/>
      <c r="F220" s="75"/>
      <c r="G220" s="75"/>
      <c r="H220" s="75"/>
      <c r="I220" s="75"/>
      <c r="J220" s="75"/>
      <c r="K220" s="75"/>
      <c r="L220" s="75"/>
      <c r="M220" s="75"/>
      <c r="N220" s="75"/>
      <c r="O220" s="75"/>
      <c r="P220" s="75"/>
    </row>
    <row r="221" spans="2:16">
      <c r="B221" s="75"/>
      <c r="C221" s="75"/>
      <c r="D221" s="75"/>
      <c r="E221" s="75"/>
      <c r="F221" s="75"/>
      <c r="G221" s="75"/>
      <c r="H221" s="75"/>
      <c r="I221" s="75"/>
      <c r="J221" s="75"/>
      <c r="K221" s="75"/>
      <c r="L221" s="75"/>
      <c r="M221" s="75"/>
      <c r="N221" s="75"/>
      <c r="O221" s="75"/>
      <c r="P221" s="75"/>
    </row>
    <row r="222" spans="2:16">
      <c r="B222" s="75"/>
      <c r="C222" s="75"/>
      <c r="D222" s="75"/>
      <c r="E222" s="75"/>
      <c r="F222" s="75"/>
      <c r="G222" s="75"/>
      <c r="H222" s="75"/>
      <c r="I222" s="75"/>
      <c r="J222" s="75"/>
      <c r="K222" s="75"/>
      <c r="L222" s="75"/>
      <c r="M222" s="75"/>
      <c r="N222" s="75"/>
      <c r="O222" s="75"/>
      <c r="P222" s="75"/>
    </row>
    <row r="223" spans="2:16">
      <c r="B223" s="75"/>
      <c r="C223" s="75"/>
      <c r="D223" s="75"/>
      <c r="E223" s="75"/>
      <c r="F223" s="75"/>
      <c r="G223" s="75"/>
      <c r="H223" s="75"/>
      <c r="I223" s="75"/>
      <c r="J223" s="75"/>
      <c r="K223" s="75"/>
      <c r="L223" s="75"/>
      <c r="M223" s="75"/>
      <c r="N223" s="75"/>
      <c r="O223" s="75"/>
      <c r="P223" s="75"/>
    </row>
    <row r="224" spans="2:16">
      <c r="B224" s="75"/>
      <c r="C224" s="75"/>
      <c r="D224" s="75"/>
      <c r="E224" s="75"/>
      <c r="F224" s="75"/>
      <c r="G224" s="75"/>
      <c r="H224" s="75"/>
      <c r="I224" s="75"/>
      <c r="J224" s="75"/>
      <c r="K224" s="75"/>
      <c r="L224" s="75"/>
      <c r="M224" s="75"/>
      <c r="N224" s="75"/>
      <c r="O224" s="75"/>
      <c r="P224" s="75"/>
    </row>
    <row r="225" spans="2:16">
      <c r="B225" s="75"/>
      <c r="C225" s="75"/>
      <c r="D225" s="75"/>
      <c r="E225" s="75"/>
      <c r="F225" s="75"/>
      <c r="G225" s="75"/>
      <c r="H225" s="75"/>
      <c r="I225" s="75"/>
      <c r="J225" s="75"/>
      <c r="K225" s="75"/>
      <c r="L225" s="75"/>
      <c r="M225" s="75"/>
      <c r="N225" s="75"/>
      <c r="O225" s="75"/>
      <c r="P225" s="75"/>
    </row>
    <row r="226" spans="2:16">
      <c r="B226" s="75"/>
      <c r="C226" s="75"/>
      <c r="D226" s="75"/>
      <c r="E226" s="75"/>
      <c r="F226" s="75"/>
      <c r="G226" s="75"/>
      <c r="H226" s="75"/>
      <c r="I226" s="75"/>
      <c r="J226" s="75"/>
      <c r="K226" s="75"/>
      <c r="L226" s="75"/>
      <c r="M226" s="75"/>
      <c r="N226" s="75"/>
      <c r="O226" s="75"/>
      <c r="P226" s="75"/>
    </row>
    <row r="227" spans="2:16">
      <c r="B227" s="75"/>
      <c r="C227" s="75"/>
      <c r="D227" s="75"/>
      <c r="E227" s="75"/>
      <c r="F227" s="75"/>
      <c r="G227" s="75"/>
      <c r="H227" s="75"/>
      <c r="I227" s="75"/>
      <c r="J227" s="75"/>
      <c r="K227" s="75"/>
      <c r="L227" s="75"/>
      <c r="M227" s="75"/>
      <c r="N227" s="75"/>
      <c r="O227" s="75"/>
      <c r="P227" s="75"/>
    </row>
    <row r="228" spans="2:16">
      <c r="B228" s="75"/>
      <c r="C228" s="75"/>
      <c r="D228" s="75"/>
      <c r="E228" s="75"/>
      <c r="F228" s="75"/>
      <c r="G228" s="75"/>
      <c r="H228" s="75"/>
      <c r="I228" s="75"/>
      <c r="J228" s="75"/>
      <c r="K228" s="75"/>
      <c r="L228" s="75"/>
      <c r="M228" s="75"/>
      <c r="N228" s="75"/>
      <c r="O228" s="75"/>
      <c r="P228" s="75"/>
    </row>
    <row r="229" spans="2:16">
      <c r="B229" s="75"/>
      <c r="C229" s="75"/>
      <c r="D229" s="75"/>
      <c r="E229" s="75"/>
      <c r="F229" s="75"/>
      <c r="G229" s="75"/>
      <c r="H229" s="75"/>
      <c r="I229" s="75"/>
      <c r="J229" s="75"/>
      <c r="K229" s="75"/>
      <c r="L229" s="75"/>
      <c r="M229" s="75"/>
      <c r="N229" s="75"/>
      <c r="O229" s="75"/>
      <c r="P229" s="75"/>
    </row>
    <row r="230" spans="2:16">
      <c r="B230" s="75"/>
      <c r="C230" s="75"/>
      <c r="D230" s="75"/>
      <c r="E230" s="75"/>
      <c r="F230" s="75"/>
      <c r="G230" s="75"/>
      <c r="H230" s="75"/>
      <c r="I230" s="75"/>
      <c r="J230" s="75"/>
      <c r="K230" s="75"/>
      <c r="L230" s="75"/>
      <c r="M230" s="75"/>
      <c r="N230" s="75"/>
      <c r="O230" s="75"/>
      <c r="P230" s="75"/>
    </row>
    <row r="231" spans="2:16">
      <c r="B231" s="75"/>
      <c r="C231" s="75"/>
      <c r="D231" s="75"/>
      <c r="E231" s="75"/>
      <c r="F231" s="75"/>
      <c r="G231" s="75"/>
      <c r="H231" s="75"/>
      <c r="I231" s="75"/>
      <c r="J231" s="75"/>
      <c r="K231" s="75"/>
      <c r="L231" s="75"/>
      <c r="M231" s="75"/>
      <c r="N231" s="75"/>
      <c r="O231" s="75"/>
      <c r="P231" s="75"/>
    </row>
    <row r="232" spans="2:16">
      <c r="B232" s="75"/>
      <c r="C232" s="75"/>
      <c r="D232" s="75"/>
      <c r="E232" s="75"/>
      <c r="F232" s="75"/>
      <c r="G232" s="75"/>
      <c r="H232" s="75"/>
      <c r="I232" s="75"/>
      <c r="J232" s="75"/>
      <c r="K232" s="75"/>
      <c r="L232" s="75"/>
      <c r="M232" s="75"/>
      <c r="N232" s="75"/>
      <c r="O232" s="75"/>
      <c r="P232" s="75"/>
    </row>
    <row r="233" spans="2:16">
      <c r="B233" s="75"/>
      <c r="C233" s="75"/>
      <c r="D233" s="75"/>
      <c r="E233" s="75"/>
      <c r="F233" s="75"/>
      <c r="G233" s="75"/>
      <c r="H233" s="75"/>
      <c r="I233" s="75"/>
      <c r="J233" s="75"/>
      <c r="K233" s="75"/>
      <c r="L233" s="75"/>
      <c r="M233" s="75"/>
      <c r="N233" s="75"/>
      <c r="O233" s="75"/>
      <c r="P233" s="75"/>
    </row>
    <row r="234" spans="2:16">
      <c r="B234" s="75"/>
      <c r="C234" s="75"/>
      <c r="D234" s="75"/>
      <c r="E234" s="75"/>
      <c r="F234" s="75"/>
      <c r="G234" s="75"/>
      <c r="H234" s="75"/>
      <c r="I234" s="75"/>
      <c r="J234" s="75"/>
      <c r="K234" s="75"/>
      <c r="L234" s="75"/>
      <c r="M234" s="75"/>
      <c r="N234" s="75"/>
      <c r="O234" s="75"/>
      <c r="P234" s="75"/>
    </row>
    <row r="235" spans="2:16">
      <c r="B235" s="75"/>
      <c r="C235" s="75"/>
      <c r="D235" s="75"/>
      <c r="E235" s="75"/>
      <c r="F235" s="75"/>
      <c r="G235" s="75"/>
      <c r="H235" s="75"/>
      <c r="I235" s="75"/>
      <c r="J235" s="75"/>
      <c r="K235" s="75"/>
      <c r="L235" s="75"/>
      <c r="M235" s="75"/>
      <c r="N235" s="75"/>
      <c r="O235" s="75"/>
      <c r="P235" s="75"/>
    </row>
    <row r="236" spans="2:16">
      <c r="B236" s="75"/>
      <c r="C236" s="75"/>
      <c r="D236" s="75"/>
      <c r="E236" s="75"/>
      <c r="F236" s="75"/>
      <c r="G236" s="75"/>
      <c r="H236" s="75"/>
      <c r="I236" s="75"/>
      <c r="J236" s="75"/>
      <c r="K236" s="75"/>
      <c r="L236" s="75"/>
      <c r="M236" s="75"/>
      <c r="N236" s="75"/>
      <c r="O236" s="75"/>
      <c r="P236" s="75"/>
    </row>
    <row r="237" spans="2:16">
      <c r="B237" s="75"/>
      <c r="C237" s="75"/>
      <c r="D237" s="75"/>
      <c r="E237" s="75"/>
      <c r="F237" s="75"/>
      <c r="G237" s="75"/>
      <c r="H237" s="75"/>
      <c r="I237" s="75"/>
      <c r="J237" s="75"/>
      <c r="K237" s="75"/>
      <c r="L237" s="75"/>
      <c r="M237" s="75"/>
      <c r="N237" s="75"/>
      <c r="O237" s="75"/>
      <c r="P237" s="75"/>
    </row>
    <row r="238" spans="2:16">
      <c r="B238" s="75"/>
      <c r="C238" s="75"/>
      <c r="D238" s="75"/>
      <c r="E238" s="75"/>
      <c r="F238" s="75"/>
      <c r="G238" s="75"/>
      <c r="H238" s="75"/>
      <c r="I238" s="75"/>
      <c r="J238" s="75"/>
      <c r="K238" s="75"/>
      <c r="L238" s="75"/>
      <c r="M238" s="75"/>
      <c r="N238" s="75"/>
      <c r="O238" s="75"/>
      <c r="P238" s="75"/>
    </row>
    <row r="239" spans="2:16">
      <c r="B239" s="75"/>
      <c r="C239" s="75"/>
      <c r="D239" s="75"/>
      <c r="E239" s="75"/>
      <c r="F239" s="75"/>
      <c r="G239" s="75"/>
      <c r="H239" s="75"/>
      <c r="I239" s="75"/>
      <c r="J239" s="75"/>
      <c r="K239" s="75"/>
      <c r="L239" s="75"/>
      <c r="M239" s="75"/>
      <c r="N239" s="75"/>
      <c r="O239" s="75"/>
      <c r="P239" s="75"/>
    </row>
    <row r="240" spans="2:16">
      <c r="B240" s="75"/>
      <c r="C240" s="75"/>
      <c r="D240" s="75"/>
      <c r="E240" s="75"/>
      <c r="F240" s="75"/>
      <c r="G240" s="75"/>
      <c r="H240" s="75"/>
      <c r="I240" s="75"/>
      <c r="J240" s="75"/>
      <c r="K240" s="75"/>
      <c r="L240" s="75"/>
      <c r="M240" s="75"/>
      <c r="N240" s="75"/>
      <c r="O240" s="75"/>
      <c r="P240" s="75"/>
    </row>
    <row r="241" spans="2:16">
      <c r="B241" s="75"/>
      <c r="C241" s="75"/>
      <c r="D241" s="75"/>
      <c r="E241" s="75"/>
      <c r="F241" s="75"/>
      <c r="G241" s="75"/>
      <c r="H241" s="75"/>
      <c r="I241" s="75"/>
      <c r="J241" s="75"/>
      <c r="K241" s="75"/>
      <c r="L241" s="75"/>
      <c r="M241" s="75"/>
      <c r="N241" s="75"/>
      <c r="O241" s="75"/>
      <c r="P241" s="75"/>
    </row>
    <row r="242" spans="2:16">
      <c r="B242" s="75"/>
      <c r="C242" s="75"/>
      <c r="D242" s="75"/>
      <c r="E242" s="75"/>
      <c r="F242" s="75"/>
      <c r="G242" s="75"/>
      <c r="H242" s="75"/>
      <c r="I242" s="75"/>
      <c r="J242" s="75"/>
      <c r="K242" s="75"/>
      <c r="L242" s="75"/>
      <c r="M242" s="75"/>
      <c r="N242" s="75"/>
      <c r="O242" s="75"/>
      <c r="P242" s="75"/>
    </row>
    <row r="243" spans="2:16">
      <c r="B243" s="75"/>
      <c r="C243" s="75"/>
      <c r="D243" s="75"/>
      <c r="E243" s="75"/>
      <c r="F243" s="75"/>
      <c r="G243" s="75"/>
      <c r="H243" s="75"/>
      <c r="I243" s="75"/>
      <c r="J243" s="75"/>
      <c r="K243" s="75"/>
      <c r="L243" s="75"/>
      <c r="M243" s="75"/>
      <c r="N243" s="75"/>
      <c r="O243" s="75"/>
      <c r="P243" s="75"/>
    </row>
    <row r="244" spans="2:16">
      <c r="B244" s="75"/>
      <c r="C244" s="75"/>
      <c r="D244" s="75"/>
      <c r="E244" s="75"/>
      <c r="F244" s="75"/>
      <c r="G244" s="75"/>
      <c r="H244" s="75"/>
      <c r="I244" s="75"/>
      <c r="J244" s="75"/>
      <c r="K244" s="75"/>
      <c r="L244" s="75"/>
      <c r="M244" s="75"/>
      <c r="N244" s="75"/>
      <c r="O244" s="75"/>
      <c r="P244" s="75"/>
    </row>
    <row r="245" spans="2:16">
      <c r="B245" s="75"/>
      <c r="C245" s="75"/>
      <c r="D245" s="75"/>
      <c r="E245" s="75"/>
      <c r="F245" s="75"/>
      <c r="G245" s="75"/>
      <c r="H245" s="75"/>
      <c r="I245" s="75"/>
      <c r="J245" s="75"/>
      <c r="K245" s="75"/>
      <c r="L245" s="75"/>
      <c r="M245" s="75"/>
      <c r="N245" s="75"/>
      <c r="O245" s="75"/>
      <c r="P245" s="75"/>
    </row>
    <row r="246" spans="2:16">
      <c r="B246" s="75"/>
      <c r="C246" s="75"/>
      <c r="D246" s="75"/>
      <c r="E246" s="75"/>
      <c r="F246" s="75"/>
      <c r="G246" s="75"/>
      <c r="H246" s="75"/>
      <c r="I246" s="75"/>
      <c r="J246" s="75"/>
      <c r="K246" s="75"/>
      <c r="L246" s="75"/>
      <c r="M246" s="75"/>
      <c r="N246" s="75"/>
      <c r="O246" s="75"/>
      <c r="P246" s="75"/>
    </row>
    <row r="247" spans="2:16">
      <c r="B247" s="75"/>
      <c r="C247" s="75"/>
      <c r="D247" s="75"/>
      <c r="E247" s="75"/>
      <c r="F247" s="75"/>
      <c r="G247" s="75"/>
      <c r="H247" s="75"/>
      <c r="I247" s="75"/>
      <c r="J247" s="75"/>
      <c r="K247" s="75"/>
      <c r="L247" s="75"/>
      <c r="M247" s="75"/>
      <c r="N247" s="75"/>
      <c r="O247" s="75"/>
      <c r="P247" s="75"/>
    </row>
    <row r="248" spans="2:16">
      <c r="B248" s="75"/>
      <c r="C248" s="75"/>
      <c r="D248" s="75"/>
      <c r="E248" s="75"/>
      <c r="F248" s="75"/>
      <c r="G248" s="75"/>
      <c r="H248" s="75"/>
      <c r="I248" s="75"/>
      <c r="J248" s="75"/>
      <c r="K248" s="75"/>
      <c r="L248" s="75"/>
      <c r="M248" s="75"/>
      <c r="N248" s="75"/>
      <c r="O248" s="75"/>
      <c r="P248" s="75"/>
    </row>
    <row r="249" spans="2:16">
      <c r="B249" s="75"/>
      <c r="C249" s="75"/>
      <c r="D249" s="75"/>
      <c r="E249" s="75"/>
      <c r="F249" s="75"/>
      <c r="G249" s="75"/>
      <c r="H249" s="75"/>
      <c r="I249" s="75"/>
      <c r="J249" s="75"/>
      <c r="K249" s="75"/>
      <c r="L249" s="75"/>
      <c r="M249" s="75"/>
      <c r="N249" s="75"/>
      <c r="O249" s="75"/>
      <c r="P249" s="75"/>
    </row>
    <row r="250" spans="2:16">
      <c r="B250" s="75"/>
      <c r="C250" s="75"/>
      <c r="D250" s="75"/>
      <c r="E250" s="75"/>
      <c r="F250" s="75"/>
      <c r="G250" s="75"/>
      <c r="H250" s="75"/>
      <c r="I250" s="75"/>
      <c r="J250" s="75"/>
      <c r="K250" s="75"/>
      <c r="L250" s="75"/>
      <c r="M250" s="75"/>
      <c r="N250" s="75"/>
      <c r="O250" s="75"/>
      <c r="P250" s="75"/>
    </row>
    <row r="251" spans="2:16">
      <c r="B251" s="75"/>
      <c r="C251" s="75"/>
      <c r="D251" s="75"/>
      <c r="E251" s="75"/>
      <c r="F251" s="75"/>
      <c r="G251" s="75"/>
      <c r="H251" s="75"/>
      <c r="I251" s="75"/>
      <c r="J251" s="75"/>
      <c r="K251" s="75"/>
      <c r="L251" s="75"/>
      <c r="M251" s="75"/>
      <c r="N251" s="75"/>
      <c r="O251" s="75"/>
      <c r="P251" s="75"/>
    </row>
    <row r="252" spans="2:16" ht="15.75" thickBot="1"/>
    <row r="253" spans="2:16">
      <c r="B253" s="366"/>
      <c r="C253" s="367"/>
      <c r="D253" s="367"/>
      <c r="E253" s="367"/>
      <c r="F253" s="367"/>
      <c r="G253" s="367"/>
      <c r="H253" s="367"/>
      <c r="I253" s="367"/>
      <c r="J253" s="367"/>
      <c r="K253" s="367"/>
      <c r="L253" s="367"/>
      <c r="M253" s="367"/>
      <c r="N253" s="367"/>
      <c r="O253" s="367"/>
      <c r="P253" s="368"/>
    </row>
    <row r="254" spans="2:16" ht="18.75">
      <c r="B254" s="369"/>
      <c r="C254" s="370" t="s">
        <v>614</v>
      </c>
      <c r="D254" s="75"/>
      <c r="E254" s="75"/>
      <c r="F254" s="75"/>
      <c r="G254" s="75"/>
      <c r="H254" s="75"/>
      <c r="I254" s="75"/>
      <c r="J254" s="75"/>
      <c r="K254" s="75"/>
      <c r="L254" s="75"/>
      <c r="M254" s="75"/>
      <c r="N254" s="75"/>
      <c r="O254" s="75"/>
      <c r="P254" s="371"/>
    </row>
    <row r="255" spans="2:16">
      <c r="B255" s="369"/>
      <c r="C255" s="75"/>
      <c r="D255" s="75"/>
      <c r="E255" s="75"/>
      <c r="F255" s="75"/>
      <c r="G255" s="75"/>
      <c r="H255" s="75"/>
      <c r="I255" s="75"/>
      <c r="J255" s="75"/>
      <c r="K255" s="75"/>
      <c r="L255" s="75"/>
      <c r="M255" s="75"/>
      <c r="N255" s="75"/>
      <c r="O255" s="75"/>
      <c r="P255" s="371"/>
    </row>
    <row r="256" spans="2:16">
      <c r="B256" s="369"/>
      <c r="C256" s="372" t="s">
        <v>612</v>
      </c>
      <c r="D256" s="75"/>
      <c r="E256" s="75"/>
      <c r="F256" s="75"/>
      <c r="G256" s="75"/>
      <c r="H256" s="75"/>
      <c r="I256" s="75"/>
      <c r="J256" s="75"/>
      <c r="K256" s="75"/>
      <c r="L256" s="75"/>
      <c r="M256" s="75"/>
      <c r="N256" s="75"/>
      <c r="O256" s="75"/>
      <c r="P256" s="371"/>
    </row>
    <row r="257" spans="2:16">
      <c r="B257" s="369"/>
      <c r="C257" s="75"/>
      <c r="D257" s="75"/>
      <c r="E257" s="75"/>
      <c r="F257" s="75"/>
      <c r="G257" s="75"/>
      <c r="H257" s="75"/>
      <c r="I257" s="75"/>
      <c r="J257" s="75"/>
      <c r="K257" s="75"/>
      <c r="L257" s="75"/>
      <c r="M257" s="75"/>
      <c r="N257" s="75"/>
      <c r="O257" s="75"/>
      <c r="P257" s="371"/>
    </row>
    <row r="258" spans="2:16">
      <c r="B258" s="369"/>
      <c r="C258" s="75"/>
      <c r="D258" s="75"/>
      <c r="E258" s="75"/>
      <c r="F258" s="75"/>
      <c r="G258" s="75"/>
      <c r="H258" s="75"/>
      <c r="I258" s="75"/>
      <c r="J258" s="75"/>
      <c r="K258" s="75"/>
      <c r="L258" s="75"/>
      <c r="M258" s="75"/>
      <c r="N258" s="75"/>
      <c r="O258" s="75"/>
      <c r="P258" s="371"/>
    </row>
    <row r="259" spans="2:16">
      <c r="B259" s="369"/>
      <c r="C259" s="75"/>
      <c r="D259" s="75"/>
      <c r="E259" s="75"/>
      <c r="F259" s="75"/>
      <c r="G259" s="75"/>
      <c r="H259" s="75"/>
      <c r="I259" s="75"/>
      <c r="J259" s="75"/>
      <c r="K259" s="75"/>
      <c r="L259" s="75"/>
      <c r="M259" s="75"/>
      <c r="N259" s="75"/>
      <c r="O259" s="75"/>
      <c r="P259" s="371"/>
    </row>
    <row r="260" spans="2:16">
      <c r="B260" s="369"/>
      <c r="C260" s="75"/>
      <c r="D260" s="75"/>
      <c r="E260" s="75"/>
      <c r="F260" s="75"/>
      <c r="G260" s="75"/>
      <c r="H260" s="75"/>
      <c r="I260" s="75"/>
      <c r="J260" s="75"/>
      <c r="K260" s="75"/>
      <c r="L260" s="75"/>
      <c r="M260" s="75"/>
      <c r="N260" s="75"/>
      <c r="O260" s="75"/>
      <c r="P260" s="371"/>
    </row>
    <row r="261" spans="2:16">
      <c r="B261" s="369"/>
      <c r="C261" s="75"/>
      <c r="D261" s="75"/>
      <c r="E261" s="75"/>
      <c r="F261" s="75"/>
      <c r="G261" s="75"/>
      <c r="H261" s="75"/>
      <c r="I261" s="75"/>
      <c r="J261" s="75"/>
      <c r="K261" s="75"/>
      <c r="L261" s="75"/>
      <c r="M261" s="75"/>
      <c r="N261" s="75"/>
      <c r="O261" s="75"/>
      <c r="P261" s="371"/>
    </row>
    <row r="262" spans="2:16">
      <c r="B262" s="369"/>
      <c r="C262" s="75"/>
      <c r="D262" s="75"/>
      <c r="E262" s="75"/>
      <c r="F262" s="75"/>
      <c r="G262" s="75"/>
      <c r="H262" s="75"/>
      <c r="I262" s="75"/>
      <c r="J262" s="75"/>
      <c r="K262" s="75"/>
      <c r="L262" s="75"/>
      <c r="M262" s="75"/>
      <c r="N262" s="75"/>
      <c r="O262" s="75"/>
      <c r="P262" s="371"/>
    </row>
    <row r="263" spans="2:16">
      <c r="B263" s="369"/>
      <c r="C263" s="75"/>
      <c r="D263" s="75"/>
      <c r="E263" s="75"/>
      <c r="F263" s="75"/>
      <c r="G263" s="75"/>
      <c r="H263" s="75"/>
      <c r="I263" s="75"/>
      <c r="J263" s="75"/>
      <c r="K263" s="75"/>
      <c r="L263" s="75"/>
      <c r="M263" s="75"/>
      <c r="N263" s="75"/>
      <c r="O263" s="75"/>
      <c r="P263" s="371"/>
    </row>
    <row r="264" spans="2:16">
      <c r="B264" s="369"/>
      <c r="C264" s="75"/>
      <c r="D264" s="75"/>
      <c r="E264" s="75"/>
      <c r="F264" s="75"/>
      <c r="G264" s="75"/>
      <c r="H264" s="75"/>
      <c r="I264" s="75"/>
      <c r="J264" s="75"/>
      <c r="K264" s="75"/>
      <c r="L264" s="75"/>
      <c r="M264" s="75"/>
      <c r="N264" s="75"/>
      <c r="O264" s="75"/>
      <c r="P264" s="371"/>
    </row>
    <row r="265" spans="2:16">
      <c r="B265" s="369"/>
      <c r="C265" s="75"/>
      <c r="D265" s="75"/>
      <c r="E265" s="75"/>
      <c r="F265" s="75"/>
      <c r="G265" s="75"/>
      <c r="H265" s="75"/>
      <c r="I265" s="75"/>
      <c r="J265" s="75"/>
      <c r="K265" s="75"/>
      <c r="L265" s="75"/>
      <c r="M265" s="75"/>
      <c r="N265" s="75"/>
      <c r="O265" s="75"/>
      <c r="P265" s="371"/>
    </row>
    <row r="266" spans="2:16">
      <c r="B266" s="369"/>
      <c r="C266" s="75"/>
      <c r="D266" s="75"/>
      <c r="E266" s="75"/>
      <c r="F266" s="75"/>
      <c r="G266" s="75"/>
      <c r="H266" s="75"/>
      <c r="I266" s="75"/>
      <c r="J266" s="75"/>
      <c r="K266" s="75"/>
      <c r="L266" s="75"/>
      <c r="M266" s="75"/>
      <c r="N266" s="75"/>
      <c r="O266" s="75"/>
      <c r="P266" s="371"/>
    </row>
    <row r="267" spans="2:16">
      <c r="B267" s="369"/>
      <c r="C267" s="75"/>
      <c r="D267" s="75"/>
      <c r="E267" s="75"/>
      <c r="F267" s="75"/>
      <c r="G267" s="75"/>
      <c r="H267" s="75"/>
      <c r="I267" s="75"/>
      <c r="J267" s="75"/>
      <c r="K267" s="75"/>
      <c r="L267" s="75"/>
      <c r="M267" s="75"/>
      <c r="N267" s="75"/>
      <c r="O267" s="75"/>
      <c r="P267" s="371"/>
    </row>
    <row r="268" spans="2:16">
      <c r="B268" s="369"/>
      <c r="C268" s="75"/>
      <c r="D268" s="75"/>
      <c r="E268" s="75"/>
      <c r="F268" s="75"/>
      <c r="G268" s="75"/>
      <c r="H268" s="75"/>
      <c r="I268" s="75"/>
      <c r="J268" s="75"/>
      <c r="K268" s="75"/>
      <c r="L268" s="75"/>
      <c r="M268" s="75"/>
      <c r="N268" s="75"/>
      <c r="O268" s="75"/>
      <c r="P268" s="371"/>
    </row>
    <row r="269" spans="2:16">
      <c r="B269" s="369"/>
      <c r="C269" s="75"/>
      <c r="D269" s="75"/>
      <c r="E269" s="75"/>
      <c r="F269" s="75"/>
      <c r="G269" s="75"/>
      <c r="H269" s="75"/>
      <c r="I269" s="75"/>
      <c r="J269" s="75"/>
      <c r="K269" s="75"/>
      <c r="L269" s="75"/>
      <c r="M269" s="75"/>
      <c r="N269" s="75"/>
      <c r="O269" s="75"/>
      <c r="P269" s="371"/>
    </row>
    <row r="270" spans="2:16">
      <c r="B270" s="369"/>
      <c r="C270" s="75"/>
      <c r="D270" s="75"/>
      <c r="E270" s="75"/>
      <c r="F270" s="75"/>
      <c r="G270" s="75"/>
      <c r="H270" s="75"/>
      <c r="I270" s="75"/>
      <c r="J270" s="75"/>
      <c r="K270" s="75"/>
      <c r="L270" s="75"/>
      <c r="M270" s="75"/>
      <c r="N270" s="75"/>
      <c r="O270" s="75"/>
      <c r="P270" s="371"/>
    </row>
    <row r="271" spans="2:16">
      <c r="B271" s="369"/>
      <c r="C271" s="75"/>
      <c r="D271" s="75"/>
      <c r="E271" s="75"/>
      <c r="F271" s="75"/>
      <c r="G271" s="75"/>
      <c r="H271" s="75"/>
      <c r="I271" s="75"/>
      <c r="J271" s="75"/>
      <c r="K271" s="75"/>
      <c r="L271" s="75"/>
      <c r="M271" s="75"/>
      <c r="N271" s="75"/>
      <c r="O271" s="75"/>
      <c r="P271" s="371"/>
    </row>
    <row r="272" spans="2:16">
      <c r="B272" s="369"/>
      <c r="C272" s="75"/>
      <c r="D272" s="75"/>
      <c r="E272" s="75"/>
      <c r="F272" s="75"/>
      <c r="G272" s="75"/>
      <c r="H272" s="75"/>
      <c r="I272" s="75"/>
      <c r="J272" s="75"/>
      <c r="K272" s="75"/>
      <c r="L272" s="75"/>
      <c r="M272" s="75"/>
      <c r="N272" s="75"/>
      <c r="O272" s="75"/>
      <c r="P272" s="371"/>
    </row>
    <row r="273" spans="2:18">
      <c r="B273" s="369"/>
      <c r="C273" s="75"/>
      <c r="D273" s="75"/>
      <c r="E273" s="75"/>
      <c r="F273" s="75"/>
      <c r="G273" s="75"/>
      <c r="H273" s="75"/>
      <c r="I273" s="75"/>
      <c r="J273" s="75"/>
      <c r="K273" s="75"/>
      <c r="L273" s="75"/>
      <c r="M273" s="75"/>
      <c r="N273" s="75"/>
      <c r="O273" s="75"/>
      <c r="P273" s="371"/>
    </row>
    <row r="274" spans="2:18">
      <c r="B274" s="369"/>
      <c r="C274" s="75"/>
      <c r="D274" s="75"/>
      <c r="E274" s="75"/>
      <c r="F274" s="75"/>
      <c r="G274" s="75"/>
      <c r="H274" s="75"/>
      <c r="I274" s="75"/>
      <c r="J274" s="75"/>
      <c r="K274" s="75"/>
      <c r="L274" s="75"/>
      <c r="M274" s="75"/>
      <c r="N274" s="75"/>
      <c r="O274" s="75"/>
      <c r="P274" s="371"/>
    </row>
    <row r="275" spans="2:18">
      <c r="B275" s="373"/>
      <c r="C275" s="372" t="s">
        <v>698</v>
      </c>
      <c r="D275" s="374"/>
      <c r="E275" s="374"/>
      <c r="F275" s="374"/>
      <c r="G275" s="374"/>
      <c r="H275" s="374"/>
      <c r="I275" s="374"/>
      <c r="J275" s="374"/>
      <c r="K275" s="374"/>
      <c r="L275" s="374"/>
      <c r="M275" s="374"/>
      <c r="N275" s="374"/>
      <c r="O275" s="374"/>
      <c r="P275" s="375"/>
      <c r="Q275" s="296"/>
      <c r="R275" s="296"/>
    </row>
    <row r="276" spans="2:18">
      <c r="B276" s="373"/>
      <c r="C276" s="372"/>
      <c r="D276" s="374"/>
      <c r="E276" s="374"/>
      <c r="F276" s="374"/>
      <c r="G276" s="374"/>
      <c r="H276" s="374"/>
      <c r="I276" s="374"/>
      <c r="J276" s="374"/>
      <c r="K276" s="374"/>
      <c r="L276" s="374"/>
      <c r="M276" s="374"/>
      <c r="N276" s="374"/>
      <c r="O276" s="374"/>
      <c r="P276" s="375"/>
      <c r="Q276" s="296"/>
      <c r="R276" s="296"/>
    </row>
    <row r="277" spans="2:18">
      <c r="B277" s="373"/>
      <c r="C277" s="374"/>
      <c r="D277" s="374"/>
      <c r="E277" s="374"/>
      <c r="F277" s="374"/>
      <c r="G277" s="374"/>
      <c r="H277" s="374"/>
      <c r="I277" s="374"/>
      <c r="J277" s="374"/>
      <c r="K277" s="374"/>
      <c r="L277" s="374"/>
      <c r="M277" s="374"/>
      <c r="N277" s="374"/>
      <c r="O277" s="374"/>
      <c r="P277" s="375"/>
      <c r="Q277" s="296"/>
      <c r="R277" s="296"/>
    </row>
    <row r="278" spans="2:18">
      <c r="B278" s="373"/>
      <c r="C278" s="374"/>
      <c r="D278" s="374"/>
      <c r="E278" s="374"/>
      <c r="F278" s="374"/>
      <c r="G278" s="374"/>
      <c r="H278" s="374"/>
      <c r="I278" s="374"/>
      <c r="J278" s="374"/>
      <c r="K278" s="374"/>
      <c r="L278" s="374"/>
      <c r="M278" s="374"/>
      <c r="N278" s="374"/>
      <c r="O278" s="374"/>
      <c r="P278" s="375"/>
      <c r="Q278" s="296"/>
      <c r="R278" s="296"/>
    </row>
    <row r="279" spans="2:18">
      <c r="B279" s="373"/>
      <c r="C279" s="374"/>
      <c r="D279" s="374"/>
      <c r="E279" s="374"/>
      <c r="F279" s="374"/>
      <c r="G279" s="374"/>
      <c r="H279" s="374"/>
      <c r="I279" s="374"/>
      <c r="J279" s="374"/>
      <c r="K279" s="374"/>
      <c r="L279" s="374"/>
      <c r="M279" s="374"/>
      <c r="N279" s="374"/>
      <c r="O279" s="374"/>
      <c r="P279" s="375"/>
      <c r="Q279" s="296"/>
      <c r="R279" s="296"/>
    </row>
    <row r="280" spans="2:18">
      <c r="B280" s="373"/>
      <c r="C280" s="374"/>
      <c r="D280" s="374"/>
      <c r="E280" s="374"/>
      <c r="F280" s="374"/>
      <c r="G280" s="374"/>
      <c r="H280" s="374"/>
      <c r="I280" s="374"/>
      <c r="J280" s="374"/>
      <c r="K280" s="374"/>
      <c r="L280" s="374"/>
      <c r="M280" s="374"/>
      <c r="N280" s="374"/>
      <c r="O280" s="374"/>
      <c r="P280" s="375"/>
      <c r="Q280" s="296"/>
      <c r="R280" s="296"/>
    </row>
    <row r="281" spans="2:18">
      <c r="B281" s="373"/>
      <c r="C281" s="374"/>
      <c r="D281" s="374"/>
      <c r="E281" s="374"/>
      <c r="F281" s="374"/>
      <c r="G281" s="374"/>
      <c r="H281" s="374"/>
      <c r="I281" s="374"/>
      <c r="J281" s="374"/>
      <c r="K281" s="374"/>
      <c r="L281" s="374"/>
      <c r="M281" s="374"/>
      <c r="N281" s="374"/>
      <c r="O281" s="374"/>
      <c r="P281" s="375"/>
      <c r="Q281" s="296"/>
      <c r="R281" s="296"/>
    </row>
    <row r="282" spans="2:18">
      <c r="B282" s="373"/>
      <c r="C282" s="374"/>
      <c r="D282" s="374"/>
      <c r="E282" s="374"/>
      <c r="F282" s="374"/>
      <c r="G282" s="374"/>
      <c r="H282" s="374"/>
      <c r="I282" s="374"/>
      <c r="J282" s="374"/>
      <c r="K282" s="374"/>
      <c r="L282" s="374"/>
      <c r="M282" s="374"/>
      <c r="N282" s="374"/>
      <c r="O282" s="374"/>
      <c r="P282" s="375"/>
      <c r="Q282" s="296"/>
      <c r="R282" s="296"/>
    </row>
    <row r="283" spans="2:18">
      <c r="B283" s="373"/>
      <c r="C283" s="374"/>
      <c r="D283" s="374"/>
      <c r="E283" s="374"/>
      <c r="F283" s="374"/>
      <c r="G283" s="374"/>
      <c r="H283" s="374"/>
      <c r="I283" s="374"/>
      <c r="J283" s="374"/>
      <c r="K283" s="374"/>
      <c r="L283" s="374"/>
      <c r="M283" s="374"/>
      <c r="N283" s="374"/>
      <c r="O283" s="374"/>
      <c r="P283" s="375"/>
      <c r="Q283" s="296"/>
      <c r="R283" s="296"/>
    </row>
    <row r="284" spans="2:18">
      <c r="B284" s="373"/>
      <c r="C284" s="374"/>
      <c r="D284" s="374"/>
      <c r="E284" s="374"/>
      <c r="F284" s="374"/>
      <c r="G284" s="374"/>
      <c r="H284" s="374"/>
      <c r="I284" s="374"/>
      <c r="J284" s="374"/>
      <c r="K284" s="374"/>
      <c r="L284" s="374"/>
      <c r="M284" s="374"/>
      <c r="N284" s="374"/>
      <c r="O284" s="374"/>
      <c r="P284" s="375"/>
      <c r="Q284" s="296"/>
      <c r="R284" s="296"/>
    </row>
    <row r="285" spans="2:18">
      <c r="B285" s="373"/>
      <c r="C285" s="374"/>
      <c r="D285" s="374"/>
      <c r="E285" s="374"/>
      <c r="F285" s="374"/>
      <c r="G285" s="374"/>
      <c r="H285" s="374"/>
      <c r="I285" s="374"/>
      <c r="J285" s="374"/>
      <c r="K285" s="374"/>
      <c r="L285" s="374"/>
      <c r="M285" s="374"/>
      <c r="N285" s="374"/>
      <c r="O285" s="374"/>
      <c r="P285" s="375"/>
      <c r="Q285" s="296"/>
      <c r="R285" s="296"/>
    </row>
    <row r="286" spans="2:18">
      <c r="B286" s="373"/>
      <c r="C286" s="374"/>
      <c r="D286" s="374"/>
      <c r="E286" s="374"/>
      <c r="F286" s="374"/>
      <c r="G286" s="374"/>
      <c r="H286" s="374"/>
      <c r="I286" s="374"/>
      <c r="J286" s="374"/>
      <c r="K286" s="374"/>
      <c r="L286" s="374"/>
      <c r="M286" s="374"/>
      <c r="N286" s="374"/>
      <c r="O286" s="374"/>
      <c r="P286" s="375"/>
      <c r="Q286" s="296"/>
      <c r="R286" s="296"/>
    </row>
    <row r="287" spans="2:18">
      <c r="B287" s="373"/>
      <c r="C287" s="374"/>
      <c r="D287" s="374"/>
      <c r="E287" s="374"/>
      <c r="F287" s="374"/>
      <c r="G287" s="374"/>
      <c r="H287" s="374"/>
      <c r="I287" s="374"/>
      <c r="J287" s="374"/>
      <c r="K287" s="374"/>
      <c r="L287" s="374"/>
      <c r="M287" s="374"/>
      <c r="N287" s="374"/>
      <c r="O287" s="374"/>
      <c r="P287" s="375"/>
      <c r="Q287" s="296"/>
      <c r="R287" s="296"/>
    </row>
    <row r="288" spans="2:18">
      <c r="B288" s="373"/>
      <c r="C288" s="374"/>
      <c r="D288" s="374"/>
      <c r="E288" s="374"/>
      <c r="F288" s="374"/>
      <c r="G288" s="374"/>
      <c r="H288" s="374"/>
      <c r="I288" s="374"/>
      <c r="J288" s="374"/>
      <c r="K288" s="374"/>
      <c r="L288" s="374"/>
      <c r="M288" s="374"/>
      <c r="N288" s="374"/>
      <c r="O288" s="374"/>
      <c r="P288" s="375"/>
      <c r="Q288" s="296"/>
      <c r="R288" s="296"/>
    </row>
    <row r="289" spans="2:18">
      <c r="B289" s="373"/>
      <c r="C289" s="374"/>
      <c r="D289" s="374"/>
      <c r="E289" s="374"/>
      <c r="F289" s="374"/>
      <c r="G289" s="374"/>
      <c r="H289" s="374"/>
      <c r="I289" s="374"/>
      <c r="J289" s="374"/>
      <c r="K289" s="374"/>
      <c r="L289" s="374"/>
      <c r="M289" s="374"/>
      <c r="N289" s="374"/>
      <c r="O289" s="374"/>
      <c r="P289" s="375"/>
      <c r="Q289" s="296"/>
      <c r="R289" s="296"/>
    </row>
    <row r="290" spans="2:18">
      <c r="B290" s="373"/>
      <c r="C290" s="374"/>
      <c r="D290" s="374"/>
      <c r="E290" s="374"/>
      <c r="F290" s="374"/>
      <c r="G290" s="374"/>
      <c r="H290" s="374"/>
      <c r="I290" s="374"/>
      <c r="J290" s="374"/>
      <c r="K290" s="374"/>
      <c r="L290" s="374"/>
      <c r="M290" s="374"/>
      <c r="N290" s="374"/>
      <c r="O290" s="374"/>
      <c r="P290" s="375"/>
      <c r="Q290" s="296"/>
      <c r="R290" s="296"/>
    </row>
    <row r="291" spans="2:18">
      <c r="B291" s="373"/>
      <c r="C291" s="374"/>
      <c r="D291" s="374"/>
      <c r="E291" s="374"/>
      <c r="F291" s="374"/>
      <c r="G291" s="374"/>
      <c r="H291" s="374"/>
      <c r="I291" s="374"/>
      <c r="J291" s="374"/>
      <c r="K291" s="374"/>
      <c r="L291" s="374"/>
      <c r="M291" s="374"/>
      <c r="N291" s="374"/>
      <c r="O291" s="374"/>
      <c r="P291" s="375"/>
      <c r="Q291" s="296"/>
      <c r="R291" s="296"/>
    </row>
    <row r="292" spans="2:18">
      <c r="B292" s="373"/>
      <c r="C292" s="374"/>
      <c r="D292" s="374"/>
      <c r="E292" s="374"/>
      <c r="F292" s="374"/>
      <c r="G292" s="374"/>
      <c r="H292" s="374"/>
      <c r="I292" s="374"/>
      <c r="J292" s="374"/>
      <c r="K292" s="374"/>
      <c r="L292" s="374"/>
      <c r="M292" s="374"/>
      <c r="N292" s="374"/>
      <c r="O292" s="374"/>
      <c r="P292" s="375"/>
      <c r="Q292" s="296"/>
      <c r="R292" s="296"/>
    </row>
    <row r="293" spans="2:18">
      <c r="B293" s="373"/>
      <c r="C293" s="372"/>
      <c r="D293" s="374"/>
      <c r="E293" s="374"/>
      <c r="F293" s="374"/>
      <c r="G293" s="374"/>
      <c r="H293" s="374"/>
      <c r="I293" s="374"/>
      <c r="J293" s="374"/>
      <c r="K293" s="374"/>
      <c r="L293" s="374"/>
      <c r="M293" s="374"/>
      <c r="N293" s="374"/>
      <c r="O293" s="374"/>
      <c r="P293" s="375"/>
      <c r="Q293" s="296"/>
      <c r="R293" s="296"/>
    </row>
    <row r="294" spans="2:18">
      <c r="B294" s="369"/>
      <c r="D294" s="75"/>
      <c r="E294" s="75"/>
      <c r="F294" s="75"/>
      <c r="G294" s="75"/>
      <c r="H294" s="75"/>
      <c r="I294" s="75"/>
      <c r="J294" s="75"/>
      <c r="K294" s="75"/>
      <c r="L294" s="75"/>
      <c r="M294" s="75"/>
      <c r="N294" s="75"/>
      <c r="O294" s="75"/>
      <c r="P294" s="371"/>
    </row>
    <row r="295" spans="2:18">
      <c r="B295" s="369"/>
      <c r="C295" s="75"/>
      <c r="D295" s="75"/>
      <c r="E295" s="75"/>
      <c r="F295" s="75"/>
      <c r="G295" s="75"/>
      <c r="H295" s="75"/>
      <c r="I295" s="75"/>
      <c r="J295" s="75"/>
      <c r="K295" s="75"/>
      <c r="L295" s="75"/>
      <c r="M295" s="75"/>
      <c r="N295" s="75"/>
      <c r="O295" s="75"/>
      <c r="P295" s="371"/>
    </row>
    <row r="296" spans="2:18">
      <c r="B296" s="369"/>
      <c r="C296" s="75"/>
      <c r="D296" s="75"/>
      <c r="E296" s="75"/>
      <c r="F296" s="75"/>
      <c r="G296" s="75"/>
      <c r="H296" s="75"/>
      <c r="I296" s="75"/>
      <c r="J296" s="75"/>
      <c r="K296" s="75"/>
      <c r="L296" s="75"/>
      <c r="M296" s="75"/>
      <c r="N296" s="75"/>
      <c r="O296" s="75"/>
      <c r="P296" s="371"/>
    </row>
    <row r="297" spans="2:18">
      <c r="B297" s="369"/>
      <c r="C297" s="75"/>
      <c r="D297" s="75"/>
      <c r="E297" s="75"/>
      <c r="F297" s="75"/>
      <c r="G297" s="75"/>
      <c r="H297" s="75"/>
      <c r="I297" s="75"/>
      <c r="J297" s="75"/>
      <c r="K297" s="75"/>
      <c r="L297" s="75"/>
      <c r="M297" s="75"/>
      <c r="N297" s="75"/>
      <c r="O297" s="75"/>
      <c r="P297" s="371"/>
    </row>
    <row r="298" spans="2:18">
      <c r="B298" s="369"/>
      <c r="C298" s="75"/>
      <c r="D298" s="75"/>
      <c r="E298" s="75"/>
      <c r="F298" s="75"/>
      <c r="G298" s="75"/>
      <c r="H298" s="75"/>
      <c r="I298" s="75"/>
      <c r="J298" s="75"/>
      <c r="K298" s="75"/>
      <c r="L298" s="75"/>
      <c r="M298" s="75"/>
      <c r="N298" s="75"/>
      <c r="O298" s="75"/>
      <c r="P298" s="371"/>
    </row>
    <row r="299" spans="2:18">
      <c r="B299" s="369"/>
      <c r="C299" s="75"/>
      <c r="D299" s="75"/>
      <c r="E299" s="75"/>
      <c r="F299" s="75"/>
      <c r="G299" s="75"/>
      <c r="H299" s="75"/>
      <c r="I299" s="75"/>
      <c r="J299" s="75"/>
      <c r="K299" s="75"/>
      <c r="L299" s="75"/>
      <c r="M299" s="75"/>
      <c r="N299" s="75"/>
      <c r="O299" s="75"/>
      <c r="P299" s="371"/>
    </row>
    <row r="300" spans="2:18">
      <c r="B300" s="369"/>
      <c r="C300" s="376" t="s">
        <v>613</v>
      </c>
      <c r="D300" s="75"/>
      <c r="E300" s="75"/>
      <c r="F300" s="75"/>
      <c r="G300" s="75"/>
      <c r="H300" s="75"/>
      <c r="I300" s="75"/>
      <c r="J300" s="75"/>
      <c r="K300" s="75"/>
      <c r="L300" s="75"/>
      <c r="M300" s="75"/>
      <c r="N300" s="75"/>
      <c r="O300" s="75"/>
      <c r="P300" s="371"/>
    </row>
    <row r="301" spans="2:18">
      <c r="B301" s="369"/>
      <c r="C301" s="75"/>
      <c r="D301" s="75"/>
      <c r="E301" s="75"/>
      <c r="F301" s="75"/>
      <c r="G301" s="75"/>
      <c r="H301" s="75"/>
      <c r="I301" s="75"/>
      <c r="J301" s="75"/>
      <c r="K301" s="75"/>
      <c r="L301" s="75"/>
      <c r="M301" s="75"/>
      <c r="N301" s="75"/>
      <c r="O301" s="75"/>
      <c r="P301" s="371"/>
    </row>
    <row r="302" spans="2:18">
      <c r="B302" s="417"/>
      <c r="C302" s="75"/>
      <c r="D302" s="75"/>
      <c r="E302" s="75"/>
      <c r="F302" s="75"/>
      <c r="G302" s="75"/>
      <c r="H302" s="75"/>
      <c r="I302" s="75"/>
      <c r="J302" s="75"/>
      <c r="K302" s="75"/>
      <c r="L302" s="75"/>
      <c r="M302" s="75"/>
      <c r="N302" s="75"/>
      <c r="O302" s="75"/>
      <c r="P302" s="418"/>
    </row>
    <row r="303" spans="2:18">
      <c r="B303" s="417"/>
      <c r="C303" s="75"/>
      <c r="D303" s="75"/>
      <c r="E303" s="75"/>
      <c r="F303" s="75"/>
      <c r="G303" s="75"/>
      <c r="H303" s="75"/>
      <c r="I303" s="75"/>
      <c r="J303" s="75"/>
      <c r="K303" s="75"/>
      <c r="L303" s="75"/>
      <c r="M303" s="75"/>
      <c r="N303" s="75"/>
      <c r="O303" s="75"/>
      <c r="P303" s="418"/>
    </row>
    <row r="304" spans="2:18">
      <c r="B304" s="417"/>
      <c r="C304" s="75"/>
      <c r="D304" s="75"/>
      <c r="E304" s="75"/>
      <c r="F304" s="75"/>
      <c r="G304" s="75"/>
      <c r="H304" s="75"/>
      <c r="I304" s="75"/>
      <c r="J304" s="75"/>
      <c r="K304" s="75"/>
      <c r="L304" s="75"/>
      <c r="M304" s="75"/>
      <c r="N304" s="75"/>
      <c r="O304" s="75"/>
      <c r="P304" s="418"/>
    </row>
    <row r="305" spans="2:16">
      <c r="B305" s="417"/>
      <c r="C305" s="75"/>
      <c r="D305" s="75"/>
      <c r="E305" s="75"/>
      <c r="F305" s="75"/>
      <c r="G305" s="75"/>
      <c r="H305" s="75"/>
      <c r="I305" s="75"/>
      <c r="J305" s="75"/>
      <c r="K305" s="75"/>
      <c r="L305" s="75"/>
      <c r="M305" s="75"/>
      <c r="N305" s="75"/>
      <c r="O305" s="75"/>
      <c r="P305" s="418"/>
    </row>
    <row r="306" spans="2:16">
      <c r="B306" s="417"/>
      <c r="C306" s="75"/>
      <c r="D306" s="75"/>
      <c r="E306" s="75"/>
      <c r="F306" s="75"/>
      <c r="G306" s="75"/>
      <c r="H306" s="75"/>
      <c r="I306" s="75"/>
      <c r="J306" s="75"/>
      <c r="K306" s="75"/>
      <c r="L306" s="75"/>
      <c r="M306" s="75"/>
      <c r="N306" s="75"/>
      <c r="O306" s="75"/>
      <c r="P306" s="418"/>
    </row>
    <row r="307" spans="2:16">
      <c r="B307" s="417"/>
      <c r="C307" s="75"/>
      <c r="D307" s="75"/>
      <c r="E307" s="75"/>
      <c r="F307" s="75"/>
      <c r="G307" s="75"/>
      <c r="H307" s="75"/>
      <c r="I307" s="75"/>
      <c r="J307" s="75"/>
      <c r="K307" s="75"/>
      <c r="L307" s="75"/>
      <c r="M307" s="75"/>
      <c r="N307" s="75"/>
      <c r="O307" s="75"/>
      <c r="P307" s="418"/>
    </row>
    <row r="308" spans="2:16">
      <c r="B308" s="417"/>
      <c r="C308" s="75"/>
      <c r="D308" s="75"/>
      <c r="E308" s="75"/>
      <c r="F308" s="75"/>
      <c r="G308" s="75"/>
      <c r="H308" s="75"/>
      <c r="I308" s="75"/>
      <c r="J308" s="75"/>
      <c r="K308" s="75"/>
      <c r="L308" s="75"/>
      <c r="M308" s="75"/>
      <c r="N308" s="75"/>
      <c r="O308" s="75"/>
      <c r="P308" s="418"/>
    </row>
    <row r="309" spans="2:16">
      <c r="B309" s="417"/>
      <c r="C309" s="75"/>
      <c r="D309" s="75"/>
      <c r="E309" s="75"/>
      <c r="F309" s="75"/>
      <c r="G309" s="75"/>
      <c r="H309" s="75"/>
      <c r="I309" s="75"/>
      <c r="J309" s="75"/>
      <c r="K309" s="75"/>
      <c r="L309" s="75"/>
      <c r="M309" s="75"/>
      <c r="N309" s="75"/>
      <c r="O309" s="75"/>
      <c r="P309" s="418"/>
    </row>
    <row r="310" spans="2:16">
      <c r="B310" s="417"/>
      <c r="C310" s="75"/>
      <c r="D310" s="75"/>
      <c r="E310" s="75"/>
      <c r="F310" s="75"/>
      <c r="G310" s="75"/>
      <c r="H310" s="75"/>
      <c r="I310" s="75"/>
      <c r="J310" s="75"/>
      <c r="K310" s="75"/>
      <c r="L310" s="75"/>
      <c r="M310" s="75"/>
      <c r="N310" s="75"/>
      <c r="O310" s="75"/>
      <c r="P310" s="418"/>
    </row>
    <row r="311" spans="2:16">
      <c r="B311" s="417"/>
      <c r="C311" s="75"/>
      <c r="D311" s="75"/>
      <c r="E311" s="75"/>
      <c r="F311" s="75"/>
      <c r="G311" s="75"/>
      <c r="H311" s="75"/>
      <c r="I311" s="75"/>
      <c r="J311" s="75"/>
      <c r="K311" s="75"/>
      <c r="L311" s="75"/>
      <c r="M311" s="75"/>
      <c r="N311" s="75"/>
      <c r="O311" s="75"/>
      <c r="P311" s="418"/>
    </row>
    <row r="312" spans="2:16">
      <c r="B312" s="417"/>
      <c r="C312" s="75"/>
      <c r="D312" s="75"/>
      <c r="E312" s="75"/>
      <c r="F312" s="75"/>
      <c r="G312" s="75"/>
      <c r="H312" s="75"/>
      <c r="I312" s="75"/>
      <c r="J312" s="75"/>
      <c r="K312" s="75"/>
      <c r="L312" s="75"/>
      <c r="M312" s="75"/>
      <c r="N312" s="75"/>
      <c r="O312" s="75"/>
      <c r="P312" s="418"/>
    </row>
    <row r="313" spans="2:16">
      <c r="B313" s="417"/>
      <c r="C313" s="75"/>
      <c r="D313" s="75"/>
      <c r="E313" s="75"/>
      <c r="F313" s="75"/>
      <c r="G313" s="75"/>
      <c r="H313" s="75"/>
      <c r="I313" s="75"/>
      <c r="J313" s="75"/>
      <c r="K313" s="75"/>
      <c r="L313" s="75"/>
      <c r="M313" s="75"/>
      <c r="N313" s="75"/>
      <c r="O313" s="75"/>
      <c r="P313" s="418"/>
    </row>
    <row r="314" spans="2:16">
      <c r="B314" s="417"/>
      <c r="C314" s="75"/>
      <c r="D314" s="75"/>
      <c r="E314" s="75"/>
      <c r="F314" s="75"/>
      <c r="G314" s="75"/>
      <c r="H314" s="75"/>
      <c r="I314" s="75"/>
      <c r="J314" s="75"/>
      <c r="K314" s="75"/>
      <c r="L314" s="75"/>
      <c r="M314" s="75"/>
      <c r="N314" s="75"/>
      <c r="O314" s="75"/>
      <c r="P314" s="418"/>
    </row>
    <row r="315" spans="2:16">
      <c r="B315" s="417"/>
      <c r="C315" s="75"/>
      <c r="D315" s="75"/>
      <c r="E315" s="75"/>
      <c r="F315" s="75"/>
      <c r="G315" s="75"/>
      <c r="H315" s="75"/>
      <c r="I315" s="75"/>
      <c r="J315" s="75"/>
      <c r="K315" s="75"/>
      <c r="L315" s="75"/>
      <c r="M315" s="75"/>
      <c r="N315" s="75"/>
      <c r="O315" s="75"/>
      <c r="P315" s="418"/>
    </row>
    <row r="316" spans="2:16">
      <c r="B316" s="417"/>
      <c r="C316" s="75"/>
      <c r="D316" s="75"/>
      <c r="E316" s="75"/>
      <c r="F316" s="75"/>
      <c r="G316" s="75"/>
      <c r="H316" s="75"/>
      <c r="I316" s="75"/>
      <c r="J316" s="75"/>
      <c r="K316" s="75"/>
      <c r="L316" s="75"/>
      <c r="M316" s="75"/>
      <c r="N316" s="75"/>
      <c r="O316" s="75"/>
      <c r="P316" s="418"/>
    </row>
    <row r="317" spans="2:16">
      <c r="B317" s="417"/>
      <c r="C317" s="75"/>
      <c r="D317" s="75"/>
      <c r="E317" s="75"/>
      <c r="F317" s="75"/>
      <c r="G317" s="75"/>
      <c r="H317" s="75"/>
      <c r="I317" s="75"/>
      <c r="J317" s="75"/>
      <c r="K317" s="75"/>
      <c r="L317" s="75"/>
      <c r="M317" s="75"/>
      <c r="N317" s="75"/>
      <c r="O317" s="75"/>
      <c r="P317" s="418"/>
    </row>
    <row r="318" spans="2:16">
      <c r="B318" s="417"/>
      <c r="C318" s="75"/>
      <c r="D318" s="75"/>
      <c r="E318" s="75"/>
      <c r="F318" s="75"/>
      <c r="G318" s="75"/>
      <c r="H318" s="75"/>
      <c r="I318" s="75"/>
      <c r="J318" s="75"/>
      <c r="K318" s="75"/>
      <c r="L318" s="75"/>
      <c r="M318" s="75"/>
      <c r="N318" s="75"/>
      <c r="O318" s="75"/>
      <c r="P318" s="418"/>
    </row>
    <row r="319" spans="2:16">
      <c r="B319" s="417"/>
      <c r="C319" s="75"/>
      <c r="D319" s="75"/>
      <c r="E319" s="75"/>
      <c r="F319" s="75"/>
      <c r="G319" s="75"/>
      <c r="H319" s="75"/>
      <c r="I319" s="75"/>
      <c r="J319" s="75"/>
      <c r="K319" s="75"/>
      <c r="L319" s="75"/>
      <c r="M319" s="75"/>
      <c r="N319" s="75"/>
      <c r="O319" s="75"/>
      <c r="P319" s="418"/>
    </row>
    <row r="320" spans="2:16">
      <c r="B320" s="417"/>
      <c r="C320" s="75"/>
      <c r="D320" s="75"/>
      <c r="E320" s="75"/>
      <c r="F320" s="75"/>
      <c r="G320" s="75"/>
      <c r="H320" s="75"/>
      <c r="I320" s="75"/>
      <c r="J320" s="75"/>
      <c r="K320" s="75"/>
      <c r="L320" s="75"/>
      <c r="M320" s="75"/>
      <c r="N320" s="75"/>
      <c r="O320" s="75"/>
      <c r="P320" s="418"/>
    </row>
    <row r="321" spans="2:16">
      <c r="B321" s="417"/>
      <c r="C321" s="75"/>
      <c r="D321" s="75"/>
      <c r="E321" s="75"/>
      <c r="F321" s="75"/>
      <c r="G321" s="75"/>
      <c r="H321" s="75"/>
      <c r="I321" s="75"/>
      <c r="J321" s="75"/>
      <c r="K321" s="75"/>
      <c r="L321" s="75"/>
      <c r="M321" s="75"/>
      <c r="N321" s="75"/>
      <c r="O321" s="75"/>
      <c r="P321" s="418"/>
    </row>
    <row r="322" spans="2:16" ht="15.75" thickBot="1">
      <c r="B322" s="419"/>
      <c r="C322" s="420"/>
      <c r="D322" s="420"/>
      <c r="E322" s="420"/>
      <c r="F322" s="420"/>
      <c r="G322" s="420"/>
      <c r="H322" s="420"/>
      <c r="I322" s="420"/>
      <c r="J322" s="420"/>
      <c r="K322" s="420"/>
      <c r="L322" s="420"/>
      <c r="M322" s="420"/>
      <c r="N322" s="420"/>
      <c r="O322" s="420"/>
      <c r="P322" s="421"/>
    </row>
    <row r="323" spans="2:16">
      <c r="B323" s="75"/>
      <c r="C323" s="75"/>
      <c r="D323" s="75"/>
      <c r="E323" s="75"/>
      <c r="F323" s="75"/>
      <c r="G323" s="75"/>
      <c r="H323" s="75"/>
      <c r="I323" s="75"/>
      <c r="J323" s="75"/>
      <c r="K323" s="75"/>
      <c r="L323" s="75"/>
      <c r="M323" s="75"/>
      <c r="N323" s="75"/>
      <c r="O323" s="75"/>
      <c r="P323" s="75"/>
    </row>
    <row r="324" spans="2:16">
      <c r="B324" s="75"/>
      <c r="C324" s="75"/>
      <c r="D324" s="75"/>
      <c r="E324" s="75"/>
      <c r="F324" s="75"/>
      <c r="G324" s="75"/>
      <c r="H324" s="75"/>
      <c r="I324" s="75"/>
      <c r="J324" s="75"/>
      <c r="K324" s="75"/>
      <c r="L324" s="75"/>
      <c r="M324" s="75"/>
      <c r="N324" s="75"/>
      <c r="O324" s="75"/>
      <c r="P324" s="75"/>
    </row>
    <row r="325" spans="2:16" ht="15.75" thickBot="1"/>
    <row r="326" spans="2:16">
      <c r="B326" s="764"/>
      <c r="C326" s="765"/>
      <c r="D326" s="765"/>
      <c r="E326" s="765"/>
      <c r="F326" s="765"/>
      <c r="G326" s="765"/>
      <c r="H326" s="765"/>
      <c r="I326" s="765"/>
      <c r="J326" s="765"/>
      <c r="K326" s="765"/>
      <c r="L326" s="765"/>
      <c r="M326" s="765"/>
      <c r="N326" s="765"/>
      <c r="O326" s="765"/>
      <c r="P326" s="766"/>
    </row>
    <row r="327" spans="2:16" ht="18.75">
      <c r="B327" s="767"/>
      <c r="C327" s="370" t="s">
        <v>632</v>
      </c>
      <c r="D327" s="75"/>
      <c r="E327" s="75"/>
      <c r="F327" s="75"/>
      <c r="G327" s="75"/>
      <c r="H327" s="75"/>
      <c r="I327" s="75"/>
      <c r="J327" s="75"/>
      <c r="K327" s="75"/>
      <c r="L327" s="75"/>
      <c r="M327" s="75"/>
      <c r="N327" s="75"/>
      <c r="O327" s="75"/>
      <c r="P327" s="768"/>
    </row>
    <row r="328" spans="2:16">
      <c r="B328" s="767"/>
      <c r="C328" s="75"/>
      <c r="D328" s="75"/>
      <c r="E328" s="75"/>
      <c r="F328" s="75"/>
      <c r="G328" s="75"/>
      <c r="H328" s="75"/>
      <c r="I328" s="75"/>
      <c r="J328" s="75"/>
      <c r="K328" s="75"/>
      <c r="L328" s="75"/>
      <c r="M328" s="75"/>
      <c r="N328" s="75"/>
      <c r="O328" s="75"/>
      <c r="P328" s="768"/>
    </row>
    <row r="329" spans="2:16">
      <c r="B329" s="767"/>
      <c r="C329" s="372" t="s">
        <v>615</v>
      </c>
      <c r="D329" s="75"/>
      <c r="E329" s="75"/>
      <c r="F329" s="75"/>
      <c r="G329" s="75"/>
      <c r="H329" s="75"/>
      <c r="I329" s="75"/>
      <c r="J329" s="75"/>
      <c r="K329" s="75"/>
      <c r="L329" s="75"/>
      <c r="M329" s="75"/>
      <c r="N329" s="75"/>
      <c r="O329" s="75"/>
      <c r="P329" s="768"/>
    </row>
    <row r="330" spans="2:16">
      <c r="B330" s="767"/>
      <c r="C330" s="75"/>
      <c r="D330" s="75"/>
      <c r="E330" s="75"/>
      <c r="F330" s="75"/>
      <c r="G330" s="75"/>
      <c r="H330" s="75"/>
      <c r="I330" s="75"/>
      <c r="J330" s="75"/>
      <c r="K330" s="75"/>
      <c r="L330" s="75"/>
      <c r="M330" s="75"/>
      <c r="N330" s="75"/>
      <c r="O330" s="75"/>
      <c r="P330" s="768"/>
    </row>
    <row r="331" spans="2:16">
      <c r="B331" s="767"/>
      <c r="C331" s="75"/>
      <c r="D331" s="75"/>
      <c r="E331" s="75"/>
      <c r="F331" s="75"/>
      <c r="G331" s="75"/>
      <c r="H331" s="75"/>
      <c r="I331" s="75"/>
      <c r="J331" s="75"/>
      <c r="K331" s="75"/>
      <c r="L331" s="75"/>
      <c r="M331" s="75"/>
      <c r="N331" s="75"/>
      <c r="O331" s="75"/>
      <c r="P331" s="768"/>
    </row>
    <row r="332" spans="2:16">
      <c r="B332" s="767"/>
      <c r="C332" s="75"/>
      <c r="D332" s="75"/>
      <c r="E332" s="75"/>
      <c r="F332" s="75"/>
      <c r="G332" s="75"/>
      <c r="H332" s="75"/>
      <c r="I332" s="75"/>
      <c r="J332" s="75"/>
      <c r="K332" s="75"/>
      <c r="L332" s="75"/>
      <c r="M332" s="75"/>
      <c r="N332" s="75"/>
      <c r="O332" s="75"/>
      <c r="P332" s="768"/>
    </row>
    <row r="333" spans="2:16">
      <c r="B333" s="767"/>
      <c r="C333" s="75"/>
      <c r="D333" s="75"/>
      <c r="E333" s="75"/>
      <c r="F333" s="75"/>
      <c r="G333" s="75"/>
      <c r="H333" s="75"/>
      <c r="I333" s="75"/>
      <c r="J333" s="75"/>
      <c r="K333" s="75"/>
      <c r="L333" s="75"/>
      <c r="M333" s="75"/>
      <c r="N333" s="75"/>
      <c r="O333" s="75"/>
      <c r="P333" s="768"/>
    </row>
    <row r="334" spans="2:16">
      <c r="B334" s="767"/>
      <c r="C334" s="75"/>
      <c r="D334" s="75"/>
      <c r="E334" s="75"/>
      <c r="F334" s="75"/>
      <c r="G334" s="75"/>
      <c r="H334" s="75"/>
      <c r="I334" s="75"/>
      <c r="J334" s="75"/>
      <c r="K334" s="75"/>
      <c r="L334" s="75"/>
      <c r="M334" s="75"/>
      <c r="N334" s="75"/>
      <c r="O334" s="75"/>
      <c r="P334" s="768"/>
    </row>
    <row r="335" spans="2:16">
      <c r="B335" s="767"/>
      <c r="C335" s="75"/>
      <c r="D335" s="75"/>
      <c r="E335" s="75"/>
      <c r="F335" s="75"/>
      <c r="G335" s="75"/>
      <c r="H335" s="75"/>
      <c r="I335" s="75"/>
      <c r="J335" s="75"/>
      <c r="K335" s="75"/>
      <c r="L335" s="75"/>
      <c r="M335" s="75"/>
      <c r="N335" s="75"/>
      <c r="O335" s="75"/>
      <c r="P335" s="768"/>
    </row>
    <row r="336" spans="2:16">
      <c r="B336" s="767"/>
      <c r="C336" s="75"/>
      <c r="D336" s="75"/>
      <c r="E336" s="75"/>
      <c r="F336" s="75"/>
      <c r="G336" s="75"/>
      <c r="H336" s="75"/>
      <c r="I336" s="75"/>
      <c r="J336" s="75"/>
      <c r="K336" s="75"/>
      <c r="L336" s="75"/>
      <c r="M336" s="75"/>
      <c r="N336" s="75"/>
      <c r="O336" s="75"/>
      <c r="P336" s="768"/>
    </row>
    <row r="337" spans="2:18">
      <c r="B337" s="767"/>
      <c r="C337" s="75"/>
      <c r="D337" s="75"/>
      <c r="E337" s="75"/>
      <c r="F337" s="75"/>
      <c r="G337" s="75"/>
      <c r="H337" s="75"/>
      <c r="I337" s="75"/>
      <c r="J337" s="75"/>
      <c r="K337" s="75"/>
      <c r="L337" s="75"/>
      <c r="M337" s="75"/>
      <c r="N337" s="75"/>
      <c r="O337" s="75"/>
      <c r="P337" s="768"/>
    </row>
    <row r="338" spans="2:18">
      <c r="B338" s="767"/>
      <c r="C338" s="75"/>
      <c r="D338" s="75"/>
      <c r="E338" s="75"/>
      <c r="F338" s="75"/>
      <c r="G338" s="75"/>
      <c r="H338" s="75"/>
      <c r="I338" s="75"/>
      <c r="J338" s="75"/>
      <c r="K338" s="75"/>
      <c r="L338" s="75"/>
      <c r="M338" s="75"/>
      <c r="N338" s="75"/>
      <c r="O338" s="75"/>
      <c r="P338" s="768"/>
    </row>
    <row r="339" spans="2:18">
      <c r="B339" s="767"/>
      <c r="C339" s="75"/>
      <c r="D339" s="75"/>
      <c r="E339" s="75"/>
      <c r="F339" s="75"/>
      <c r="G339" s="75"/>
      <c r="H339" s="75"/>
      <c r="I339" s="75"/>
      <c r="J339" s="75"/>
      <c r="K339" s="75"/>
      <c r="L339" s="75"/>
      <c r="M339" s="75"/>
      <c r="N339" s="75"/>
      <c r="O339" s="75"/>
      <c r="P339" s="768"/>
    </row>
    <row r="340" spans="2:18">
      <c r="B340" s="767"/>
      <c r="C340" s="75"/>
      <c r="D340" s="75"/>
      <c r="E340" s="75"/>
      <c r="F340" s="75"/>
      <c r="G340" s="75"/>
      <c r="H340" s="75"/>
      <c r="I340" s="75"/>
      <c r="J340" s="75"/>
      <c r="K340" s="75"/>
      <c r="L340" s="75"/>
      <c r="M340" s="75"/>
      <c r="N340" s="75"/>
      <c r="O340" s="75"/>
      <c r="P340" s="768"/>
    </row>
    <row r="341" spans="2:18">
      <c r="B341" s="767"/>
      <c r="C341" s="75"/>
      <c r="D341" s="75"/>
      <c r="E341" s="75"/>
      <c r="F341" s="75"/>
      <c r="G341" s="75"/>
      <c r="H341" s="75"/>
      <c r="I341" s="75"/>
      <c r="J341" s="75"/>
      <c r="K341" s="75"/>
      <c r="L341" s="75"/>
      <c r="M341" s="75"/>
      <c r="N341" s="75"/>
      <c r="O341" s="75"/>
      <c r="P341" s="768"/>
    </row>
    <row r="342" spans="2:18">
      <c r="B342" s="767"/>
      <c r="C342" s="75"/>
      <c r="D342" s="75"/>
      <c r="E342" s="75"/>
      <c r="F342" s="75"/>
      <c r="G342" s="75"/>
      <c r="H342" s="75"/>
      <c r="I342" s="75"/>
      <c r="J342" s="75"/>
      <c r="K342" s="75"/>
      <c r="L342" s="75"/>
      <c r="M342" s="75"/>
      <c r="N342" s="75"/>
      <c r="O342" s="75"/>
      <c r="P342" s="768"/>
    </row>
    <row r="343" spans="2:18">
      <c r="B343" s="767"/>
      <c r="C343" s="75"/>
      <c r="D343" s="75"/>
      <c r="E343" s="75"/>
      <c r="F343" s="75"/>
      <c r="G343" s="75"/>
      <c r="H343" s="75"/>
      <c r="I343" s="75"/>
      <c r="J343" s="75"/>
      <c r="K343" s="75"/>
      <c r="L343" s="75"/>
      <c r="M343" s="75"/>
      <c r="N343" s="75"/>
      <c r="O343" s="75"/>
      <c r="P343" s="768"/>
    </row>
    <row r="344" spans="2:18">
      <c r="B344" s="767"/>
      <c r="C344" s="75"/>
      <c r="D344" s="75"/>
      <c r="E344" s="75"/>
      <c r="F344" s="75"/>
      <c r="G344" s="75"/>
      <c r="H344" s="75"/>
      <c r="I344" s="75"/>
      <c r="J344" s="75"/>
      <c r="K344" s="75"/>
      <c r="L344" s="75"/>
      <c r="M344" s="75"/>
      <c r="N344" s="75"/>
      <c r="O344" s="75"/>
      <c r="P344" s="768"/>
    </row>
    <row r="345" spans="2:18">
      <c r="B345" s="767"/>
      <c r="C345" s="75"/>
      <c r="D345" s="75"/>
      <c r="E345" s="75"/>
      <c r="F345" s="75"/>
      <c r="G345" s="75"/>
      <c r="H345" s="75"/>
      <c r="I345" s="75"/>
      <c r="J345" s="75"/>
      <c r="K345" s="75"/>
      <c r="L345" s="75"/>
      <c r="M345" s="75"/>
      <c r="N345" s="75"/>
      <c r="O345" s="75"/>
      <c r="P345" s="768"/>
    </row>
    <row r="346" spans="2:18">
      <c r="B346" s="769"/>
      <c r="C346" s="75"/>
      <c r="D346" s="374"/>
      <c r="E346" s="374"/>
      <c r="F346" s="374"/>
      <c r="G346" s="374"/>
      <c r="H346" s="374"/>
      <c r="I346" s="374"/>
      <c r="J346" s="374"/>
      <c r="K346" s="374"/>
      <c r="L346" s="374"/>
      <c r="M346" s="374"/>
      <c r="N346" s="374"/>
      <c r="O346" s="374"/>
      <c r="P346" s="770"/>
      <c r="Q346" s="296"/>
      <c r="R346" s="296"/>
    </row>
    <row r="347" spans="2:18">
      <c r="B347" s="769"/>
      <c r="C347" s="374"/>
      <c r="D347" s="374"/>
      <c r="E347" s="374"/>
      <c r="F347" s="374"/>
      <c r="G347" s="374"/>
      <c r="H347" s="374"/>
      <c r="I347" s="374"/>
      <c r="J347" s="374"/>
      <c r="K347" s="374"/>
      <c r="L347" s="374"/>
      <c r="M347" s="374"/>
      <c r="N347" s="374"/>
      <c r="O347" s="374"/>
      <c r="P347" s="770"/>
      <c r="Q347" s="296"/>
      <c r="R347" s="296"/>
    </row>
    <row r="348" spans="2:18">
      <c r="B348" s="769"/>
      <c r="C348" s="374"/>
      <c r="D348" s="374"/>
      <c r="E348" s="374"/>
      <c r="F348" s="374"/>
      <c r="G348" s="374"/>
      <c r="H348" s="374"/>
      <c r="I348" s="374"/>
      <c r="J348" s="374"/>
      <c r="K348" s="374"/>
      <c r="L348" s="374"/>
      <c r="M348" s="374"/>
      <c r="N348" s="374"/>
      <c r="O348" s="374"/>
      <c r="P348" s="770"/>
      <c r="Q348" s="296"/>
      <c r="R348" s="296"/>
    </row>
    <row r="349" spans="2:18">
      <c r="B349" s="769"/>
      <c r="C349" s="372" t="s">
        <v>625</v>
      </c>
      <c r="D349" s="374"/>
      <c r="E349" s="374"/>
      <c r="F349" s="374"/>
      <c r="G349" s="374"/>
      <c r="H349" s="374"/>
      <c r="I349" s="374"/>
      <c r="J349" s="374"/>
      <c r="K349" s="374"/>
      <c r="L349" s="374"/>
      <c r="M349" s="374"/>
      <c r="N349" s="374"/>
      <c r="O349" s="374"/>
      <c r="P349" s="770"/>
      <c r="Q349" s="296"/>
      <c r="R349" s="296"/>
    </row>
    <row r="350" spans="2:18" s="763" customFormat="1">
      <c r="B350" s="771"/>
      <c r="C350" s="760"/>
      <c r="D350" s="761" t="s">
        <v>528</v>
      </c>
      <c r="E350" s="761"/>
      <c r="F350" s="761"/>
      <c r="G350" s="761"/>
      <c r="H350" s="761"/>
      <c r="I350" s="761"/>
      <c r="J350" s="761"/>
      <c r="K350" s="761"/>
      <c r="L350" s="761"/>
      <c r="M350" s="761"/>
      <c r="N350" s="761"/>
      <c r="O350" s="761"/>
      <c r="P350" s="772"/>
      <c r="Q350" s="762"/>
      <c r="R350" s="762"/>
    </row>
    <row r="351" spans="2:18">
      <c r="B351" s="769"/>
      <c r="C351" s="374"/>
      <c r="D351" s="374"/>
      <c r="E351" s="374"/>
      <c r="F351" s="374"/>
      <c r="G351" s="374"/>
      <c r="H351" s="374"/>
      <c r="I351" s="374"/>
      <c r="J351" s="374"/>
      <c r="K351" s="374"/>
      <c r="L351" s="374"/>
      <c r="M351" s="374"/>
      <c r="N351" s="374"/>
      <c r="O351" s="374"/>
      <c r="P351" s="770"/>
      <c r="Q351" s="296"/>
      <c r="R351" s="296"/>
    </row>
    <row r="352" spans="2:18">
      <c r="B352" s="769"/>
      <c r="C352" s="374"/>
      <c r="D352" s="374"/>
      <c r="E352" s="374"/>
      <c r="F352" s="374"/>
      <c r="G352" s="374"/>
      <c r="H352" s="374"/>
      <c r="I352" s="374"/>
      <c r="J352" s="374"/>
      <c r="K352" s="374"/>
      <c r="L352" s="374"/>
      <c r="M352" s="374"/>
      <c r="N352" s="374"/>
      <c r="O352" s="374"/>
      <c r="P352" s="770"/>
      <c r="Q352" s="296"/>
      <c r="R352" s="296"/>
    </row>
    <row r="353" spans="2:18">
      <c r="B353" s="769"/>
      <c r="C353" s="374"/>
      <c r="D353" s="374"/>
      <c r="E353" s="374"/>
      <c r="F353" s="374"/>
      <c r="G353" s="374"/>
      <c r="H353" s="374"/>
      <c r="I353" s="374"/>
      <c r="J353" s="374"/>
      <c r="K353" s="374"/>
      <c r="L353" s="374"/>
      <c r="M353" s="374"/>
      <c r="N353" s="374"/>
      <c r="O353" s="374"/>
      <c r="P353" s="770"/>
      <c r="Q353" s="296"/>
      <c r="R353" s="296"/>
    </row>
    <row r="354" spans="2:18">
      <c r="B354" s="769"/>
      <c r="C354" s="374"/>
      <c r="D354" s="374"/>
      <c r="E354" s="374"/>
      <c r="F354" s="374"/>
      <c r="G354" s="374"/>
      <c r="H354" s="374"/>
      <c r="I354" s="374"/>
      <c r="J354" s="374"/>
      <c r="K354" s="374"/>
      <c r="L354" s="374"/>
      <c r="M354" s="374"/>
      <c r="N354" s="374"/>
      <c r="O354" s="374"/>
      <c r="P354" s="770"/>
      <c r="Q354" s="296"/>
      <c r="R354" s="296"/>
    </row>
    <row r="355" spans="2:18">
      <c r="B355" s="769"/>
      <c r="C355" s="374"/>
      <c r="D355" s="374"/>
      <c r="E355" s="374"/>
      <c r="F355" s="374"/>
      <c r="G355" s="374"/>
      <c r="H355" s="374"/>
      <c r="I355" s="374"/>
      <c r="J355" s="374"/>
      <c r="K355" s="374"/>
      <c r="L355" s="374"/>
      <c r="M355" s="374"/>
      <c r="N355" s="374"/>
      <c r="O355" s="374"/>
      <c r="P355" s="770"/>
      <c r="Q355" s="296"/>
      <c r="R355" s="296"/>
    </row>
    <row r="356" spans="2:18">
      <c r="B356" s="769"/>
      <c r="C356" s="374"/>
      <c r="D356" s="374"/>
      <c r="E356" s="374"/>
      <c r="F356" s="374"/>
      <c r="G356" s="374"/>
      <c r="H356" s="374"/>
      <c r="I356" s="374"/>
      <c r="J356" s="374"/>
      <c r="K356" s="374"/>
      <c r="L356" s="374"/>
      <c r="M356" s="374"/>
      <c r="N356" s="374"/>
      <c r="O356" s="374"/>
      <c r="P356" s="770"/>
      <c r="Q356" s="296"/>
      <c r="R356" s="296"/>
    </row>
    <row r="357" spans="2:18">
      <c r="B357" s="769"/>
      <c r="C357" s="374"/>
      <c r="D357" s="374"/>
      <c r="E357" s="374"/>
      <c r="F357" s="374"/>
      <c r="G357" s="374"/>
      <c r="H357" s="374"/>
      <c r="I357" s="374"/>
      <c r="J357" s="374"/>
      <c r="K357" s="374"/>
      <c r="L357" s="374"/>
      <c r="M357" s="374"/>
      <c r="N357" s="374"/>
      <c r="O357" s="374"/>
      <c r="P357" s="770"/>
      <c r="Q357" s="296"/>
      <c r="R357" s="296"/>
    </row>
    <row r="358" spans="2:18">
      <c r="B358" s="769"/>
      <c r="C358" s="374"/>
      <c r="D358" s="374"/>
      <c r="E358" s="374"/>
      <c r="F358" s="374"/>
      <c r="G358" s="374"/>
      <c r="H358" s="374"/>
      <c r="I358" s="374"/>
      <c r="J358" s="374"/>
      <c r="K358" s="374"/>
      <c r="L358" s="374"/>
      <c r="M358" s="374"/>
      <c r="N358" s="374"/>
      <c r="O358" s="374"/>
      <c r="P358" s="770"/>
      <c r="Q358" s="296"/>
      <c r="R358" s="296"/>
    </row>
    <row r="359" spans="2:18">
      <c r="B359" s="769"/>
      <c r="C359" s="374"/>
      <c r="D359" s="374"/>
      <c r="E359" s="374"/>
      <c r="F359" s="374"/>
      <c r="G359" s="374"/>
      <c r="H359" s="374"/>
      <c r="I359" s="374"/>
      <c r="J359" s="374"/>
      <c r="K359" s="374"/>
      <c r="L359" s="374"/>
      <c r="M359" s="374"/>
      <c r="N359" s="374"/>
      <c r="O359" s="374"/>
      <c r="P359" s="770"/>
      <c r="Q359" s="296"/>
      <c r="R359" s="296"/>
    </row>
    <row r="360" spans="2:18">
      <c r="B360" s="769"/>
      <c r="C360" s="374"/>
      <c r="D360" s="374"/>
      <c r="E360" s="374"/>
      <c r="F360" s="374"/>
      <c r="G360" s="374"/>
      <c r="H360" s="374"/>
      <c r="I360" s="374"/>
      <c r="J360" s="374"/>
      <c r="K360" s="374"/>
      <c r="L360" s="374"/>
      <c r="M360" s="374"/>
      <c r="N360" s="374"/>
      <c r="O360" s="374"/>
      <c r="P360" s="770"/>
      <c r="Q360" s="296"/>
      <c r="R360" s="296"/>
    </row>
    <row r="361" spans="2:18">
      <c r="B361" s="767"/>
      <c r="C361" s="376"/>
      <c r="D361" s="75"/>
      <c r="E361" s="75"/>
      <c r="F361" s="75"/>
      <c r="G361" s="75"/>
      <c r="H361" s="75"/>
      <c r="I361" s="75"/>
      <c r="J361" s="75"/>
      <c r="K361" s="75"/>
      <c r="L361" s="75"/>
      <c r="M361" s="75"/>
      <c r="N361" s="75"/>
      <c r="O361" s="75"/>
      <c r="P361" s="768"/>
    </row>
    <row r="362" spans="2:18">
      <c r="B362" s="767"/>
      <c r="C362" s="75"/>
      <c r="D362" s="75"/>
      <c r="E362" s="75"/>
      <c r="F362" s="75"/>
      <c r="G362" s="75"/>
      <c r="H362" s="75"/>
      <c r="I362" s="75"/>
      <c r="J362" s="75"/>
      <c r="K362" s="75"/>
      <c r="L362" s="75"/>
      <c r="M362" s="75"/>
      <c r="N362" s="75"/>
      <c r="O362" s="75"/>
      <c r="P362" s="768"/>
    </row>
    <row r="363" spans="2:18">
      <c r="B363" s="767"/>
      <c r="C363" s="75"/>
      <c r="D363" s="75"/>
      <c r="E363" s="75"/>
      <c r="F363" s="75"/>
      <c r="G363" s="75"/>
      <c r="H363" s="75"/>
      <c r="I363" s="75"/>
      <c r="J363" s="75"/>
      <c r="K363" s="75"/>
      <c r="L363" s="75"/>
      <c r="M363" s="75"/>
      <c r="N363" s="75"/>
      <c r="O363" s="75"/>
      <c r="P363" s="768"/>
    </row>
    <row r="364" spans="2:18">
      <c r="B364" s="767"/>
      <c r="C364" s="75"/>
      <c r="D364" s="75"/>
      <c r="E364" s="75"/>
      <c r="F364" s="75"/>
      <c r="G364" s="75"/>
      <c r="H364" s="75"/>
      <c r="I364" s="75"/>
      <c r="J364" s="75"/>
      <c r="K364" s="75"/>
      <c r="L364" s="75"/>
      <c r="M364" s="75"/>
      <c r="N364" s="75"/>
      <c r="O364" s="75"/>
      <c r="P364" s="768"/>
    </row>
    <row r="365" spans="2:18">
      <c r="B365" s="767"/>
      <c r="C365" s="75"/>
      <c r="D365" s="75"/>
      <c r="E365" s="75"/>
      <c r="F365" s="75"/>
      <c r="G365" s="75"/>
      <c r="H365" s="75"/>
      <c r="I365" s="75"/>
      <c r="J365" s="75"/>
      <c r="K365" s="75"/>
      <c r="L365" s="75"/>
      <c r="M365" s="75"/>
      <c r="N365" s="75"/>
      <c r="O365" s="75"/>
      <c r="P365" s="768"/>
    </row>
    <row r="366" spans="2:18">
      <c r="B366" s="767"/>
      <c r="C366" s="75"/>
      <c r="D366" s="75"/>
      <c r="E366" s="75"/>
      <c r="F366" s="75"/>
      <c r="G366" s="75"/>
      <c r="H366" s="75"/>
      <c r="I366" s="75"/>
      <c r="J366" s="75"/>
      <c r="K366" s="75"/>
      <c r="L366" s="75"/>
      <c r="M366" s="75"/>
      <c r="N366" s="75"/>
      <c r="O366" s="75"/>
      <c r="P366" s="768"/>
    </row>
    <row r="367" spans="2:18">
      <c r="B367" s="767"/>
      <c r="C367" s="75"/>
      <c r="D367" s="75"/>
      <c r="E367" s="75"/>
      <c r="F367" s="75"/>
      <c r="G367" s="75"/>
      <c r="H367" s="75"/>
      <c r="I367" s="75"/>
      <c r="J367" s="75"/>
      <c r="K367" s="75"/>
      <c r="L367" s="75"/>
      <c r="M367" s="75"/>
      <c r="N367" s="75"/>
      <c r="O367" s="75"/>
      <c r="P367" s="768"/>
    </row>
    <row r="368" spans="2:18">
      <c r="B368" s="767"/>
      <c r="C368" s="75"/>
      <c r="D368" s="761" t="s">
        <v>529</v>
      </c>
      <c r="E368" s="75"/>
      <c r="F368" s="75"/>
      <c r="G368" s="75"/>
      <c r="H368" s="75"/>
      <c r="I368" s="75"/>
      <c r="J368" s="75"/>
      <c r="K368" s="75"/>
      <c r="L368" s="75"/>
      <c r="M368" s="75"/>
      <c r="N368" s="75"/>
      <c r="O368" s="75"/>
      <c r="P368" s="768"/>
    </row>
    <row r="369" spans="2:16">
      <c r="B369" s="767"/>
      <c r="C369" s="75"/>
      <c r="D369" s="75"/>
      <c r="E369" s="75"/>
      <c r="F369" s="75"/>
      <c r="G369" s="75"/>
      <c r="H369" s="75"/>
      <c r="I369" s="75"/>
      <c r="J369" s="75"/>
      <c r="K369" s="75"/>
      <c r="L369" s="75"/>
      <c r="M369" s="75"/>
      <c r="N369" s="75"/>
      <c r="O369" s="75"/>
      <c r="P369" s="768"/>
    </row>
    <row r="370" spans="2:16">
      <c r="B370" s="767"/>
      <c r="C370" s="75"/>
      <c r="D370" s="75"/>
      <c r="E370" s="75"/>
      <c r="F370" s="75"/>
      <c r="G370" s="75"/>
      <c r="H370" s="75"/>
      <c r="I370" s="75"/>
      <c r="J370" s="75"/>
      <c r="K370" s="75"/>
      <c r="L370" s="75"/>
      <c r="M370" s="75"/>
      <c r="N370" s="75"/>
      <c r="O370" s="75"/>
      <c r="P370" s="768"/>
    </row>
    <row r="371" spans="2:16">
      <c r="B371" s="767"/>
      <c r="C371" s="75"/>
      <c r="D371" s="75"/>
      <c r="E371" s="75"/>
      <c r="F371" s="75"/>
      <c r="G371" s="75"/>
      <c r="H371" s="75"/>
      <c r="I371" s="75"/>
      <c r="J371" s="75"/>
      <c r="K371" s="75"/>
      <c r="L371" s="75"/>
      <c r="M371" s="75"/>
      <c r="N371" s="75"/>
      <c r="O371" s="75"/>
      <c r="P371" s="768"/>
    </row>
    <row r="372" spans="2:16">
      <c r="B372" s="767"/>
      <c r="C372" s="75"/>
      <c r="D372" s="75"/>
      <c r="E372" s="75"/>
      <c r="F372" s="75"/>
      <c r="G372" s="75"/>
      <c r="H372" s="75"/>
      <c r="I372" s="75"/>
      <c r="J372" s="75"/>
      <c r="K372" s="75"/>
      <c r="L372" s="75"/>
      <c r="M372" s="75"/>
      <c r="N372" s="75"/>
      <c r="O372" s="75"/>
      <c r="P372" s="768"/>
    </row>
    <row r="373" spans="2:16">
      <c r="B373" s="767"/>
      <c r="C373" s="75"/>
      <c r="D373" s="75"/>
      <c r="E373" s="75"/>
      <c r="F373" s="75"/>
      <c r="G373" s="75"/>
      <c r="H373" s="75"/>
      <c r="I373" s="75"/>
      <c r="J373" s="75"/>
      <c r="K373" s="75"/>
      <c r="L373" s="75"/>
      <c r="M373" s="75"/>
      <c r="N373" s="75"/>
      <c r="O373" s="75"/>
      <c r="P373" s="768"/>
    </row>
    <row r="374" spans="2:16">
      <c r="B374" s="767"/>
      <c r="C374" s="75"/>
      <c r="D374" s="75"/>
      <c r="E374" s="75"/>
      <c r="F374" s="75"/>
      <c r="G374" s="75"/>
      <c r="H374" s="75"/>
      <c r="I374" s="75"/>
      <c r="J374" s="75"/>
      <c r="K374" s="75"/>
      <c r="L374" s="75"/>
      <c r="M374" s="75"/>
      <c r="N374" s="75"/>
      <c r="O374" s="75"/>
      <c r="P374" s="768"/>
    </row>
    <row r="375" spans="2:16">
      <c r="B375" s="767"/>
      <c r="C375" s="75"/>
      <c r="D375" s="75"/>
      <c r="E375" s="75"/>
      <c r="F375" s="75"/>
      <c r="G375" s="75"/>
      <c r="H375" s="75"/>
      <c r="I375" s="75"/>
      <c r="J375" s="75"/>
      <c r="K375" s="75"/>
      <c r="L375" s="75"/>
      <c r="M375" s="75"/>
      <c r="N375" s="75"/>
      <c r="O375" s="75"/>
      <c r="P375" s="768"/>
    </row>
    <row r="376" spans="2:16">
      <c r="B376" s="767"/>
      <c r="C376" s="75"/>
      <c r="D376" s="75"/>
      <c r="E376" s="75"/>
      <c r="F376" s="75"/>
      <c r="G376" s="75"/>
      <c r="H376" s="75"/>
      <c r="I376" s="75"/>
      <c r="J376" s="75"/>
      <c r="K376" s="75"/>
      <c r="L376" s="75"/>
      <c r="M376" s="75"/>
      <c r="N376" s="75"/>
      <c r="O376" s="75"/>
      <c r="P376" s="768"/>
    </row>
    <row r="377" spans="2:16">
      <c r="B377" s="767"/>
      <c r="C377" s="75"/>
      <c r="D377" s="75"/>
      <c r="E377" s="75"/>
      <c r="F377" s="75"/>
      <c r="G377" s="75"/>
      <c r="H377" s="75"/>
      <c r="I377" s="75"/>
      <c r="J377" s="75"/>
      <c r="K377" s="75"/>
      <c r="L377" s="75"/>
      <c r="M377" s="75"/>
      <c r="N377" s="75"/>
      <c r="O377" s="75"/>
      <c r="P377" s="768"/>
    </row>
    <row r="378" spans="2:16">
      <c r="B378" s="767"/>
      <c r="C378" s="75"/>
      <c r="D378" s="75"/>
      <c r="E378" s="75"/>
      <c r="F378" s="75"/>
      <c r="G378" s="75"/>
      <c r="H378" s="75"/>
      <c r="I378" s="75"/>
      <c r="J378" s="75"/>
      <c r="K378" s="75"/>
      <c r="L378" s="75"/>
      <c r="M378" s="75"/>
      <c r="N378" s="75"/>
      <c r="O378" s="75"/>
      <c r="P378" s="768"/>
    </row>
    <row r="379" spans="2:16">
      <c r="B379" s="767"/>
      <c r="C379" s="75"/>
      <c r="D379" s="75"/>
      <c r="E379" s="75"/>
      <c r="F379" s="75"/>
      <c r="G379" s="75"/>
      <c r="H379" s="75"/>
      <c r="I379" s="75"/>
      <c r="J379" s="75"/>
      <c r="K379" s="75"/>
      <c r="L379" s="75"/>
      <c r="M379" s="75"/>
      <c r="N379" s="75"/>
      <c r="O379" s="75"/>
      <c r="P379" s="768"/>
    </row>
    <row r="380" spans="2:16">
      <c r="B380" s="767"/>
      <c r="C380" s="75"/>
      <c r="D380" s="75"/>
      <c r="E380" s="75"/>
      <c r="F380" s="75"/>
      <c r="G380" s="75"/>
      <c r="H380" s="75"/>
      <c r="I380" s="75"/>
      <c r="J380" s="75"/>
      <c r="K380" s="75"/>
      <c r="L380" s="75"/>
      <c r="M380" s="75"/>
      <c r="N380" s="75"/>
      <c r="O380" s="75"/>
      <c r="P380" s="768"/>
    </row>
    <row r="381" spans="2:16">
      <c r="B381" s="767"/>
      <c r="C381" s="75"/>
      <c r="D381" s="75"/>
      <c r="E381" s="75"/>
      <c r="F381" s="75"/>
      <c r="G381" s="75"/>
      <c r="H381" s="75"/>
      <c r="I381" s="75"/>
      <c r="J381" s="75"/>
      <c r="K381" s="75"/>
      <c r="L381" s="75"/>
      <c r="M381" s="75"/>
      <c r="N381" s="75"/>
      <c r="O381" s="75"/>
      <c r="P381" s="768"/>
    </row>
    <row r="382" spans="2:16">
      <c r="B382" s="767"/>
      <c r="C382" s="75"/>
      <c r="D382" s="75"/>
      <c r="E382" s="75"/>
      <c r="F382" s="75"/>
      <c r="G382" s="75"/>
      <c r="H382" s="75"/>
      <c r="I382" s="75"/>
      <c r="J382" s="75"/>
      <c r="K382" s="75"/>
      <c r="L382" s="75"/>
      <c r="M382" s="75"/>
      <c r="N382" s="75"/>
      <c r="O382" s="75"/>
      <c r="P382" s="768"/>
    </row>
    <row r="383" spans="2:16">
      <c r="B383" s="767"/>
      <c r="C383" s="75"/>
      <c r="D383" s="75"/>
      <c r="E383" s="75"/>
      <c r="F383" s="75"/>
      <c r="G383" s="75"/>
      <c r="H383" s="75"/>
      <c r="I383" s="75"/>
      <c r="J383" s="75"/>
      <c r="K383" s="75"/>
      <c r="L383" s="75"/>
      <c r="M383" s="75"/>
      <c r="N383" s="75"/>
      <c r="O383" s="75"/>
      <c r="P383" s="768"/>
    </row>
    <row r="384" spans="2:16">
      <c r="B384" s="767"/>
      <c r="C384" s="75"/>
      <c r="D384" s="75"/>
      <c r="E384" s="75"/>
      <c r="F384" s="75"/>
      <c r="G384" s="75"/>
      <c r="H384" s="75"/>
      <c r="I384" s="75"/>
      <c r="J384" s="75"/>
      <c r="K384" s="75"/>
      <c r="L384" s="75"/>
      <c r="M384" s="75"/>
      <c r="N384" s="75"/>
      <c r="O384" s="75"/>
      <c r="P384" s="768"/>
    </row>
    <row r="385" spans="2:16">
      <c r="B385" s="767"/>
      <c r="C385" s="75"/>
      <c r="D385" s="75"/>
      <c r="E385" s="75"/>
      <c r="F385" s="75"/>
      <c r="G385" s="75"/>
      <c r="H385" s="75"/>
      <c r="I385" s="75"/>
      <c r="J385" s="75"/>
      <c r="K385" s="75"/>
      <c r="L385" s="75"/>
      <c r="M385" s="75"/>
      <c r="N385" s="75"/>
      <c r="O385" s="75"/>
      <c r="P385" s="768"/>
    </row>
    <row r="386" spans="2:16">
      <c r="B386" s="767"/>
      <c r="C386" s="75"/>
      <c r="D386" s="75"/>
      <c r="E386" s="75"/>
      <c r="F386" s="75"/>
      <c r="G386" s="75"/>
      <c r="H386" s="75"/>
      <c r="I386" s="75"/>
      <c r="J386" s="75"/>
      <c r="K386" s="75"/>
      <c r="L386" s="75"/>
      <c r="M386" s="75"/>
      <c r="N386" s="75"/>
      <c r="O386" s="75"/>
      <c r="P386" s="768"/>
    </row>
    <row r="387" spans="2:16">
      <c r="B387" s="767"/>
      <c r="C387" s="75"/>
      <c r="D387" s="75" t="s">
        <v>530</v>
      </c>
      <c r="E387" s="75"/>
      <c r="F387" s="75"/>
      <c r="G387" s="75"/>
      <c r="H387" s="75"/>
      <c r="I387" s="75"/>
      <c r="J387" s="75"/>
      <c r="K387" s="75"/>
      <c r="L387" s="75"/>
      <c r="M387" s="75"/>
      <c r="N387" s="75"/>
      <c r="O387" s="75"/>
      <c r="P387" s="768"/>
    </row>
    <row r="388" spans="2:16">
      <c r="B388" s="767"/>
      <c r="C388" s="75"/>
      <c r="D388" s="75"/>
      <c r="E388" s="75"/>
      <c r="F388" s="75"/>
      <c r="G388" s="75"/>
      <c r="H388" s="75"/>
      <c r="I388" s="75"/>
      <c r="J388" s="75"/>
      <c r="K388" s="75"/>
      <c r="L388" s="75"/>
      <c r="M388" s="75"/>
      <c r="N388" s="75"/>
      <c r="O388" s="75"/>
      <c r="P388" s="768"/>
    </row>
    <row r="389" spans="2:16">
      <c r="B389" s="767"/>
      <c r="C389" s="75"/>
      <c r="D389" s="75"/>
      <c r="E389" s="75"/>
      <c r="F389" s="75"/>
      <c r="G389" s="75"/>
      <c r="H389" s="75"/>
      <c r="I389" s="75"/>
      <c r="J389" s="75"/>
      <c r="K389" s="75"/>
      <c r="L389" s="75"/>
      <c r="M389" s="75"/>
      <c r="N389" s="75"/>
      <c r="O389" s="75"/>
      <c r="P389" s="768"/>
    </row>
    <row r="390" spans="2:16">
      <c r="B390" s="767"/>
      <c r="C390" s="75"/>
      <c r="D390" s="75"/>
      <c r="E390" s="75"/>
      <c r="F390" s="75"/>
      <c r="G390" s="75"/>
      <c r="H390" s="75"/>
      <c r="I390" s="75"/>
      <c r="J390" s="75"/>
      <c r="K390" s="75"/>
      <c r="L390" s="75"/>
      <c r="M390" s="75"/>
      <c r="N390" s="75"/>
      <c r="O390" s="75"/>
      <c r="P390" s="768"/>
    </row>
    <row r="391" spans="2:16">
      <c r="B391" s="767"/>
      <c r="C391" s="75"/>
      <c r="D391" s="75"/>
      <c r="E391" s="75"/>
      <c r="F391" s="75"/>
      <c r="G391" s="75"/>
      <c r="H391" s="75"/>
      <c r="I391" s="75"/>
      <c r="J391" s="75"/>
      <c r="K391" s="75"/>
      <c r="L391" s="75"/>
      <c r="M391" s="75"/>
      <c r="N391" s="75"/>
      <c r="O391" s="75"/>
      <c r="P391" s="768"/>
    </row>
    <row r="392" spans="2:16">
      <c r="B392" s="767"/>
      <c r="C392" s="75"/>
      <c r="D392" s="75"/>
      <c r="E392" s="75"/>
      <c r="F392" s="75"/>
      <c r="G392" s="75"/>
      <c r="H392" s="75"/>
      <c r="I392" s="75"/>
      <c r="J392" s="75"/>
      <c r="K392" s="75"/>
      <c r="L392" s="75"/>
      <c r="M392" s="75"/>
      <c r="N392" s="75"/>
      <c r="O392" s="75"/>
      <c r="P392" s="768"/>
    </row>
    <row r="393" spans="2:16">
      <c r="B393" s="767"/>
      <c r="C393" s="75"/>
      <c r="D393" s="75"/>
      <c r="E393" s="75"/>
      <c r="F393" s="75"/>
      <c r="G393" s="75"/>
      <c r="H393" s="75"/>
      <c r="I393" s="75"/>
      <c r="J393" s="75"/>
      <c r="K393" s="75"/>
      <c r="L393" s="75"/>
      <c r="M393" s="75"/>
      <c r="N393" s="75"/>
      <c r="O393" s="75"/>
      <c r="P393" s="768"/>
    </row>
    <row r="394" spans="2:16">
      <c r="B394" s="767"/>
      <c r="C394" s="75"/>
      <c r="D394" s="75"/>
      <c r="E394" s="75"/>
      <c r="F394" s="75"/>
      <c r="G394" s="75"/>
      <c r="H394" s="75"/>
      <c r="I394" s="75"/>
      <c r="J394" s="75"/>
      <c r="K394" s="75"/>
      <c r="L394" s="75"/>
      <c r="M394" s="75"/>
      <c r="N394" s="75"/>
      <c r="O394" s="75"/>
      <c r="P394" s="768"/>
    </row>
    <row r="395" spans="2:16">
      <c r="B395" s="767"/>
      <c r="C395" s="75"/>
      <c r="D395" s="75"/>
      <c r="E395" s="75"/>
      <c r="F395" s="75"/>
      <c r="G395" s="75"/>
      <c r="H395" s="75"/>
      <c r="I395" s="75"/>
      <c r="J395" s="75"/>
      <c r="K395" s="75"/>
      <c r="L395" s="75"/>
      <c r="M395" s="75"/>
      <c r="N395" s="75"/>
      <c r="O395" s="75"/>
      <c r="P395" s="768"/>
    </row>
    <row r="396" spans="2:16">
      <c r="B396" s="767"/>
      <c r="C396" s="75"/>
      <c r="D396" s="75"/>
      <c r="E396" s="75"/>
      <c r="F396" s="75"/>
      <c r="G396" s="75"/>
      <c r="H396" s="75"/>
      <c r="I396" s="75"/>
      <c r="J396" s="75"/>
      <c r="K396" s="75"/>
      <c r="L396" s="75"/>
      <c r="M396" s="75"/>
      <c r="N396" s="75"/>
      <c r="O396" s="75"/>
      <c r="P396" s="768"/>
    </row>
    <row r="397" spans="2:16">
      <c r="B397" s="767"/>
      <c r="C397" s="75"/>
      <c r="D397" s="75"/>
      <c r="E397" s="75"/>
      <c r="F397" s="75"/>
      <c r="G397" s="75"/>
      <c r="H397" s="75"/>
      <c r="I397" s="75"/>
      <c r="J397" s="75"/>
      <c r="K397" s="75"/>
      <c r="L397" s="75"/>
      <c r="M397" s="75"/>
      <c r="N397" s="75"/>
      <c r="O397" s="75"/>
      <c r="P397" s="768"/>
    </row>
    <row r="398" spans="2:16">
      <c r="B398" s="767"/>
      <c r="C398" s="75"/>
      <c r="D398" s="75"/>
      <c r="E398" s="75"/>
      <c r="F398" s="75"/>
      <c r="G398" s="75"/>
      <c r="H398" s="75"/>
      <c r="I398" s="75"/>
      <c r="J398" s="75"/>
      <c r="K398" s="75"/>
      <c r="L398" s="75"/>
      <c r="M398" s="75"/>
      <c r="N398" s="75"/>
      <c r="O398" s="75"/>
      <c r="P398" s="768"/>
    </row>
    <row r="399" spans="2:16">
      <c r="B399" s="767"/>
      <c r="C399" s="75"/>
      <c r="D399" s="75"/>
      <c r="E399" s="75"/>
      <c r="F399" s="75"/>
      <c r="G399" s="75"/>
      <c r="H399" s="75"/>
      <c r="I399" s="75"/>
      <c r="J399" s="75"/>
      <c r="K399" s="75"/>
      <c r="L399" s="75"/>
      <c r="M399" s="75"/>
      <c r="N399" s="75"/>
      <c r="O399" s="75"/>
      <c r="P399" s="768"/>
    </row>
    <row r="400" spans="2:16">
      <c r="B400" s="767"/>
      <c r="C400" s="75"/>
      <c r="D400" s="75"/>
      <c r="E400" s="75"/>
      <c r="F400" s="75"/>
      <c r="G400" s="75"/>
      <c r="H400" s="75"/>
      <c r="I400" s="75"/>
      <c r="J400" s="75"/>
      <c r="K400" s="75"/>
      <c r="L400" s="75"/>
      <c r="M400" s="75"/>
      <c r="N400" s="75"/>
      <c r="O400" s="75"/>
      <c r="P400" s="768"/>
    </row>
    <row r="401" spans="2:16">
      <c r="B401" s="767"/>
      <c r="C401" s="75"/>
      <c r="D401" s="75"/>
      <c r="E401" s="75"/>
      <c r="F401" s="75"/>
      <c r="G401" s="75"/>
      <c r="H401" s="75"/>
      <c r="I401" s="75"/>
      <c r="J401" s="75"/>
      <c r="K401" s="75"/>
      <c r="L401" s="75"/>
      <c r="M401" s="75"/>
      <c r="N401" s="75"/>
      <c r="O401" s="75"/>
      <c r="P401" s="768"/>
    </row>
    <row r="402" spans="2:16">
      <c r="B402" s="767"/>
      <c r="C402" s="75"/>
      <c r="D402" s="75"/>
      <c r="E402" s="75"/>
      <c r="F402" s="75"/>
      <c r="G402" s="75"/>
      <c r="H402" s="75"/>
      <c r="I402" s="75"/>
      <c r="J402" s="75"/>
      <c r="K402" s="75"/>
      <c r="L402" s="75"/>
      <c r="M402" s="75"/>
      <c r="N402" s="75"/>
      <c r="O402" s="75"/>
      <c r="P402" s="768"/>
    </row>
    <row r="403" spans="2:16">
      <c r="B403" s="767"/>
      <c r="C403" s="75"/>
      <c r="D403" s="75"/>
      <c r="E403" s="75"/>
      <c r="F403" s="75"/>
      <c r="G403" s="75"/>
      <c r="H403" s="75"/>
      <c r="I403" s="75"/>
      <c r="J403" s="75"/>
      <c r="K403" s="75"/>
      <c r="L403" s="75"/>
      <c r="M403" s="75"/>
      <c r="N403" s="75"/>
      <c r="O403" s="75"/>
      <c r="P403" s="768"/>
    </row>
    <row r="404" spans="2:16">
      <c r="B404" s="767"/>
      <c r="C404" s="75"/>
      <c r="D404" s="75"/>
      <c r="E404" s="75"/>
      <c r="F404" s="75"/>
      <c r="G404" s="75"/>
      <c r="H404" s="75"/>
      <c r="I404" s="75"/>
      <c r="J404" s="75"/>
      <c r="K404" s="75"/>
      <c r="L404" s="75"/>
      <c r="M404" s="75"/>
      <c r="N404" s="75"/>
      <c r="O404" s="75"/>
      <c r="P404" s="768"/>
    </row>
    <row r="405" spans="2:16">
      <c r="B405" s="767"/>
      <c r="C405" s="75"/>
      <c r="D405" s="75"/>
      <c r="E405" s="75"/>
      <c r="F405" s="75"/>
      <c r="G405" s="75"/>
      <c r="H405" s="75"/>
      <c r="I405" s="75"/>
      <c r="J405" s="75"/>
      <c r="K405" s="75"/>
      <c r="L405" s="75"/>
      <c r="M405" s="75"/>
      <c r="N405" s="75"/>
      <c r="O405" s="75"/>
      <c r="P405" s="768"/>
    </row>
    <row r="406" spans="2:16">
      <c r="B406" s="767"/>
      <c r="C406" s="75"/>
      <c r="D406" s="75"/>
      <c r="E406" s="75"/>
      <c r="F406" s="75"/>
      <c r="G406" s="75"/>
      <c r="H406" s="75"/>
      <c r="I406" s="75"/>
      <c r="J406" s="75"/>
      <c r="K406" s="75"/>
      <c r="L406" s="75"/>
      <c r="M406" s="75"/>
      <c r="N406" s="75"/>
      <c r="O406" s="75"/>
      <c r="P406" s="768"/>
    </row>
    <row r="407" spans="2:16" ht="15.75" thickBot="1">
      <c r="B407" s="773"/>
      <c r="C407" s="774"/>
      <c r="D407" s="774"/>
      <c r="E407" s="774"/>
      <c r="F407" s="774"/>
      <c r="G407" s="774"/>
      <c r="H407" s="774"/>
      <c r="I407" s="774"/>
      <c r="J407" s="774"/>
      <c r="K407" s="774"/>
      <c r="L407" s="774"/>
      <c r="M407" s="774"/>
      <c r="N407" s="774"/>
      <c r="O407" s="774"/>
      <c r="P407" s="775"/>
    </row>
    <row r="408" spans="2:16" s="75" customFormat="1"/>
    <row r="409" spans="2:16" ht="15.75" thickBot="1"/>
    <row r="410" spans="2:16">
      <c r="B410" s="366"/>
      <c r="C410" s="367"/>
      <c r="D410" s="367"/>
      <c r="E410" s="367"/>
      <c r="F410" s="367"/>
      <c r="G410" s="367"/>
      <c r="H410" s="367"/>
      <c r="I410" s="367"/>
      <c r="J410" s="367"/>
      <c r="K410" s="367"/>
      <c r="L410" s="367"/>
      <c r="M410" s="367"/>
      <c r="N410" s="367"/>
      <c r="O410" s="367"/>
      <c r="P410" s="368"/>
    </row>
    <row r="411" spans="2:16" ht="18.75">
      <c r="B411" s="369"/>
      <c r="C411" s="370" t="s">
        <v>633</v>
      </c>
      <c r="D411" s="75"/>
      <c r="E411" s="75"/>
      <c r="F411" s="75"/>
      <c r="G411" s="75"/>
      <c r="H411" s="75"/>
      <c r="I411" s="75"/>
      <c r="J411" s="75"/>
      <c r="K411" s="75"/>
      <c r="L411" s="75"/>
      <c r="M411" s="75"/>
      <c r="N411" s="75"/>
      <c r="O411" s="75"/>
      <c r="P411" s="371"/>
    </row>
    <row r="412" spans="2:16">
      <c r="B412" s="369"/>
      <c r="C412" s="380" t="s">
        <v>629</v>
      </c>
      <c r="D412" s="208"/>
      <c r="E412" s="208"/>
      <c r="F412" s="208"/>
      <c r="G412" s="208"/>
      <c r="H412" s="208"/>
      <c r="I412" s="208"/>
      <c r="J412" s="208"/>
      <c r="K412" s="208"/>
      <c r="L412" s="208"/>
      <c r="M412" s="208"/>
      <c r="N412" s="75"/>
      <c r="O412" s="75"/>
      <c r="P412" s="371"/>
    </row>
    <row r="413" spans="2:16">
      <c r="B413" s="369"/>
      <c r="C413" s="75"/>
      <c r="D413" s="75"/>
      <c r="E413" s="75"/>
      <c r="F413" s="75"/>
      <c r="G413" s="75"/>
      <c r="H413" s="75"/>
      <c r="I413" s="75"/>
      <c r="J413" s="75"/>
      <c r="K413" s="75"/>
      <c r="L413" s="75"/>
      <c r="M413" s="75"/>
      <c r="N413" s="75"/>
      <c r="O413" s="75"/>
      <c r="P413" s="371"/>
    </row>
    <row r="414" spans="2:16">
      <c r="B414" s="369"/>
      <c r="C414" s="75"/>
      <c r="D414" s="75"/>
      <c r="E414" s="75"/>
      <c r="F414" s="75"/>
      <c r="G414" s="75"/>
      <c r="H414" s="75"/>
      <c r="I414" s="75"/>
      <c r="J414" s="75"/>
      <c r="K414" s="75"/>
      <c r="L414" s="75"/>
      <c r="M414" s="75"/>
      <c r="N414" s="75"/>
      <c r="O414" s="75"/>
      <c r="P414" s="371"/>
    </row>
    <row r="415" spans="2:16">
      <c r="B415" s="369"/>
      <c r="C415" s="75"/>
      <c r="D415" s="75"/>
      <c r="E415" s="75"/>
      <c r="F415" s="75"/>
      <c r="G415" s="75"/>
      <c r="H415" s="75"/>
      <c r="I415" s="75"/>
      <c r="J415" s="75"/>
      <c r="K415" s="75"/>
      <c r="L415" s="75"/>
      <c r="M415" s="75"/>
      <c r="N415" s="75"/>
      <c r="O415" s="75"/>
      <c r="P415" s="371"/>
    </row>
    <row r="416" spans="2:16">
      <c r="B416" s="369"/>
      <c r="C416" s="75"/>
      <c r="D416" s="75"/>
      <c r="E416" s="75"/>
      <c r="F416" s="75"/>
      <c r="G416" s="75"/>
      <c r="H416" s="75"/>
      <c r="I416" s="75"/>
      <c r="J416" s="75"/>
      <c r="K416" s="75"/>
      <c r="L416" s="75"/>
      <c r="M416" s="75"/>
      <c r="N416" s="75"/>
      <c r="O416" s="75"/>
      <c r="P416" s="371"/>
    </row>
    <row r="417" spans="2:16">
      <c r="B417" s="369"/>
      <c r="C417" s="75"/>
      <c r="D417" s="75"/>
      <c r="E417" s="75"/>
      <c r="F417" s="75"/>
      <c r="G417" s="75"/>
      <c r="H417" s="75"/>
      <c r="I417" s="75"/>
      <c r="J417" s="75"/>
      <c r="K417" s="75"/>
      <c r="L417" s="75"/>
      <c r="M417" s="75"/>
      <c r="N417" s="75"/>
      <c r="O417" s="75"/>
      <c r="P417" s="371"/>
    </row>
    <row r="418" spans="2:16">
      <c r="B418" s="369"/>
      <c r="C418" s="75"/>
      <c r="D418" s="75"/>
      <c r="E418" s="75"/>
      <c r="F418" s="75"/>
      <c r="G418" s="75"/>
      <c r="H418" s="75"/>
      <c r="I418" s="75"/>
      <c r="J418" s="75"/>
      <c r="K418" s="75"/>
      <c r="L418" s="75"/>
      <c r="M418" s="75"/>
      <c r="N418" s="75"/>
      <c r="O418" s="75"/>
      <c r="P418" s="371"/>
    </row>
    <row r="419" spans="2:16">
      <c r="B419" s="369"/>
      <c r="C419" s="75"/>
      <c r="D419" s="75"/>
      <c r="E419" s="75"/>
      <c r="F419" s="75"/>
      <c r="G419" s="75"/>
      <c r="H419" s="75"/>
      <c r="I419" s="75"/>
      <c r="J419" s="75"/>
      <c r="K419" s="75"/>
      <c r="L419" s="75"/>
      <c r="M419" s="75"/>
      <c r="N419" s="75"/>
      <c r="O419" s="75"/>
      <c r="P419" s="371"/>
    </row>
    <row r="420" spans="2:16">
      <c r="B420" s="369"/>
      <c r="C420" s="75"/>
      <c r="D420" s="75"/>
      <c r="E420" s="75"/>
      <c r="F420" s="75"/>
      <c r="G420" s="75"/>
      <c r="H420" s="75"/>
      <c r="I420" s="75"/>
      <c r="J420" s="75"/>
      <c r="K420" s="75"/>
      <c r="L420" s="75"/>
      <c r="M420" s="75"/>
      <c r="N420" s="75"/>
      <c r="O420" s="75"/>
      <c r="P420" s="371"/>
    </row>
    <row r="421" spans="2:16">
      <c r="B421" s="369"/>
      <c r="C421" s="75"/>
      <c r="D421" s="75"/>
      <c r="E421" s="75"/>
      <c r="F421" s="75"/>
      <c r="G421" s="75"/>
      <c r="H421" s="75"/>
      <c r="I421" s="75"/>
      <c r="J421" s="75"/>
      <c r="K421" s="75"/>
      <c r="L421" s="75"/>
      <c r="M421" s="75"/>
      <c r="N421" s="75"/>
      <c r="O421" s="75"/>
      <c r="P421" s="371"/>
    </row>
    <row r="422" spans="2:16">
      <c r="B422" s="369"/>
      <c r="C422" s="75"/>
      <c r="D422" s="75"/>
      <c r="E422" s="75"/>
      <c r="F422" s="75"/>
      <c r="G422" s="75"/>
      <c r="H422" s="75"/>
      <c r="I422" s="75"/>
      <c r="J422" s="75"/>
      <c r="K422" s="75"/>
      <c r="L422" s="75"/>
      <c r="M422" s="75"/>
      <c r="N422" s="75"/>
      <c r="O422" s="75"/>
      <c r="P422" s="371"/>
    </row>
    <row r="423" spans="2:16">
      <c r="B423" s="369"/>
      <c r="C423" s="75"/>
      <c r="D423" s="75"/>
      <c r="E423" s="75"/>
      <c r="F423" s="75"/>
      <c r="G423" s="75"/>
      <c r="H423" s="75"/>
      <c r="I423" s="75"/>
      <c r="J423" s="75"/>
      <c r="K423" s="75"/>
      <c r="L423" s="75"/>
      <c r="M423" s="75"/>
      <c r="N423" s="75"/>
      <c r="O423" s="75"/>
      <c r="P423" s="371"/>
    </row>
    <row r="424" spans="2:16">
      <c r="B424" s="369"/>
      <c r="C424" s="75"/>
      <c r="D424" s="75"/>
      <c r="E424" s="75"/>
      <c r="F424" s="75"/>
      <c r="G424" s="75"/>
      <c r="H424" s="75"/>
      <c r="I424" s="75"/>
      <c r="J424" s="75"/>
      <c r="K424" s="75"/>
      <c r="L424" s="75"/>
      <c r="M424" s="75"/>
      <c r="N424" s="75"/>
      <c r="O424" s="75"/>
      <c r="P424" s="371"/>
    </row>
    <row r="425" spans="2:16">
      <c r="B425" s="369"/>
      <c r="C425" s="75"/>
      <c r="D425" s="75"/>
      <c r="E425" s="75"/>
      <c r="F425" s="75"/>
      <c r="G425" s="75"/>
      <c r="H425" s="75"/>
      <c r="I425" s="75"/>
      <c r="J425" s="75"/>
      <c r="K425" s="75"/>
      <c r="L425" s="75"/>
      <c r="M425" s="75"/>
      <c r="N425" s="75"/>
      <c r="O425" s="75"/>
      <c r="P425" s="371"/>
    </row>
    <row r="426" spans="2:16">
      <c r="B426" s="369"/>
      <c r="C426" s="75"/>
      <c r="D426" s="75"/>
      <c r="E426" s="75"/>
      <c r="F426" s="75"/>
      <c r="G426" s="75"/>
      <c r="H426" s="75"/>
      <c r="I426" s="75"/>
      <c r="J426" s="75"/>
      <c r="K426" s="75"/>
      <c r="L426" s="75"/>
      <c r="M426" s="75"/>
      <c r="N426" s="75"/>
      <c r="O426" s="75"/>
      <c r="P426" s="371"/>
    </row>
    <row r="427" spans="2:16">
      <c r="B427" s="373"/>
      <c r="C427" s="75"/>
      <c r="D427" s="374"/>
      <c r="E427" s="374"/>
      <c r="F427" s="374"/>
      <c r="G427" s="374"/>
      <c r="H427" s="374"/>
      <c r="I427" s="374"/>
      <c r="J427" s="374"/>
      <c r="K427" s="374"/>
      <c r="L427" s="374"/>
      <c r="M427" s="374"/>
      <c r="N427" s="374"/>
      <c r="O427" s="75"/>
      <c r="P427" s="371"/>
    </row>
    <row r="428" spans="2:16">
      <c r="B428" s="373"/>
      <c r="C428" s="374"/>
      <c r="D428" s="374"/>
      <c r="E428" s="374"/>
      <c r="F428" s="374"/>
      <c r="G428" s="374"/>
      <c r="H428" s="374"/>
      <c r="I428" s="374"/>
      <c r="J428" s="374"/>
      <c r="K428" s="374"/>
      <c r="L428" s="374"/>
      <c r="M428" s="374"/>
      <c r="N428" s="374"/>
      <c r="O428" s="75"/>
      <c r="P428" s="371"/>
    </row>
    <row r="429" spans="2:16">
      <c r="B429" s="373"/>
      <c r="C429" s="374"/>
      <c r="D429" s="374"/>
      <c r="E429" s="374"/>
      <c r="F429" s="374"/>
      <c r="G429" s="374"/>
      <c r="H429" s="374"/>
      <c r="I429" s="374"/>
      <c r="J429" s="374"/>
      <c r="K429" s="374"/>
      <c r="L429" s="374"/>
      <c r="M429" s="374"/>
      <c r="N429" s="374"/>
      <c r="O429" s="75"/>
      <c r="P429" s="371"/>
    </row>
    <row r="430" spans="2:16">
      <c r="B430" s="373"/>
      <c r="C430" s="374"/>
      <c r="D430" s="374"/>
      <c r="E430" s="374"/>
      <c r="F430" s="374"/>
      <c r="G430" s="374"/>
      <c r="H430" s="374"/>
      <c r="I430" s="374"/>
      <c r="J430" s="374"/>
      <c r="K430" s="374"/>
      <c r="L430" s="374"/>
      <c r="M430" s="374"/>
      <c r="N430" s="374"/>
      <c r="O430" s="75"/>
      <c r="P430" s="371"/>
    </row>
    <row r="431" spans="2:16">
      <c r="B431" s="373"/>
      <c r="C431" s="374"/>
      <c r="D431" s="374"/>
      <c r="E431" s="374"/>
      <c r="F431" s="374"/>
      <c r="G431" s="374"/>
      <c r="H431" s="374"/>
      <c r="I431" s="374"/>
      <c r="J431" s="374"/>
      <c r="K431" s="374"/>
      <c r="L431" s="374"/>
      <c r="M431" s="374"/>
      <c r="N431" s="374"/>
      <c r="O431" s="75"/>
      <c r="P431" s="371"/>
    </row>
    <row r="432" spans="2:16">
      <c r="B432" s="373"/>
      <c r="C432" s="372"/>
      <c r="D432" s="374"/>
      <c r="E432" s="374"/>
      <c r="F432" s="374"/>
      <c r="G432" s="374"/>
      <c r="H432" s="374"/>
      <c r="I432" s="374"/>
      <c r="J432" s="374"/>
      <c r="K432" s="374"/>
      <c r="L432" s="374"/>
      <c r="M432" s="374"/>
      <c r="N432" s="374"/>
      <c r="O432" s="75"/>
      <c r="P432" s="371"/>
    </row>
    <row r="433" spans="2:16" ht="28.5" customHeight="1">
      <c r="B433" s="373"/>
      <c r="C433" s="75"/>
      <c r="D433" s="1528"/>
      <c r="E433" s="1529"/>
      <c r="F433" s="1529"/>
      <c r="G433" s="1529"/>
      <c r="H433" s="1529"/>
      <c r="I433" s="1529"/>
      <c r="J433" s="1529"/>
      <c r="K433" s="1529"/>
      <c r="L433" s="1529"/>
      <c r="M433" s="1529"/>
      <c r="N433" s="1529"/>
      <c r="O433" s="1529"/>
      <c r="P433" s="371"/>
    </row>
    <row r="434" spans="2:16">
      <c r="B434" s="373"/>
      <c r="C434" s="374"/>
      <c r="D434" s="374"/>
      <c r="E434" s="374"/>
      <c r="F434" s="374"/>
      <c r="G434" s="374"/>
      <c r="H434" s="374"/>
      <c r="I434" s="374"/>
      <c r="J434" s="374"/>
      <c r="K434" s="374"/>
      <c r="L434" s="374"/>
      <c r="M434" s="374"/>
      <c r="N434" s="374"/>
      <c r="O434" s="75"/>
      <c r="P434" s="371"/>
    </row>
    <row r="435" spans="2:16" ht="31.5" customHeight="1">
      <c r="B435" s="373"/>
      <c r="C435" s="1528" t="s">
        <v>630</v>
      </c>
      <c r="D435" s="1529"/>
      <c r="E435" s="1529"/>
      <c r="F435" s="1529"/>
      <c r="G435" s="1529"/>
      <c r="H435" s="1529"/>
      <c r="I435" s="1529"/>
      <c r="J435" s="1529"/>
      <c r="K435" s="1529"/>
      <c r="L435" s="1529"/>
      <c r="M435" s="1529"/>
      <c r="N435" s="1529"/>
      <c r="O435" s="75"/>
      <c r="P435" s="371"/>
    </row>
    <row r="436" spans="2:16">
      <c r="B436" s="373"/>
      <c r="C436" s="374"/>
      <c r="D436" s="374"/>
      <c r="E436" s="374"/>
      <c r="F436" s="374"/>
      <c r="G436" s="374"/>
      <c r="H436" s="374"/>
      <c r="I436" s="374"/>
      <c r="J436" s="374"/>
      <c r="K436" s="374"/>
      <c r="L436" s="374"/>
      <c r="M436" s="374"/>
      <c r="N436" s="374"/>
      <c r="O436" s="75"/>
      <c r="P436" s="371"/>
    </row>
    <row r="437" spans="2:16">
      <c r="B437" s="373"/>
      <c r="C437" s="374"/>
      <c r="D437" s="374"/>
      <c r="E437" s="374"/>
      <c r="F437" s="374"/>
      <c r="G437" s="374"/>
      <c r="H437" s="374"/>
      <c r="I437" s="374"/>
      <c r="J437" s="374"/>
      <c r="K437" s="374"/>
      <c r="L437" s="374"/>
      <c r="M437" s="374"/>
      <c r="N437" s="374"/>
      <c r="O437" s="75"/>
      <c r="P437" s="371"/>
    </row>
    <row r="438" spans="2:16">
      <c r="B438" s="369"/>
      <c r="C438" s="376"/>
      <c r="D438" s="75"/>
      <c r="E438" s="75"/>
      <c r="F438" s="75"/>
      <c r="G438" s="75"/>
      <c r="H438" s="75"/>
      <c r="I438" s="75"/>
      <c r="J438" s="75"/>
      <c r="K438" s="75"/>
      <c r="L438" s="75"/>
      <c r="M438" s="75"/>
      <c r="N438" s="75"/>
      <c r="O438" s="75"/>
      <c r="P438" s="371"/>
    </row>
    <row r="439" spans="2:16">
      <c r="B439" s="369"/>
      <c r="C439" s="75"/>
      <c r="D439" s="75"/>
      <c r="E439" s="75"/>
      <c r="F439" s="75"/>
      <c r="G439" s="75"/>
      <c r="H439" s="75"/>
      <c r="I439" s="75"/>
      <c r="J439" s="75"/>
      <c r="K439" s="75"/>
      <c r="L439" s="75"/>
      <c r="M439" s="75"/>
      <c r="N439" s="75"/>
      <c r="O439" s="75"/>
      <c r="P439" s="371"/>
    </row>
    <row r="440" spans="2:16">
      <c r="B440" s="369"/>
      <c r="C440" s="75"/>
      <c r="D440" s="75"/>
      <c r="E440" s="75"/>
      <c r="F440" s="75"/>
      <c r="G440" s="75"/>
      <c r="H440" s="75"/>
      <c r="I440" s="75"/>
      <c r="J440" s="75"/>
      <c r="K440" s="75"/>
      <c r="L440" s="75"/>
      <c r="M440" s="75"/>
      <c r="N440" s="75"/>
      <c r="O440" s="75"/>
      <c r="P440" s="371"/>
    </row>
    <row r="441" spans="2:16">
      <c r="B441" s="369"/>
      <c r="C441" s="75"/>
      <c r="D441" s="75"/>
      <c r="E441" s="75"/>
      <c r="F441" s="75"/>
      <c r="G441" s="75"/>
      <c r="H441" s="75"/>
      <c r="I441" s="75"/>
      <c r="J441" s="75"/>
      <c r="K441" s="75"/>
      <c r="L441" s="75"/>
      <c r="M441" s="75"/>
      <c r="N441" s="75"/>
      <c r="O441" s="75"/>
      <c r="P441" s="371"/>
    </row>
    <row r="442" spans="2:16">
      <c r="B442" s="369"/>
      <c r="C442" s="75"/>
      <c r="D442" s="75"/>
      <c r="E442" s="75"/>
      <c r="F442" s="75"/>
      <c r="G442" s="75"/>
      <c r="H442" s="75"/>
      <c r="I442" s="75"/>
      <c r="J442" s="75"/>
      <c r="K442" s="75"/>
      <c r="L442" s="75"/>
      <c r="M442" s="75"/>
      <c r="N442" s="75"/>
      <c r="O442" s="75"/>
      <c r="P442" s="371"/>
    </row>
    <row r="443" spans="2:16">
      <c r="B443" s="369"/>
      <c r="C443" s="75"/>
      <c r="D443" s="75"/>
      <c r="E443" s="75"/>
      <c r="F443" s="75"/>
      <c r="G443" s="75"/>
      <c r="H443" s="75"/>
      <c r="I443" s="75"/>
      <c r="J443" s="75"/>
      <c r="K443" s="75"/>
      <c r="L443" s="75"/>
      <c r="M443" s="75"/>
      <c r="N443" s="75"/>
      <c r="O443" s="75"/>
      <c r="P443" s="371"/>
    </row>
    <row r="444" spans="2:16">
      <c r="B444" s="369"/>
      <c r="C444" s="75"/>
      <c r="D444" s="75"/>
      <c r="E444" s="75"/>
      <c r="F444" s="75"/>
      <c r="G444" s="75"/>
      <c r="H444" s="75"/>
      <c r="I444" s="75"/>
      <c r="J444" s="75"/>
      <c r="K444" s="75"/>
      <c r="L444" s="75"/>
      <c r="M444" s="75"/>
      <c r="N444" s="75"/>
      <c r="O444" s="75"/>
      <c r="P444" s="371"/>
    </row>
    <row r="445" spans="2:16">
      <c r="B445" s="369"/>
      <c r="C445" s="75"/>
      <c r="D445" s="75"/>
      <c r="E445" s="75"/>
      <c r="F445" s="75"/>
      <c r="G445" s="75"/>
      <c r="H445" s="75"/>
      <c r="I445" s="75"/>
      <c r="J445" s="75"/>
      <c r="K445" s="75"/>
      <c r="L445" s="75"/>
      <c r="M445" s="75"/>
      <c r="N445" s="75"/>
      <c r="O445" s="75"/>
      <c r="P445" s="371"/>
    </row>
    <row r="446" spans="2:16">
      <c r="B446" s="369"/>
      <c r="C446" s="75"/>
      <c r="D446" s="75"/>
      <c r="E446" s="75"/>
      <c r="F446" s="75"/>
      <c r="G446" s="75"/>
      <c r="H446" s="75"/>
      <c r="I446" s="75"/>
      <c r="J446" s="75"/>
      <c r="K446" s="75"/>
      <c r="L446" s="75"/>
      <c r="M446" s="75"/>
      <c r="N446" s="75"/>
      <c r="O446" s="75"/>
      <c r="P446" s="371"/>
    </row>
    <row r="447" spans="2:16">
      <c r="B447" s="369"/>
      <c r="C447" s="75"/>
      <c r="D447" s="75"/>
      <c r="E447" s="75"/>
      <c r="F447" s="75"/>
      <c r="G447" s="75"/>
      <c r="H447" s="75"/>
      <c r="I447" s="75"/>
      <c r="J447" s="75"/>
      <c r="K447" s="75"/>
      <c r="L447" s="75"/>
      <c r="M447" s="75"/>
      <c r="N447" s="75"/>
      <c r="O447" s="75"/>
      <c r="P447" s="371"/>
    </row>
    <row r="448" spans="2:16">
      <c r="B448" s="369"/>
      <c r="C448" s="75"/>
      <c r="D448" s="75"/>
      <c r="E448" s="75"/>
      <c r="F448" s="75"/>
      <c r="G448" s="75"/>
      <c r="H448" s="75"/>
      <c r="I448" s="75"/>
      <c r="J448" s="75"/>
      <c r="K448" s="75"/>
      <c r="L448" s="75"/>
      <c r="M448" s="75"/>
      <c r="N448" s="75"/>
      <c r="O448" s="75"/>
      <c r="P448" s="371"/>
    </row>
    <row r="449" spans="2:16">
      <c r="B449" s="369"/>
      <c r="C449" s="75"/>
      <c r="D449" s="75"/>
      <c r="E449" s="75"/>
      <c r="F449" s="75"/>
      <c r="G449" s="75"/>
      <c r="H449" s="75"/>
      <c r="I449" s="75"/>
      <c r="J449" s="75"/>
      <c r="K449" s="75"/>
      <c r="L449" s="75"/>
      <c r="M449" s="75"/>
      <c r="N449" s="75"/>
      <c r="O449" s="75"/>
      <c r="P449" s="371"/>
    </row>
    <row r="450" spans="2:16">
      <c r="B450" s="369"/>
      <c r="C450" s="75"/>
      <c r="D450" s="75"/>
      <c r="E450" s="75"/>
      <c r="F450" s="75"/>
      <c r="G450" s="75"/>
      <c r="H450" s="75"/>
      <c r="I450" s="75"/>
      <c r="J450" s="75"/>
      <c r="K450" s="75"/>
      <c r="L450" s="75"/>
      <c r="M450" s="75"/>
      <c r="N450" s="75"/>
      <c r="O450" s="75"/>
      <c r="P450" s="371"/>
    </row>
    <row r="451" spans="2:16">
      <c r="B451" s="369"/>
      <c r="C451" s="75"/>
      <c r="D451" s="75"/>
      <c r="E451" s="75"/>
      <c r="F451" s="75"/>
      <c r="G451" s="75"/>
      <c r="H451" s="75"/>
      <c r="I451" s="75"/>
      <c r="J451" s="75"/>
      <c r="K451" s="75"/>
      <c r="L451" s="75"/>
      <c r="M451" s="75"/>
      <c r="N451" s="75"/>
      <c r="O451" s="75"/>
      <c r="P451" s="371"/>
    </row>
    <row r="452" spans="2:16">
      <c r="B452" s="369"/>
      <c r="C452" s="75"/>
      <c r="D452" s="75"/>
      <c r="E452" s="75"/>
      <c r="F452" s="75"/>
      <c r="G452" s="75"/>
      <c r="H452" s="75"/>
      <c r="I452" s="75"/>
      <c r="J452" s="75"/>
      <c r="K452" s="75"/>
      <c r="L452" s="75"/>
      <c r="M452" s="75"/>
      <c r="N452" s="75"/>
      <c r="O452" s="75"/>
      <c r="P452" s="371"/>
    </row>
    <row r="453" spans="2:16" ht="33.75" customHeight="1">
      <c r="B453" s="369"/>
      <c r="C453" s="75"/>
      <c r="D453" s="1528"/>
      <c r="E453" s="1529"/>
      <c r="F453" s="1529"/>
      <c r="G453" s="1529"/>
      <c r="H453" s="1529"/>
      <c r="I453" s="1529"/>
      <c r="J453" s="1529"/>
      <c r="K453" s="1529"/>
      <c r="L453" s="1529"/>
      <c r="M453" s="1529"/>
      <c r="N453" s="1529"/>
      <c r="O453" s="1529"/>
      <c r="P453" s="371"/>
    </row>
    <row r="454" spans="2:16" ht="33.75" customHeight="1">
      <c r="B454" s="369"/>
      <c r="C454" s="75"/>
      <c r="D454" s="465"/>
      <c r="E454" s="466"/>
      <c r="F454" s="466"/>
      <c r="G454" s="466"/>
      <c r="H454" s="466"/>
      <c r="I454" s="466"/>
      <c r="J454" s="466"/>
      <c r="K454" s="466"/>
      <c r="L454" s="466"/>
      <c r="M454" s="466"/>
      <c r="N454" s="466"/>
      <c r="O454" s="466"/>
      <c r="P454" s="371"/>
    </row>
    <row r="455" spans="2:16" ht="33.75" customHeight="1">
      <c r="B455" s="369"/>
      <c r="C455" s="75"/>
      <c r="D455" s="465"/>
      <c r="E455" s="466"/>
      <c r="F455" s="466"/>
      <c r="G455" s="466"/>
      <c r="H455" s="466"/>
      <c r="I455" s="466"/>
      <c r="J455" s="466"/>
      <c r="K455" s="466"/>
      <c r="L455" s="466"/>
      <c r="M455" s="466"/>
      <c r="N455" s="466"/>
      <c r="O455" s="466"/>
      <c r="P455" s="371"/>
    </row>
    <row r="456" spans="2:16" ht="27" customHeight="1">
      <c r="B456" s="369"/>
      <c r="C456" s="1528" t="s">
        <v>631</v>
      </c>
      <c r="D456" s="1529"/>
      <c r="E456" s="1529"/>
      <c r="F456" s="1529"/>
      <c r="G456" s="1529"/>
      <c r="H456" s="1529"/>
      <c r="I456" s="1529"/>
      <c r="J456" s="1529"/>
      <c r="K456" s="1529"/>
      <c r="L456" s="1529"/>
      <c r="M456" s="1529"/>
      <c r="N456" s="1529"/>
      <c r="O456" s="75"/>
      <c r="P456" s="371"/>
    </row>
    <row r="457" spans="2:16">
      <c r="B457" s="369"/>
      <c r="C457" s="75"/>
      <c r="D457" s="75"/>
      <c r="E457" s="75"/>
      <c r="F457" s="75"/>
      <c r="G457" s="75"/>
      <c r="H457" s="75"/>
      <c r="I457" s="75"/>
      <c r="J457" s="75"/>
      <c r="K457" s="75"/>
      <c r="L457" s="75"/>
      <c r="M457" s="75"/>
      <c r="N457" s="75"/>
      <c r="O457" s="75"/>
      <c r="P457" s="371"/>
    </row>
    <row r="458" spans="2:16">
      <c r="B458" s="369"/>
      <c r="C458" s="75"/>
      <c r="D458" s="75"/>
      <c r="E458" s="75"/>
      <c r="F458" s="75"/>
      <c r="G458" s="75"/>
      <c r="H458" s="75"/>
      <c r="I458" s="75"/>
      <c r="J458" s="75"/>
      <c r="K458" s="75"/>
      <c r="L458" s="75"/>
      <c r="M458" s="75"/>
      <c r="N458" s="75"/>
      <c r="O458" s="75"/>
      <c r="P458" s="371"/>
    </row>
    <row r="459" spans="2:16">
      <c r="B459" s="369"/>
      <c r="C459" s="75"/>
      <c r="D459" s="75"/>
      <c r="E459" s="75"/>
      <c r="F459" s="75"/>
      <c r="G459" s="75"/>
      <c r="H459" s="75"/>
      <c r="I459" s="75"/>
      <c r="J459" s="75"/>
      <c r="K459" s="75"/>
      <c r="L459" s="75"/>
      <c r="M459" s="75"/>
      <c r="N459" s="75"/>
      <c r="O459" s="75"/>
      <c r="P459" s="371"/>
    </row>
    <row r="460" spans="2:16">
      <c r="B460" s="369"/>
      <c r="C460" s="75"/>
      <c r="D460" s="75"/>
      <c r="E460" s="75"/>
      <c r="F460" s="75"/>
      <c r="G460" s="75"/>
      <c r="H460" s="75"/>
      <c r="I460" s="75"/>
      <c r="J460" s="75"/>
      <c r="K460" s="75"/>
      <c r="L460" s="75"/>
      <c r="M460" s="75"/>
      <c r="N460" s="75"/>
      <c r="O460" s="75"/>
      <c r="P460" s="371"/>
    </row>
    <row r="461" spans="2:16">
      <c r="B461" s="369"/>
      <c r="C461" s="75"/>
      <c r="D461" s="75"/>
      <c r="E461" s="75"/>
      <c r="F461" s="75"/>
      <c r="G461" s="75"/>
      <c r="H461" s="75"/>
      <c r="I461" s="75"/>
      <c r="J461" s="75"/>
      <c r="K461" s="75"/>
      <c r="L461" s="75"/>
      <c r="M461" s="75"/>
      <c r="N461" s="75"/>
      <c r="O461" s="75"/>
      <c r="P461" s="371"/>
    </row>
    <row r="462" spans="2:16">
      <c r="B462" s="369"/>
      <c r="C462" s="75"/>
      <c r="D462" s="75"/>
      <c r="E462" s="75"/>
      <c r="F462" s="75"/>
      <c r="G462" s="75"/>
      <c r="H462" s="75"/>
      <c r="I462" s="75"/>
      <c r="J462" s="75"/>
      <c r="K462" s="75"/>
      <c r="L462" s="75"/>
      <c r="M462" s="75"/>
      <c r="N462" s="75"/>
      <c r="O462" s="75"/>
      <c r="P462" s="371"/>
    </row>
    <row r="463" spans="2:16">
      <c r="B463" s="369"/>
      <c r="C463" s="75"/>
      <c r="D463" s="75"/>
      <c r="E463" s="75"/>
      <c r="F463" s="75"/>
      <c r="G463" s="75"/>
      <c r="H463" s="75"/>
      <c r="I463" s="75"/>
      <c r="J463" s="75"/>
      <c r="K463" s="75"/>
      <c r="L463" s="75"/>
      <c r="M463" s="75"/>
      <c r="N463" s="75"/>
      <c r="O463" s="75"/>
      <c r="P463" s="371"/>
    </row>
    <row r="464" spans="2:16">
      <c r="B464" s="369"/>
      <c r="C464" s="75"/>
      <c r="D464" s="75"/>
      <c r="E464" s="75"/>
      <c r="F464" s="75"/>
      <c r="G464" s="75"/>
      <c r="H464" s="75"/>
      <c r="I464" s="75"/>
      <c r="J464" s="75"/>
      <c r="K464" s="75"/>
      <c r="L464" s="75"/>
      <c r="M464" s="75"/>
      <c r="N464" s="75"/>
      <c r="O464" s="75"/>
      <c r="P464" s="371"/>
    </row>
    <row r="465" spans="2:16">
      <c r="B465" s="369"/>
      <c r="C465" s="75"/>
      <c r="D465" s="75"/>
      <c r="E465" s="75"/>
      <c r="F465" s="75"/>
      <c r="G465" s="75"/>
      <c r="H465" s="75"/>
      <c r="I465" s="75"/>
      <c r="J465" s="75"/>
      <c r="K465" s="75"/>
      <c r="L465" s="75"/>
      <c r="M465" s="75"/>
      <c r="N465" s="75"/>
      <c r="O465" s="75"/>
      <c r="P465" s="371"/>
    </row>
    <row r="466" spans="2:16">
      <c r="B466" s="369"/>
      <c r="C466" s="75"/>
      <c r="D466" s="75"/>
      <c r="E466" s="75"/>
      <c r="F466" s="75"/>
      <c r="G466" s="75"/>
      <c r="H466" s="75"/>
      <c r="I466" s="75"/>
      <c r="J466" s="75"/>
      <c r="K466" s="75"/>
      <c r="L466" s="75"/>
      <c r="M466" s="75"/>
      <c r="N466" s="75"/>
      <c r="O466" s="75"/>
      <c r="P466" s="371"/>
    </row>
    <row r="467" spans="2:16">
      <c r="B467" s="369"/>
      <c r="C467" s="75"/>
      <c r="D467" s="75"/>
      <c r="E467" s="75"/>
      <c r="F467" s="75"/>
      <c r="G467" s="75"/>
      <c r="H467" s="75"/>
      <c r="I467" s="75"/>
      <c r="J467" s="75"/>
      <c r="K467" s="75"/>
      <c r="L467" s="75"/>
      <c r="M467" s="75"/>
      <c r="N467" s="75"/>
      <c r="O467" s="75"/>
      <c r="P467" s="371"/>
    </row>
    <row r="468" spans="2:16">
      <c r="B468" s="369"/>
      <c r="C468" s="75"/>
      <c r="D468" s="75"/>
      <c r="E468" s="75"/>
      <c r="F468" s="75"/>
      <c r="G468" s="75"/>
      <c r="H468" s="75"/>
      <c r="I468" s="75"/>
      <c r="J468" s="75"/>
      <c r="K468" s="75"/>
      <c r="L468" s="75"/>
      <c r="M468" s="75"/>
      <c r="N468" s="75"/>
      <c r="O468" s="75"/>
      <c r="P468" s="371"/>
    </row>
    <row r="469" spans="2:16">
      <c r="B469" s="369"/>
      <c r="C469" s="75"/>
      <c r="D469" s="75"/>
      <c r="E469" s="75"/>
      <c r="F469" s="75"/>
      <c r="G469" s="75"/>
      <c r="H469" s="75"/>
      <c r="I469" s="75"/>
      <c r="J469" s="75"/>
      <c r="K469" s="75"/>
      <c r="L469" s="75"/>
      <c r="M469" s="75"/>
      <c r="N469" s="75"/>
      <c r="O469" s="75"/>
      <c r="P469" s="371"/>
    </row>
    <row r="470" spans="2:16">
      <c r="B470" s="369"/>
      <c r="C470" s="75"/>
      <c r="D470" s="75"/>
      <c r="E470" s="75"/>
      <c r="F470" s="75"/>
      <c r="G470" s="75"/>
      <c r="H470" s="75"/>
      <c r="I470" s="75"/>
      <c r="J470" s="75"/>
      <c r="K470" s="75"/>
      <c r="L470" s="75"/>
      <c r="M470" s="75"/>
      <c r="N470" s="75"/>
      <c r="O470" s="75"/>
      <c r="P470" s="371"/>
    </row>
    <row r="471" spans="2:16">
      <c r="B471" s="369"/>
      <c r="C471" s="75"/>
      <c r="D471" s="75"/>
      <c r="E471" s="75"/>
      <c r="F471" s="75"/>
      <c r="G471" s="75"/>
      <c r="H471" s="75"/>
      <c r="I471" s="75"/>
      <c r="J471" s="75"/>
      <c r="K471" s="75"/>
      <c r="L471" s="75"/>
      <c r="M471" s="75"/>
      <c r="N471" s="75"/>
      <c r="O471" s="75"/>
      <c r="P471" s="371"/>
    </row>
    <row r="472" spans="2:16">
      <c r="B472" s="369"/>
      <c r="C472" s="75"/>
      <c r="D472" s="75"/>
      <c r="E472" s="75"/>
      <c r="F472" s="75"/>
      <c r="G472" s="75"/>
      <c r="H472" s="75"/>
      <c r="I472" s="75"/>
      <c r="J472" s="75"/>
      <c r="K472" s="75"/>
      <c r="L472" s="75"/>
      <c r="M472" s="75"/>
      <c r="N472" s="75"/>
      <c r="O472" s="75"/>
      <c r="P472" s="371"/>
    </row>
    <row r="473" spans="2:16">
      <c r="B473" s="369"/>
      <c r="C473" s="75"/>
      <c r="D473" s="75"/>
      <c r="E473" s="75"/>
      <c r="F473" s="75"/>
      <c r="G473" s="75"/>
      <c r="H473" s="75"/>
      <c r="I473" s="75"/>
      <c r="J473" s="75"/>
      <c r="K473" s="75"/>
      <c r="L473" s="75"/>
      <c r="M473" s="75"/>
      <c r="N473" s="75"/>
      <c r="O473" s="75"/>
      <c r="P473" s="371"/>
    </row>
    <row r="474" spans="2:16">
      <c r="B474" s="369"/>
      <c r="C474" s="75"/>
      <c r="D474" s="75"/>
      <c r="E474" s="75"/>
      <c r="F474" s="75"/>
      <c r="G474" s="75"/>
      <c r="H474" s="75"/>
      <c r="I474" s="75"/>
      <c r="J474" s="75"/>
      <c r="K474" s="75"/>
      <c r="L474" s="75"/>
      <c r="M474" s="75"/>
      <c r="N474" s="75"/>
      <c r="O474" s="75"/>
      <c r="P474" s="371"/>
    </row>
    <row r="475" spans="2:16">
      <c r="B475" s="369"/>
      <c r="C475" s="75"/>
      <c r="D475" s="75"/>
      <c r="E475" s="75"/>
      <c r="F475" s="75"/>
      <c r="G475" s="75"/>
      <c r="H475" s="75"/>
      <c r="I475" s="75"/>
      <c r="J475" s="75"/>
      <c r="K475" s="75"/>
      <c r="L475" s="75"/>
      <c r="M475" s="75"/>
      <c r="N475" s="75"/>
      <c r="O475" s="75"/>
      <c r="P475" s="371"/>
    </row>
    <row r="476" spans="2:16">
      <c r="B476" s="369"/>
      <c r="C476" s="75"/>
      <c r="D476" s="75"/>
      <c r="E476" s="75"/>
      <c r="F476" s="75"/>
      <c r="G476" s="75"/>
      <c r="H476" s="75"/>
      <c r="I476" s="75"/>
      <c r="J476" s="75"/>
      <c r="K476" s="75"/>
      <c r="L476" s="75"/>
      <c r="M476" s="75"/>
      <c r="N476" s="75"/>
      <c r="O476" s="75"/>
      <c r="P476" s="371"/>
    </row>
    <row r="477" spans="2:16">
      <c r="B477" s="369"/>
      <c r="C477" s="75"/>
      <c r="D477" s="75"/>
      <c r="E477" s="75"/>
      <c r="F477" s="75"/>
      <c r="G477" s="75"/>
      <c r="H477" s="75"/>
      <c r="I477" s="75"/>
      <c r="J477" s="75"/>
      <c r="K477" s="75"/>
      <c r="L477" s="75"/>
      <c r="M477" s="75"/>
      <c r="N477" s="75"/>
      <c r="O477" s="75"/>
      <c r="P477" s="371"/>
    </row>
    <row r="478" spans="2:16">
      <c r="B478" s="369"/>
      <c r="C478" s="75"/>
      <c r="D478" s="75"/>
      <c r="E478" s="75"/>
      <c r="F478" s="75"/>
      <c r="G478" s="75"/>
      <c r="H478" s="75"/>
      <c r="I478" s="75"/>
      <c r="J478" s="75"/>
      <c r="K478" s="75"/>
      <c r="L478" s="75"/>
      <c r="M478" s="75"/>
      <c r="N478" s="75"/>
      <c r="O478" s="75"/>
      <c r="P478" s="371"/>
    </row>
    <row r="479" spans="2:16" ht="15.75" thickBot="1">
      <c r="B479" s="377"/>
      <c r="C479" s="378"/>
      <c r="D479" s="378"/>
      <c r="E479" s="378"/>
      <c r="F479" s="378"/>
      <c r="G479" s="378"/>
      <c r="H479" s="378"/>
      <c r="I479" s="378"/>
      <c r="J479" s="378"/>
      <c r="K479" s="378"/>
      <c r="L479" s="378"/>
      <c r="M479" s="378"/>
      <c r="N479" s="378"/>
      <c r="O479" s="378"/>
      <c r="P479" s="379"/>
    </row>
  </sheetData>
  <mergeCells count="4">
    <mergeCell ref="D433:O433"/>
    <mergeCell ref="D453:O453"/>
    <mergeCell ref="C435:N435"/>
    <mergeCell ref="C456:N456"/>
  </mergeCells>
  <phoneticPr fontId="24" type="noConversion"/>
  <pageMargins left="0.55118110236220474" right="0.39370078740157483" top="0.74803149606299213" bottom="0.74803149606299213" header="0.31496062992125984" footer="0.31496062992125984"/>
  <pageSetup paperSize="9" scale="60" orientation="portrait" horizontalDpi="1200" verticalDpi="1200" r:id="rId1"/>
  <rowBreaks count="3" manualBreakCount="3">
    <brk id="251" max="16383" man="1"/>
    <brk id="324" max="16383" man="1"/>
    <brk id="408" max="16383" man="1"/>
  </rowBreaks>
  <drawing r:id="rId2"/>
</worksheet>
</file>

<file path=xl/worksheets/sheet11.xml><?xml version="1.0" encoding="utf-8"?>
<worksheet xmlns="http://schemas.openxmlformats.org/spreadsheetml/2006/main" xmlns:r="http://schemas.openxmlformats.org/officeDocument/2006/relationships">
  <sheetPr codeName="Sheet6">
    <tabColor rgb="FF75923C"/>
  </sheetPr>
  <dimension ref="A1:R297"/>
  <sheetViews>
    <sheetView tabSelected="1" zoomScale="85" zoomScaleNormal="85" workbookViewId="0">
      <pane xSplit="1" ySplit="6" topLeftCell="B210" activePane="bottomRight" state="frozen"/>
      <selection pane="topRight" activeCell="B1" sqref="B1"/>
      <selection pane="bottomLeft" activeCell="A7" sqref="A7"/>
      <selection pane="bottomRight" activeCell="C3" sqref="C3"/>
    </sheetView>
  </sheetViews>
  <sheetFormatPr defaultColWidth="8.85546875" defaultRowHeight="15"/>
  <cols>
    <col min="1" max="1" width="45" style="32" customWidth="1"/>
    <col min="2" max="11" width="16.28515625" style="75" customWidth="1"/>
    <col min="12" max="12" width="15.42578125" style="75" customWidth="1"/>
    <col min="13" max="13" width="64.85546875" style="802" customWidth="1"/>
    <col min="14" max="16384" width="8.85546875" style="75"/>
  </cols>
  <sheetData>
    <row r="1" spans="1:13" ht="21">
      <c r="A1" s="162" t="s">
        <v>765</v>
      </c>
    </row>
    <row r="2" spans="1:13" ht="12" customHeight="1">
      <c r="J2" s="339"/>
      <c r="K2" s="340"/>
      <c r="L2" s="341"/>
    </row>
    <row r="3" spans="1:13">
      <c r="A3" s="163" t="s">
        <v>796</v>
      </c>
    </row>
    <row r="4" spans="1:13" ht="17.25">
      <c r="A4" s="164"/>
    </row>
    <row r="5" spans="1:13" ht="17.25">
      <c r="A5" s="428"/>
      <c r="B5" s="798" t="s">
        <v>762</v>
      </c>
      <c r="C5" s="1530" t="s">
        <v>734</v>
      </c>
      <c r="D5" s="1530"/>
      <c r="E5" s="1530"/>
      <c r="F5" s="1530"/>
      <c r="G5" s="1530"/>
      <c r="H5" s="1530"/>
      <c r="I5" s="1530"/>
      <c r="J5" s="1530"/>
      <c r="K5" s="1530"/>
      <c r="L5" s="1530"/>
      <c r="M5" s="1531" t="s">
        <v>744</v>
      </c>
    </row>
    <row r="6" spans="1:13" s="160" customFormat="1">
      <c r="A6" s="799"/>
      <c r="B6" s="800">
        <v>2010</v>
      </c>
      <c r="C6" s="800">
        <v>2011</v>
      </c>
      <c r="D6" s="800">
        <v>2012</v>
      </c>
      <c r="E6" s="800">
        <v>2013</v>
      </c>
      <c r="F6" s="800">
        <v>2014</v>
      </c>
      <c r="G6" s="800">
        <v>2015</v>
      </c>
      <c r="H6" s="800">
        <v>2016</v>
      </c>
      <c r="I6" s="800">
        <v>2017</v>
      </c>
      <c r="J6" s="800">
        <v>2018</v>
      </c>
      <c r="K6" s="800">
        <v>2019</v>
      </c>
      <c r="L6" s="800">
        <v>2020</v>
      </c>
      <c r="M6" s="1531"/>
    </row>
    <row r="7" spans="1:13">
      <c r="A7" s="28"/>
      <c r="B7" s="29"/>
      <c r="C7" s="29"/>
      <c r="D7" s="29"/>
      <c r="E7" s="29"/>
      <c r="F7" s="29"/>
      <c r="G7" s="29"/>
      <c r="H7" s="29"/>
      <c r="I7" s="29"/>
      <c r="J7" s="29"/>
      <c r="K7" s="29"/>
      <c r="L7" s="29"/>
      <c r="M7" s="926"/>
    </row>
    <row r="8" spans="1:13">
      <c r="A8" s="32" t="s">
        <v>642</v>
      </c>
      <c r="B8" s="448">
        <f>ECO!G$64</f>
        <v>1980913600</v>
      </c>
      <c r="C8" s="448">
        <f>ECO!H$64</f>
        <v>2407760638.8534503</v>
      </c>
      <c r="D8" s="448">
        <f>ECO!I$64</f>
        <v>2754323266.3225503</v>
      </c>
      <c r="E8" s="448">
        <f>ECO!J$64</f>
        <v>3162885088.7901502</v>
      </c>
      <c r="F8" s="448">
        <f>ECO!K$64</f>
        <v>3622238328.3556705</v>
      </c>
      <c r="G8" s="448">
        <f>ECO!L$64</f>
        <v>4129308055.61409</v>
      </c>
      <c r="H8" s="448">
        <f>ECO!M$64</f>
        <v>4688104086.8955002</v>
      </c>
      <c r="I8" s="448">
        <f>ECO!N$64</f>
        <v>5313131173.8703308</v>
      </c>
      <c r="J8" s="448">
        <f>ECO!O$64</f>
        <v>6021452698.0013103</v>
      </c>
      <c r="K8" s="448">
        <f>ECO!P$64</f>
        <v>6826390185.7896204</v>
      </c>
      <c r="L8" s="448">
        <f>ECO!Q$64</f>
        <v>7741528168.671381</v>
      </c>
      <c r="M8" s="927"/>
    </row>
    <row r="9" spans="1:13">
      <c r="A9" s="32" t="s">
        <v>643</v>
      </c>
      <c r="B9" s="448">
        <f>'GGO(SQ) (SQ and Post SPF)'!H$190</f>
        <v>685042000</v>
      </c>
      <c r="C9" s="448">
        <f>'GGO(SQ) (SQ and Post SPF)'!I$190</f>
        <v>763802586.29371738</v>
      </c>
      <c r="D9" s="448">
        <f>'GGO(SQ) (SQ and Post SPF)'!J$190</f>
        <v>877373099.71108425</v>
      </c>
      <c r="E9" s="448">
        <f>'GGO(SQ) (SQ and Post SPF)'!K$190</f>
        <v>1002389012.8821763</v>
      </c>
      <c r="F9" s="448">
        <f>'GGO(SQ) (SQ and Post SPF)'!L$190</f>
        <v>1144676302.8963153</v>
      </c>
      <c r="G9" s="448">
        <f>'GGO(SQ) (SQ and Post SPF)'!M$190</f>
        <v>1300851167.6789532</v>
      </c>
      <c r="H9" s="448">
        <f>'GGO(SQ) (SQ and Post SPF)'!N$190</f>
        <v>1469895442.276958</v>
      </c>
      <c r="I9" s="448">
        <f>'GGO(SQ) (SQ and Post SPF)'!O$190</f>
        <v>1661713214.4005201</v>
      </c>
      <c r="J9" s="448">
        <f>'GGO(SQ) (SQ and Post SPF)'!P$190</f>
        <v>1874029225.4743962</v>
      </c>
      <c r="K9" s="448">
        <f>'GGO(SQ) (SQ and Post SPF)'!Q$190</f>
        <v>2114604066.9078875</v>
      </c>
      <c r="L9" s="448">
        <f>'GGO(SQ) (SQ and Post SPF)'!R$190</f>
        <v>2387002378.7881999</v>
      </c>
      <c r="M9" s="927"/>
    </row>
    <row r="10" spans="1:13">
      <c r="B10" s="32"/>
      <c r="C10" s="32"/>
      <c r="D10" s="32"/>
      <c r="E10" s="32"/>
      <c r="F10" s="32"/>
      <c r="G10" s="32"/>
      <c r="H10" s="32"/>
      <c r="I10" s="32"/>
      <c r="J10" s="32"/>
      <c r="K10" s="32"/>
      <c r="L10" s="32"/>
      <c r="M10" s="927"/>
    </row>
    <row r="11" spans="1:13">
      <c r="A11" s="40" t="s">
        <v>83</v>
      </c>
      <c r="B11" s="32"/>
      <c r="C11" s="32"/>
      <c r="D11" s="32"/>
      <c r="E11" s="32"/>
      <c r="F11" s="32"/>
      <c r="G11" s="32"/>
      <c r="H11" s="32"/>
      <c r="I11" s="32"/>
      <c r="J11" s="32"/>
      <c r="K11" s="32"/>
      <c r="L11" s="32"/>
    </row>
    <row r="12" spans="1:13" ht="84.75">
      <c r="A12" s="32" t="s">
        <v>287</v>
      </c>
      <c r="B12" s="449">
        <v>20</v>
      </c>
      <c r="C12" s="449">
        <f t="shared" ref="C12:K12" si="0">B12*POWER($L12/$B12,1/10)</f>
        <v>19.43283315726147</v>
      </c>
      <c r="D12" s="449">
        <f t="shared" si="0"/>
        <v>18.881750225898042</v>
      </c>
      <c r="E12" s="449">
        <f t="shared" si="0"/>
        <v>18.346295092848038</v>
      </c>
      <c r="F12" s="449">
        <f t="shared" si="0"/>
        <v>17.826024579660039</v>
      </c>
      <c r="G12" s="449">
        <f t="shared" si="0"/>
        <v>17.320508075688778</v>
      </c>
      <c r="H12" s="449">
        <f t="shared" si="0"/>
        <v>16.829327181692999</v>
      </c>
      <c r="I12" s="449">
        <f t="shared" si="0"/>
        <v>16.352075363540273</v>
      </c>
      <c r="J12" s="449">
        <f t="shared" si="0"/>
        <v>15.888357615732192</v>
      </c>
      <c r="K12" s="449">
        <f t="shared" si="0"/>
        <v>15.437790134471417</v>
      </c>
      <c r="L12" s="449">
        <v>15</v>
      </c>
      <c r="M12" s="802" t="s">
        <v>553</v>
      </c>
    </row>
    <row r="13" spans="1:13" s="208" customFormat="1" ht="132.75">
      <c r="A13" s="32" t="s">
        <v>700</v>
      </c>
      <c r="B13" s="450">
        <v>14.5</v>
      </c>
      <c r="C13" s="451">
        <f>B13*(POWER($L13/$B13,1/10))</f>
        <v>13.971119328426292</v>
      </c>
      <c r="D13" s="451">
        <f t="shared" ref="D13:K14" si="1">C13*(POWER($L13/$B13,1/10))</f>
        <v>13.461529330284602</v>
      </c>
      <c r="E13" s="451">
        <f t="shared" si="1"/>
        <v>12.970526387345975</v>
      </c>
      <c r="F13" s="451">
        <f t="shared" si="1"/>
        <v>12.497432545525008</v>
      </c>
      <c r="G13" s="451">
        <f t="shared" si="1"/>
        <v>12.041594578792292</v>
      </c>
      <c r="H13" s="451">
        <f t="shared" si="1"/>
        <v>11.602383087230224</v>
      </c>
      <c r="I13" s="451">
        <f t="shared" si="1"/>
        <v>11.179191627986794</v>
      </c>
      <c r="J13" s="451">
        <f t="shared" si="1"/>
        <v>10.771435877927427</v>
      </c>
      <c r="K13" s="451">
        <f t="shared" si="1"/>
        <v>10.378552826828711</v>
      </c>
      <c r="L13" s="450">
        <v>10</v>
      </c>
      <c r="M13" s="802" t="s">
        <v>552</v>
      </c>
    </row>
    <row r="14" spans="1:13" s="208" customFormat="1" ht="120">
      <c r="A14" s="32" t="s">
        <v>701</v>
      </c>
      <c r="B14" s="450">
        <v>13.4</v>
      </c>
      <c r="C14" s="451">
        <f>B14*(POWER($L14/$B14,1/10))</f>
        <v>12.726334006124905</v>
      </c>
      <c r="D14" s="451">
        <f t="shared" si="1"/>
        <v>12.086535614585907</v>
      </c>
      <c r="E14" s="451">
        <f t="shared" si="1"/>
        <v>11.478902179712268</v>
      </c>
      <c r="F14" s="451">
        <f t="shared" si="1"/>
        <v>10.901816653929368</v>
      </c>
      <c r="G14" s="451">
        <f t="shared" si="1"/>
        <v>10.353743284435831</v>
      </c>
      <c r="H14" s="451">
        <f t="shared" si="1"/>
        <v>9.8332235262241099</v>
      </c>
      <c r="I14" s="451">
        <f t="shared" si="1"/>
        <v>9.3388721605681582</v>
      </c>
      <c r="J14" s="451">
        <f t="shared" si="1"/>
        <v>8.869373608648635</v>
      </c>
      <c r="K14" s="451">
        <f t="shared" si="1"/>
        <v>8.423478430505364</v>
      </c>
      <c r="L14" s="450">
        <v>8</v>
      </c>
      <c r="M14" s="801" t="s">
        <v>551</v>
      </c>
    </row>
    <row r="15" spans="1:13" s="208" customFormat="1" ht="24">
      <c r="A15" s="996" t="s">
        <v>261</v>
      </c>
      <c r="B15" s="996">
        <v>11.7</v>
      </c>
      <c r="C15" s="997">
        <f>B15*(POWER($L$15/$B$15,1/10))</f>
        <v>11.263575494598518</v>
      </c>
      <c r="D15" s="997">
        <f t="shared" ref="D15:K15" si="2">C15*(POWER($L$15/$B$15,1/10))</f>
        <v>10.84343016431797</v>
      </c>
      <c r="E15" s="997">
        <f t="shared" si="2"/>
        <v>10.438956775743785</v>
      </c>
      <c r="F15" s="997">
        <f t="shared" si="2"/>
        <v>10.049570746020587</v>
      </c>
      <c r="G15" s="997">
        <f t="shared" si="2"/>
        <v>9.6747092979582607</v>
      </c>
      <c r="H15" s="997">
        <f t="shared" si="2"/>
        <v>9.3138306466535994</v>
      </c>
      <c r="I15" s="997">
        <f t="shared" si="2"/>
        <v>8.9664132164519792</v>
      </c>
      <c r="J15" s="997">
        <f t="shared" si="2"/>
        <v>8.6319548871173328</v>
      </c>
      <c r="K15" s="997">
        <f t="shared" si="2"/>
        <v>8.3099722681209158</v>
      </c>
      <c r="L15" s="998">
        <v>8</v>
      </c>
      <c r="M15" s="928" t="s">
        <v>550</v>
      </c>
    </row>
    <row r="16" spans="1:13">
      <c r="B16" s="37"/>
      <c r="C16" s="37"/>
      <c r="D16" s="37"/>
      <c r="E16" s="37"/>
      <c r="F16" s="37"/>
      <c r="G16" s="37"/>
      <c r="H16" s="37"/>
      <c r="I16" s="37"/>
      <c r="J16" s="37"/>
      <c r="K16" s="37"/>
      <c r="L16" s="37"/>
      <c r="M16" s="927"/>
    </row>
    <row r="17" spans="1:13">
      <c r="A17" s="40" t="s">
        <v>838</v>
      </c>
      <c r="B17" s="32"/>
      <c r="C17" s="32"/>
      <c r="D17" s="32"/>
      <c r="E17" s="32"/>
      <c r="F17" s="32"/>
      <c r="G17" s="32"/>
      <c r="H17" s="32"/>
      <c r="I17" s="32"/>
      <c r="J17" s="32"/>
      <c r="K17" s="32"/>
      <c r="L17" s="32"/>
    </row>
    <row r="18" spans="1:13">
      <c r="A18" s="40" t="s">
        <v>82</v>
      </c>
      <c r="B18" s="32"/>
      <c r="C18" s="32"/>
      <c r="D18" s="32"/>
      <c r="E18" s="32"/>
      <c r="F18" s="32"/>
      <c r="G18" s="32"/>
      <c r="H18" s="32"/>
      <c r="I18" s="32"/>
      <c r="J18" s="32"/>
      <c r="K18" s="32"/>
      <c r="L18" s="32"/>
    </row>
    <row r="19" spans="1:13">
      <c r="A19" s="42" t="s">
        <v>238</v>
      </c>
      <c r="B19" s="41">
        <f>SUM(POP!G281:G296)</f>
        <v>23040.321497189896</v>
      </c>
      <c r="C19" s="41">
        <f>SUM(POP!H281:H296)</f>
        <v>22752.131838037305</v>
      </c>
      <c r="D19" s="41">
        <f>SUM(POP!I281:I296)</f>
        <v>22541.047250358071</v>
      </c>
      <c r="E19" s="41">
        <f>SUM(POP!J281:J296)</f>
        <v>22391.088138946834</v>
      </c>
      <c r="F19" s="41">
        <f>SUM(POP!K281:K296)</f>
        <v>22276.150806928435</v>
      </c>
      <c r="G19" s="41">
        <f>SUM(POP!L281:L296)</f>
        <v>22176.364182156285</v>
      </c>
      <c r="H19" s="41">
        <f>SUM(POP!M281:M296)</f>
        <v>22087.331359764488</v>
      </c>
      <c r="I19" s="41">
        <f>SUM(POP!N281:N296)</f>
        <v>22013.136387149891</v>
      </c>
      <c r="J19" s="41">
        <f>SUM(POP!O281:O296)</f>
        <v>21951.921580988957</v>
      </c>
      <c r="K19" s="41">
        <f>SUM(POP!P281:P296)</f>
        <v>21903.249876684942</v>
      </c>
      <c r="L19" s="41">
        <f>SUM(POP!Q281:Q296)</f>
        <v>21865.874237244479</v>
      </c>
    </row>
    <row r="20" spans="1:13">
      <c r="A20" s="42" t="s">
        <v>257</v>
      </c>
      <c r="B20" s="41">
        <f>SUM(POP!G281:G286)</f>
        <v>8580.1315104398018</v>
      </c>
      <c r="C20" s="41">
        <f>SUM(POP!H281:H286)</f>
        <v>8553.5521549970963</v>
      </c>
      <c r="D20" s="41">
        <f>SUM(POP!I281:I286)</f>
        <v>8540.6889512567031</v>
      </c>
      <c r="E20" s="41">
        <f>SUM(POP!J281:J286)</f>
        <v>8537.0115053740301</v>
      </c>
      <c r="F20" s="41">
        <f>SUM(POP!K281:K286)</f>
        <v>8536.407510605779</v>
      </c>
      <c r="G20" s="41">
        <f>SUM(POP!L281:L286)</f>
        <v>8534.2415099566369</v>
      </c>
      <c r="H20" s="41">
        <f>SUM(POP!M281:M286)</f>
        <v>8528.1445751342253</v>
      </c>
      <c r="I20" s="41">
        <f>SUM(POP!N281:N286)</f>
        <v>8518.380869482753</v>
      </c>
      <c r="J20" s="41">
        <f>SUM(POP!O281:O286)</f>
        <v>8506.1384558400441</v>
      </c>
      <c r="K20" s="41">
        <f>SUM(POP!P281:P286)</f>
        <v>8493.7811272908111</v>
      </c>
      <c r="L20" s="41">
        <f>SUM(POP!Q281:Q286)</f>
        <v>8482.6714204603722</v>
      </c>
    </row>
    <row r="21" spans="1:13">
      <c r="A21" s="42" t="s">
        <v>258</v>
      </c>
      <c r="B21" s="41">
        <f>SUM(POP!G287:G291)</f>
        <v>6660.1670979110813</v>
      </c>
      <c r="C21" s="41">
        <f>SUM(POP!H287:H291)</f>
        <v>6596.7552730712378</v>
      </c>
      <c r="D21" s="41">
        <f>SUM(POP!I287:I291)</f>
        <v>6546.2272151318884</v>
      </c>
      <c r="E21" s="41">
        <f>SUM(POP!J287:J291)</f>
        <v>6507.0305719681282</v>
      </c>
      <c r="F21" s="41">
        <f>SUM(POP!K287:K291)</f>
        <v>6477.7245671710425</v>
      </c>
      <c r="G21" s="41">
        <f>SUM(POP!L287:L291)</f>
        <v>6456.863674168053</v>
      </c>
      <c r="H21" s="41">
        <f>SUM(POP!M287:M291)</f>
        <v>6443.2843056034826</v>
      </c>
      <c r="I21" s="41">
        <f>SUM(POP!N287:N291)</f>
        <v>6435.5219325267335</v>
      </c>
      <c r="J21" s="41">
        <f>SUM(POP!O287:O291)</f>
        <v>6431.543985768636</v>
      </c>
      <c r="K21" s="41">
        <f>SUM(POP!P287:P291)</f>
        <v>6429.1256456275814</v>
      </c>
      <c r="L21" s="41">
        <f>SUM(POP!Q287:Q291)</f>
        <v>6426.524824868593</v>
      </c>
    </row>
    <row r="22" spans="1:13">
      <c r="A22" s="42" t="s">
        <v>259</v>
      </c>
      <c r="B22" s="41">
        <f>SUM(POP!G292:G296)</f>
        <v>7800.0228888390175</v>
      </c>
      <c r="C22" s="41">
        <f>SUM(POP!H292:H296)</f>
        <v>7601.8244099689709</v>
      </c>
      <c r="D22" s="41">
        <f>SUM(POP!I292:I296)</f>
        <v>7454.1310839694816</v>
      </c>
      <c r="E22" s="41">
        <f>SUM(POP!J292:J296)</f>
        <v>7347.046061604673</v>
      </c>
      <c r="F22" s="41">
        <f>SUM(POP!K292:K296)</f>
        <v>7262.0187291516177</v>
      </c>
      <c r="G22" s="41">
        <f>SUM(POP!L292:L296)</f>
        <v>7185.2589980315979</v>
      </c>
      <c r="H22" s="41">
        <f>SUM(POP!M292:M296)</f>
        <v>7115.9024790267795</v>
      </c>
      <c r="I22" s="41">
        <f>SUM(POP!N292:N296)</f>
        <v>7059.2335851404059</v>
      </c>
      <c r="J22" s="41">
        <f>SUM(POP!O292:O296)</f>
        <v>7014.2391393802809</v>
      </c>
      <c r="K22" s="41">
        <f>SUM(POP!P292:P296)</f>
        <v>6980.343103766545</v>
      </c>
      <c r="L22" s="41">
        <f>SUM(POP!Q292:Q296)</f>
        <v>6956.6779919155097</v>
      </c>
    </row>
    <row r="23" spans="1:13">
      <c r="A23" s="42" t="s">
        <v>260</v>
      </c>
      <c r="B23" s="41">
        <f>SUM(POP!G287:G296)</f>
        <v>14460.189986750098</v>
      </c>
      <c r="C23" s="41">
        <f>SUM(POP!H287:H296)</f>
        <v>14198.579683040207</v>
      </c>
      <c r="D23" s="41">
        <f>SUM(POP!I287:I296)</f>
        <v>14000.358299101368</v>
      </c>
      <c r="E23" s="41">
        <f>SUM(POP!J287:J296)</f>
        <v>13854.076633572799</v>
      </c>
      <c r="F23" s="41">
        <f>SUM(POP!K287:K296)</f>
        <v>13739.74329632266</v>
      </c>
      <c r="G23" s="41">
        <f>SUM(POP!L287:L296)</f>
        <v>13642.12267219965</v>
      </c>
      <c r="H23" s="41">
        <f>SUM(POP!M287:M296)</f>
        <v>13559.186784630261</v>
      </c>
      <c r="I23" s="41">
        <f>SUM(POP!N287:N296)</f>
        <v>13494.755517667139</v>
      </c>
      <c r="J23" s="41">
        <f>SUM(POP!O287:O296)</f>
        <v>13445.783125148917</v>
      </c>
      <c r="K23" s="41">
        <f>SUM(POP!P287:P296)</f>
        <v>13409.468749394126</v>
      </c>
      <c r="L23" s="41">
        <f>SUM(POP!Q287:Q296)</f>
        <v>13383.202816784104</v>
      </c>
      <c r="M23" s="929" t="s">
        <v>239</v>
      </c>
    </row>
    <row r="24" spans="1:13" s="161" customFormat="1">
      <c r="A24" s="48" t="s">
        <v>461</v>
      </c>
      <c r="B24" s="167"/>
      <c r="C24" s="167"/>
      <c r="D24" s="167"/>
      <c r="E24" s="167"/>
      <c r="F24" s="167"/>
      <c r="G24" s="167"/>
      <c r="H24" s="167"/>
      <c r="I24" s="167"/>
      <c r="J24" s="167"/>
      <c r="K24" s="167"/>
      <c r="L24" s="167"/>
      <c r="M24" s="930"/>
    </row>
    <row r="25" spans="1:13">
      <c r="A25" s="42" t="s">
        <v>238</v>
      </c>
      <c r="B25" s="452">
        <f>B19*B$42/100</f>
        <v>0</v>
      </c>
      <c r="C25" s="452">
        <f t="shared" ref="C25:L25" si="3">C19*C$42/100</f>
        <v>4550.4263676074615</v>
      </c>
      <c r="D25" s="452">
        <f t="shared" si="3"/>
        <v>9016.4189001432278</v>
      </c>
      <c r="E25" s="452">
        <f t="shared" si="3"/>
        <v>11195.544069473417</v>
      </c>
      <c r="F25" s="452">
        <f t="shared" si="3"/>
        <v>13365.690484157059</v>
      </c>
      <c r="G25" s="452">
        <f t="shared" si="3"/>
        <v>17741.091345725028</v>
      </c>
      <c r="H25" s="452">
        <f t="shared" si="3"/>
        <v>22087.331359764488</v>
      </c>
      <c r="I25" s="452">
        <f t="shared" si="3"/>
        <v>22013.136387149891</v>
      </c>
      <c r="J25" s="452">
        <f t="shared" si="3"/>
        <v>21951.921580988957</v>
      </c>
      <c r="K25" s="452">
        <f t="shared" si="3"/>
        <v>21903.249876684942</v>
      </c>
      <c r="L25" s="452">
        <f t="shared" si="3"/>
        <v>21865.874237244479</v>
      </c>
      <c r="M25" s="929"/>
    </row>
    <row r="26" spans="1:13">
      <c r="A26" s="42" t="s">
        <v>257</v>
      </c>
      <c r="B26" s="452">
        <f>B20*B$42/100</f>
        <v>0</v>
      </c>
      <c r="C26" s="452">
        <f t="shared" ref="C26:L26" si="4">C20*C$42/100</f>
        <v>1710.7104309994193</v>
      </c>
      <c r="D26" s="452">
        <f t="shared" si="4"/>
        <v>3416.2755805026809</v>
      </c>
      <c r="E26" s="452">
        <f t="shared" si="4"/>
        <v>4268.505752687015</v>
      </c>
      <c r="F26" s="452">
        <f t="shared" si="4"/>
        <v>5121.8445063634672</v>
      </c>
      <c r="G26" s="452">
        <f t="shared" si="4"/>
        <v>6827.3932079653096</v>
      </c>
      <c r="H26" s="452">
        <f t="shared" si="4"/>
        <v>8528.1445751342253</v>
      </c>
      <c r="I26" s="452">
        <f t="shared" si="4"/>
        <v>8518.380869482753</v>
      </c>
      <c r="J26" s="452">
        <f t="shared" si="4"/>
        <v>8506.1384558400441</v>
      </c>
      <c r="K26" s="452">
        <f t="shared" si="4"/>
        <v>8493.7811272908111</v>
      </c>
      <c r="L26" s="452">
        <f t="shared" si="4"/>
        <v>8482.6714204603722</v>
      </c>
      <c r="M26" s="929"/>
    </row>
    <row r="27" spans="1:13">
      <c r="A27" s="42" t="s">
        <v>258</v>
      </c>
      <c r="B27" s="452">
        <f>B21*B$42/100</f>
        <v>0</v>
      </c>
      <c r="C27" s="452">
        <f t="shared" ref="C27:L27" si="5">C21*C$42/100</f>
        <v>1319.3510546142475</v>
      </c>
      <c r="D27" s="452">
        <f t="shared" si="5"/>
        <v>2618.4908860527557</v>
      </c>
      <c r="E27" s="452">
        <f t="shared" si="5"/>
        <v>3253.5152859840641</v>
      </c>
      <c r="F27" s="452">
        <f t="shared" si="5"/>
        <v>3886.6347403026257</v>
      </c>
      <c r="G27" s="452">
        <f t="shared" si="5"/>
        <v>5165.4909393344424</v>
      </c>
      <c r="H27" s="452">
        <f t="shared" si="5"/>
        <v>6443.2843056034817</v>
      </c>
      <c r="I27" s="452">
        <f t="shared" si="5"/>
        <v>6435.5219325267335</v>
      </c>
      <c r="J27" s="452">
        <f t="shared" si="5"/>
        <v>6431.543985768636</v>
      </c>
      <c r="K27" s="452">
        <f t="shared" si="5"/>
        <v>6429.1256456275823</v>
      </c>
      <c r="L27" s="452">
        <f t="shared" si="5"/>
        <v>6426.524824868593</v>
      </c>
      <c r="M27" s="929"/>
    </row>
    <row r="28" spans="1:13">
      <c r="A28" s="42" t="s">
        <v>259</v>
      </c>
      <c r="B28" s="452">
        <f>B22*B$42/100</f>
        <v>0</v>
      </c>
      <c r="C28" s="452">
        <f t="shared" ref="C28:L28" si="6">C22*C$42/100</f>
        <v>1520.3648819937941</v>
      </c>
      <c r="D28" s="452">
        <f t="shared" si="6"/>
        <v>2981.6524335877925</v>
      </c>
      <c r="E28" s="452">
        <f t="shared" si="6"/>
        <v>3673.5230308023365</v>
      </c>
      <c r="F28" s="452">
        <f t="shared" si="6"/>
        <v>4357.2112374909702</v>
      </c>
      <c r="G28" s="452">
        <f t="shared" si="6"/>
        <v>5748.2071984252789</v>
      </c>
      <c r="H28" s="452">
        <f t="shared" si="6"/>
        <v>7115.9024790267795</v>
      </c>
      <c r="I28" s="452">
        <f t="shared" si="6"/>
        <v>7059.2335851404059</v>
      </c>
      <c r="J28" s="452">
        <f t="shared" si="6"/>
        <v>7014.23913938028</v>
      </c>
      <c r="K28" s="452">
        <f t="shared" si="6"/>
        <v>6980.343103766545</v>
      </c>
      <c r="L28" s="452">
        <f t="shared" si="6"/>
        <v>6956.6779919155097</v>
      </c>
      <c r="M28" s="929"/>
    </row>
    <row r="29" spans="1:13" ht="24">
      <c r="A29" s="42" t="s">
        <v>260</v>
      </c>
      <c r="B29" s="452">
        <f>B23*B$42/100</f>
        <v>0</v>
      </c>
      <c r="C29" s="452">
        <f t="shared" ref="C29:L29" si="7">C23*C$42/100</f>
        <v>2839.7159366080414</v>
      </c>
      <c r="D29" s="452">
        <f t="shared" si="7"/>
        <v>5600.1433196405469</v>
      </c>
      <c r="E29" s="452">
        <f t="shared" si="7"/>
        <v>6927.0383167864002</v>
      </c>
      <c r="F29" s="452">
        <f t="shared" si="7"/>
        <v>8243.8459777935968</v>
      </c>
      <c r="G29" s="452">
        <f t="shared" si="7"/>
        <v>10913.69813775972</v>
      </c>
      <c r="H29" s="452">
        <f t="shared" si="7"/>
        <v>13559.186784630261</v>
      </c>
      <c r="I29" s="452">
        <f t="shared" si="7"/>
        <v>13494.755517667138</v>
      </c>
      <c r="J29" s="452">
        <f t="shared" si="7"/>
        <v>13445.783125148917</v>
      </c>
      <c r="K29" s="452">
        <f t="shared" si="7"/>
        <v>13409.468749394126</v>
      </c>
      <c r="L29" s="452">
        <f t="shared" si="7"/>
        <v>13383.202816784102</v>
      </c>
      <c r="M29" s="929" t="s">
        <v>248</v>
      </c>
    </row>
    <row r="30" spans="1:13" ht="30">
      <c r="A30" s="42" t="s">
        <v>281</v>
      </c>
      <c r="B30" s="222">
        <f>B19*(B$42/100)*(B$14/100)</f>
        <v>0</v>
      </c>
      <c r="C30" s="222">
        <f t="shared" ref="C30:L30" si="8">C19*(C$42/100)*(C$14/100)</f>
        <v>579.1024582445026</v>
      </c>
      <c r="D30" s="222">
        <f t="shared" si="8"/>
        <v>1089.7726815260664</v>
      </c>
      <c r="E30" s="222">
        <f t="shared" si="8"/>
        <v>1285.1255522214317</v>
      </c>
      <c r="F30" s="222">
        <f t="shared" si="8"/>
        <v>1457.1030711144872</v>
      </c>
      <c r="G30" s="222">
        <f t="shared" si="8"/>
        <v>1836.8670537936314</v>
      </c>
      <c r="H30" s="222">
        <f t="shared" si="8"/>
        <v>2171.8966635834372</v>
      </c>
      <c r="I30" s="222">
        <f t="shared" si="8"/>
        <v>2055.7786657274405</v>
      </c>
      <c r="J30" s="222">
        <f t="shared" si="8"/>
        <v>1946.997939295479</v>
      </c>
      <c r="K30" s="222">
        <f t="shared" si="8"/>
        <v>1845.0155289422489</v>
      </c>
      <c r="L30" s="222">
        <f t="shared" si="8"/>
        <v>1749.2699389795584</v>
      </c>
      <c r="M30" s="929" t="s">
        <v>249</v>
      </c>
    </row>
    <row r="31" spans="1:13">
      <c r="A31" s="42" t="s">
        <v>262</v>
      </c>
      <c r="B31" s="222">
        <f>B20*(B$42/100)*(B$14/100)</f>
        <v>0</v>
      </c>
      <c r="C31" s="222">
        <f t="shared" ref="C31:L31" si="9">C20*(C$42/100)*(C$14/100)</f>
        <v>217.71072332660501</v>
      </c>
      <c r="D31" s="222">
        <f t="shared" si="9"/>
        <v>412.909364729858</v>
      </c>
      <c r="E31" s="222">
        <f t="shared" si="9"/>
        <v>489.97759988633334</v>
      </c>
      <c r="F31" s="222">
        <f t="shared" si="9"/>
        <v>558.37409738309884</v>
      </c>
      <c r="G31" s="222">
        <f t="shared" si="9"/>
        <v>706.89076577173626</v>
      </c>
      <c r="H31" s="222">
        <f t="shared" si="9"/>
        <v>838.59151871250378</v>
      </c>
      <c r="I31" s="222">
        <f t="shared" si="9"/>
        <v>795.52069955128866</v>
      </c>
      <c r="J31" s="222">
        <f t="shared" si="9"/>
        <v>754.44119931738942</v>
      </c>
      <c r="K31" s="222">
        <f t="shared" si="9"/>
        <v>715.4718211916769</v>
      </c>
      <c r="L31" s="222">
        <f t="shared" si="9"/>
        <v>678.61371363682974</v>
      </c>
      <c r="M31" s="929"/>
    </row>
    <row r="32" spans="1:13">
      <c r="A32" s="42" t="s">
        <v>263</v>
      </c>
      <c r="B32" s="222">
        <f>B21*(B$42/100)*(B$14/100)</f>
        <v>0</v>
      </c>
      <c r="C32" s="222">
        <f t="shared" ref="C32:L32" si="10">C21*(C$42/100)*(C$14/100)</f>
        <v>167.90502192354055</v>
      </c>
      <c r="D32" s="222">
        <f t="shared" si="10"/>
        <v>316.48483350745238</v>
      </c>
      <c r="E32" s="222">
        <f t="shared" si="10"/>
        <v>373.46783708009656</v>
      </c>
      <c r="F32" s="222">
        <f t="shared" si="10"/>
        <v>423.71379339571604</v>
      </c>
      <c r="G32" s="222">
        <f t="shared" si="10"/>
        <v>534.82167123948113</v>
      </c>
      <c r="H32" s="222">
        <f t="shared" si="10"/>
        <v>633.58254820010734</v>
      </c>
      <c r="I32" s="222">
        <f t="shared" si="10"/>
        <v>601.00516614399703</v>
      </c>
      <c r="J32" s="222">
        <f t="shared" si="10"/>
        <v>570.43766490239193</v>
      </c>
      <c r="K32" s="222">
        <f t="shared" si="10"/>
        <v>541.55601202952801</v>
      </c>
      <c r="L32" s="222">
        <f t="shared" si="10"/>
        <v>514.12198598948748</v>
      </c>
    </row>
    <row r="33" spans="1:13">
      <c r="A33" s="42" t="s">
        <v>264</v>
      </c>
      <c r="B33" s="222">
        <f>B22*(B$42/100)*(B$14/100)</f>
        <v>0</v>
      </c>
      <c r="C33" s="222">
        <f t="shared" ref="C33:L33" si="11">C22*(C$42/100)*(C$14/100)</f>
        <v>193.48671299435702</v>
      </c>
      <c r="D33" s="222">
        <f t="shared" si="11"/>
        <v>360.378483288756</v>
      </c>
      <c r="E33" s="222">
        <f t="shared" si="11"/>
        <v>421.68011525500157</v>
      </c>
      <c r="F33" s="222">
        <f t="shared" si="11"/>
        <v>475.01518033567248</v>
      </c>
      <c r="G33" s="222">
        <f t="shared" si="11"/>
        <v>595.15461678241434</v>
      </c>
      <c r="H33" s="222">
        <f t="shared" si="11"/>
        <v>699.72259667082585</v>
      </c>
      <c r="I33" s="222">
        <f t="shared" si="11"/>
        <v>659.25280003215494</v>
      </c>
      <c r="J33" s="222">
        <f t="shared" si="11"/>
        <v>622.11907507569776</v>
      </c>
      <c r="K33" s="222">
        <f t="shared" si="11"/>
        <v>587.98769572104356</v>
      </c>
      <c r="L33" s="222">
        <f t="shared" si="11"/>
        <v>556.53423935324076</v>
      </c>
    </row>
    <row r="34" spans="1:13">
      <c r="A34" s="42" t="s">
        <v>265</v>
      </c>
      <c r="B34" s="222">
        <f>B23*(B$42/100)*(B$14/100)</f>
        <v>0</v>
      </c>
      <c r="C34" s="222">
        <f t="shared" ref="C34:L34" si="12">C23*(C$42/100)*(C$14/100)</f>
        <v>361.39173491789751</v>
      </c>
      <c r="D34" s="222">
        <f t="shared" si="12"/>
        <v>676.86331679620832</v>
      </c>
      <c r="E34" s="222">
        <f t="shared" si="12"/>
        <v>795.14795233509801</v>
      </c>
      <c r="F34" s="222">
        <f t="shared" si="12"/>
        <v>898.72897373138846</v>
      </c>
      <c r="G34" s="222">
        <f t="shared" si="12"/>
        <v>1129.9762880218952</v>
      </c>
      <c r="H34" s="222">
        <f t="shared" si="12"/>
        <v>1333.3051448709332</v>
      </c>
      <c r="I34" s="222">
        <f t="shared" si="12"/>
        <v>1260.257966176152</v>
      </c>
      <c r="J34" s="222">
        <f t="shared" si="12"/>
        <v>1192.5567399780898</v>
      </c>
      <c r="K34" s="222">
        <f t="shared" si="12"/>
        <v>1129.5437077505717</v>
      </c>
      <c r="L34" s="222">
        <f t="shared" si="12"/>
        <v>1070.6562253427282</v>
      </c>
    </row>
    <row r="35" spans="1:13">
      <c r="A35" s="42"/>
      <c r="B35" s="222"/>
      <c r="C35" s="222"/>
      <c r="D35" s="222"/>
      <c r="E35" s="222"/>
      <c r="F35" s="222"/>
      <c r="G35" s="222"/>
      <c r="H35" s="222"/>
      <c r="I35" s="222"/>
      <c r="J35" s="222"/>
      <c r="K35" s="222"/>
      <c r="L35" s="222"/>
    </row>
    <row r="36" spans="1:13" ht="30">
      <c r="A36" s="42" t="s">
        <v>283</v>
      </c>
      <c r="B36" s="222">
        <f>B19*(B$42/100)*(B$12/100)</f>
        <v>0</v>
      </c>
      <c r="C36" s="222">
        <f t="shared" ref="C36:L36" si="13">C19*(C$42/100)*(C$12/100)</f>
        <v>884.27676396119148</v>
      </c>
      <c r="D36" s="222">
        <f t="shared" si="13"/>
        <v>1702.457696045708</v>
      </c>
      <c r="E36" s="222">
        <f t="shared" si="13"/>
        <v>2053.967552235441</v>
      </c>
      <c r="F36" s="222">
        <f t="shared" si="13"/>
        <v>2382.5712709471204</v>
      </c>
      <c r="G36" s="222">
        <f t="shared" si="13"/>
        <v>3072.8471592516266</v>
      </c>
      <c r="H36" s="222">
        <f t="shared" si="13"/>
        <v>3717.1492602394469</v>
      </c>
      <c r="I36" s="222">
        <f t="shared" si="13"/>
        <v>3599.6046519056563</v>
      </c>
      <c r="J36" s="222">
        <f t="shared" si="13"/>
        <v>3487.7998043126172</v>
      </c>
      <c r="K36" s="222">
        <f t="shared" si="13"/>
        <v>3381.3777485914907</v>
      </c>
      <c r="L36" s="222">
        <f t="shared" si="13"/>
        <v>3279.8811355866719</v>
      </c>
      <c r="M36" s="929" t="s">
        <v>282</v>
      </c>
    </row>
    <row r="37" spans="1:13">
      <c r="A37" s="42" t="s">
        <v>262</v>
      </c>
      <c r="B37" s="222">
        <f>B20*(B$42/100)*(B$12/100)</f>
        <v>0</v>
      </c>
      <c r="C37" s="222">
        <f t="shared" ref="C37:L37" si="14">C20*(C$42/100)*(C$12/100)</f>
        <v>332.43950385998573</v>
      </c>
      <c r="D37" s="222">
        <f t="shared" si="14"/>
        <v>645.05262213886465</v>
      </c>
      <c r="E37" s="222">
        <f t="shared" si="14"/>
        <v>783.11266144315414</v>
      </c>
      <c r="F37" s="222">
        <f t="shared" si="14"/>
        <v>913.02126063631897</v>
      </c>
      <c r="G37" s="222">
        <f t="shared" si="14"/>
        <v>1182.5391919446586</v>
      </c>
      <c r="H37" s="222">
        <f t="shared" si="14"/>
        <v>1435.229353077141</v>
      </c>
      <c r="I37" s="222">
        <f t="shared" si="14"/>
        <v>1392.932059531217</v>
      </c>
      <c r="J37" s="222">
        <f t="shared" si="14"/>
        <v>1351.4856971531863</v>
      </c>
      <c r="K37" s="222">
        <f t="shared" si="14"/>
        <v>1311.252104912496</v>
      </c>
      <c r="L37" s="222">
        <f t="shared" si="14"/>
        <v>1272.4007130690559</v>
      </c>
      <c r="M37" s="929"/>
    </row>
    <row r="38" spans="1:13">
      <c r="A38" s="42" t="s">
        <v>263</v>
      </c>
      <c r="B38" s="222">
        <f>B21*(B$42/100)*(B$12/100)</f>
        <v>0</v>
      </c>
      <c r="C38" s="222">
        <f t="shared" ref="C38:L38" si="15">C21*(C$42/100)*(C$12/100)</f>
        <v>256.3872892017564</v>
      </c>
      <c r="D38" s="222">
        <f t="shared" si="15"/>
        <v>494.41690879238587</v>
      </c>
      <c r="E38" s="222">
        <f t="shared" si="15"/>
        <v>596.89951525755521</v>
      </c>
      <c r="F38" s="222">
        <f t="shared" si="15"/>
        <v>692.83246412795211</v>
      </c>
      <c r="G38" s="222">
        <f t="shared" si="15"/>
        <v>894.68927529639427</v>
      </c>
      <c r="H38" s="222">
        <f t="shared" si="15"/>
        <v>1084.361397036686</v>
      </c>
      <c r="I38" s="222">
        <f t="shared" si="15"/>
        <v>1052.3413964439349</v>
      </c>
      <c r="J38" s="222">
        <f t="shared" si="15"/>
        <v>1021.8667086720368</v>
      </c>
      <c r="K38" s="222">
        <f t="shared" si="15"/>
        <v>992.51492465346644</v>
      </c>
      <c r="L38" s="222">
        <f t="shared" si="15"/>
        <v>963.97872373028895</v>
      </c>
    </row>
    <row r="39" spans="1:13">
      <c r="A39" s="42" t="s">
        <v>264</v>
      </c>
      <c r="B39" s="222">
        <f>B22*(B$42/100)*(B$12/100)</f>
        <v>0</v>
      </c>
      <c r="C39" s="222">
        <f t="shared" ref="C39:L39" si="16">C22*(C$42/100)*(C$12/100)</f>
        <v>295.44997089944928</v>
      </c>
      <c r="D39" s="222">
        <f t="shared" si="16"/>
        <v>562.98816511445762</v>
      </c>
      <c r="E39" s="222">
        <f t="shared" si="16"/>
        <v>673.95537553473162</v>
      </c>
      <c r="F39" s="222">
        <f t="shared" si="16"/>
        <v>776.71754618284967</v>
      </c>
      <c r="G39" s="222">
        <f t="shared" si="16"/>
        <v>995.61869201057414</v>
      </c>
      <c r="H39" s="222">
        <f t="shared" si="16"/>
        <v>1197.5585101256197</v>
      </c>
      <c r="I39" s="222">
        <f t="shared" si="16"/>
        <v>1154.3311959305049</v>
      </c>
      <c r="J39" s="222">
        <f t="shared" si="16"/>
        <v>1114.4473984873948</v>
      </c>
      <c r="K39" s="222">
        <f t="shared" si="16"/>
        <v>1077.6107190255275</v>
      </c>
      <c r="L39" s="222">
        <f t="shared" si="16"/>
        <v>1043.5016987873264</v>
      </c>
    </row>
    <row r="40" spans="1:13">
      <c r="A40" s="42" t="s">
        <v>265</v>
      </c>
      <c r="B40" s="222">
        <f>B23*(B$42/100)*(B$12/100)</f>
        <v>0</v>
      </c>
      <c r="C40" s="222">
        <f t="shared" ref="C40:L40" si="17">C23*(C$42/100)*(C$12/100)</f>
        <v>551.83726010120552</v>
      </c>
      <c r="D40" s="222">
        <f t="shared" si="17"/>
        <v>1057.4050739068432</v>
      </c>
      <c r="E40" s="222">
        <f t="shared" si="17"/>
        <v>1270.8548907922866</v>
      </c>
      <c r="F40" s="222">
        <f t="shared" si="17"/>
        <v>1469.5500103108016</v>
      </c>
      <c r="G40" s="222">
        <f t="shared" si="17"/>
        <v>1890.3079673069683</v>
      </c>
      <c r="H40" s="222">
        <f t="shared" si="17"/>
        <v>2281.9199071623057</v>
      </c>
      <c r="I40" s="222">
        <f t="shared" si="17"/>
        <v>2206.6725923744398</v>
      </c>
      <c r="J40" s="222">
        <f t="shared" si="17"/>
        <v>2136.3141071594318</v>
      </c>
      <c r="K40" s="222">
        <f t="shared" si="17"/>
        <v>2070.125643678994</v>
      </c>
      <c r="L40" s="222">
        <f t="shared" si="17"/>
        <v>2007.4804225176154</v>
      </c>
    </row>
    <row r="41" spans="1:13">
      <c r="A41" s="42"/>
      <c r="B41" s="222"/>
      <c r="C41" s="222"/>
      <c r="D41" s="222"/>
      <c r="E41" s="222"/>
      <c r="F41" s="222"/>
      <c r="G41" s="222"/>
      <c r="H41" s="222"/>
      <c r="I41" s="222"/>
      <c r="J41" s="222"/>
      <c r="K41" s="222"/>
      <c r="L41" s="222"/>
    </row>
    <row r="42" spans="1:13">
      <c r="A42" s="276" t="s">
        <v>768</v>
      </c>
      <c r="B42" s="453">
        <v>0</v>
      </c>
      <c r="C42" s="453">
        <v>20</v>
      </c>
      <c r="D42" s="453">
        <v>40</v>
      </c>
      <c r="E42" s="453">
        <v>50</v>
      </c>
      <c r="F42" s="453">
        <v>60</v>
      </c>
      <c r="G42" s="453">
        <v>80</v>
      </c>
      <c r="H42" s="453">
        <v>100</v>
      </c>
      <c r="I42" s="453">
        <v>100</v>
      </c>
      <c r="J42" s="453">
        <v>100</v>
      </c>
      <c r="K42" s="453">
        <v>100</v>
      </c>
      <c r="L42" s="453">
        <v>100</v>
      </c>
      <c r="M42" s="931"/>
    </row>
    <row r="43" spans="1:13">
      <c r="B43" s="32"/>
      <c r="C43" s="32"/>
      <c r="D43" s="32"/>
      <c r="E43" s="32"/>
      <c r="F43" s="32"/>
      <c r="G43" s="32"/>
      <c r="H43" s="32"/>
      <c r="I43" s="32"/>
      <c r="J43" s="32"/>
      <c r="K43" s="32"/>
      <c r="L43" s="32"/>
    </row>
    <row r="44" spans="1:13">
      <c r="A44" s="40" t="s">
        <v>462</v>
      </c>
      <c r="B44" s="32"/>
      <c r="C44" s="32"/>
      <c r="D44" s="32"/>
      <c r="E44" s="32"/>
      <c r="F44" s="32"/>
      <c r="G44" s="32"/>
      <c r="H44" s="32"/>
      <c r="I44" s="32"/>
      <c r="J44" s="32"/>
      <c r="K44" s="32"/>
      <c r="L44" s="32"/>
    </row>
    <row r="45" spans="1:13">
      <c r="A45" s="40" t="s">
        <v>710</v>
      </c>
      <c r="B45" s="32"/>
      <c r="C45" s="32"/>
      <c r="D45" s="32"/>
      <c r="E45" s="32"/>
      <c r="F45" s="32"/>
      <c r="G45" s="32"/>
      <c r="H45" s="32"/>
      <c r="I45" s="32"/>
      <c r="J45" s="32"/>
      <c r="K45" s="32"/>
      <c r="L45" s="32"/>
    </row>
    <row r="46" spans="1:13">
      <c r="A46" s="168" t="s">
        <v>712</v>
      </c>
      <c r="B46" s="41">
        <f>ECO!G26</f>
        <v>335578.89783178514</v>
      </c>
      <c r="C46" s="41">
        <f>ECO!H26</f>
        <v>400000</v>
      </c>
      <c r="D46" s="41">
        <f>ECO!I26</f>
        <v>426764.19835098815</v>
      </c>
      <c r="E46" s="41">
        <f>ECO!J26</f>
        <v>452370.05025204679</v>
      </c>
      <c r="F46" s="41">
        <f>ECO!K26</f>
        <v>477250.40301590931</v>
      </c>
      <c r="G46" s="41">
        <f>ECO!L26</f>
        <v>502306.04917424574</v>
      </c>
      <c r="H46" s="41">
        <f>ECO!M26</f>
        <v>527421.35163295781</v>
      </c>
      <c r="I46" s="41">
        <f>ECO!N26</f>
        <v>553792.41921460524</v>
      </c>
      <c r="J46" s="41">
        <f>ECO!O26</f>
        <v>581482.04017533548</v>
      </c>
      <c r="K46" s="41">
        <f>ECO!P26</f>
        <v>610556.14218410361</v>
      </c>
      <c r="L46" s="41">
        <f>ECO!Q26</f>
        <v>641083.94929330831</v>
      </c>
    </row>
    <row r="47" spans="1:13">
      <c r="A47" s="168" t="s">
        <v>713</v>
      </c>
      <c r="B47" s="41">
        <f>ECO!G27</f>
        <v>400000</v>
      </c>
      <c r="C47" s="41">
        <f>ECO!H27</f>
        <v>500000</v>
      </c>
      <c r="D47" s="41">
        <f>ECO!I27</f>
        <v>533455.24793873518</v>
      </c>
      <c r="E47" s="41">
        <f>ECO!J27</f>
        <v>565462.56281505851</v>
      </c>
      <c r="F47" s="41">
        <f>ECO!K27</f>
        <v>596563.00376988668</v>
      </c>
      <c r="G47" s="41">
        <f>ECO!L27</f>
        <v>627882.56146780716</v>
      </c>
      <c r="H47" s="41">
        <f>ECO!M27</f>
        <v>659276.68954119727</v>
      </c>
      <c r="I47" s="41">
        <f>ECO!N27</f>
        <v>692240.52401825658</v>
      </c>
      <c r="J47" s="41">
        <f>ECO!O27</f>
        <v>726852.55021916947</v>
      </c>
      <c r="K47" s="41">
        <f>ECO!P27</f>
        <v>763195.17773012957</v>
      </c>
      <c r="L47" s="41">
        <f>ECO!Q27</f>
        <v>801354.93661663542</v>
      </c>
    </row>
    <row r="48" spans="1:13">
      <c r="A48" s="168" t="s">
        <v>714</v>
      </c>
      <c r="B48" s="41">
        <f>ECO!G25</f>
        <v>344597.85213533521</v>
      </c>
      <c r="C48" s="41">
        <f>ECO!H25</f>
        <v>414304.81605006225</v>
      </c>
      <c r="D48" s="41">
        <f>ECO!I25</f>
        <v>442350.21550896659</v>
      </c>
      <c r="E48" s="41">
        <f>ECO!J25</f>
        <v>469233.51323826663</v>
      </c>
      <c r="F48" s="41">
        <f>ECO!K25</f>
        <v>495401.1870190092</v>
      </c>
      <c r="G48" s="41">
        <f>ECO!L25</f>
        <v>521787.12866346852</v>
      </c>
      <c r="H48" s="41">
        <f>ECO!M25</f>
        <v>548271.32893728022</v>
      </c>
      <c r="I48" s="41">
        <f>ECO!N25</f>
        <v>576098.01196940849</v>
      </c>
      <c r="J48" s="41">
        <f>ECO!O25</f>
        <v>605335.14753131359</v>
      </c>
      <c r="K48" s="41">
        <f>ECO!P25</f>
        <v>636054.14301760378</v>
      </c>
      <c r="L48" s="41">
        <f>ECO!Q25</f>
        <v>668330.01713827392</v>
      </c>
    </row>
    <row r="49" spans="1:13">
      <c r="A49" s="40"/>
      <c r="B49" s="32"/>
      <c r="C49" s="32"/>
      <c r="D49" s="32"/>
      <c r="E49" s="32"/>
      <c r="F49" s="32"/>
      <c r="G49" s="32"/>
      <c r="H49" s="32"/>
      <c r="I49" s="32"/>
      <c r="J49" s="32"/>
      <c r="K49" s="32"/>
      <c r="L49" s="32"/>
    </row>
    <row r="50" spans="1:13">
      <c r="A50" s="42" t="s">
        <v>253</v>
      </c>
      <c r="B50" s="32">
        <v>40</v>
      </c>
      <c r="C50" s="32">
        <v>40</v>
      </c>
      <c r="D50" s="32">
        <v>40</v>
      </c>
      <c r="E50" s="32">
        <v>40</v>
      </c>
      <c r="F50" s="32">
        <v>40</v>
      </c>
      <c r="G50" s="32">
        <v>40</v>
      </c>
      <c r="H50" s="32">
        <v>40</v>
      </c>
      <c r="I50" s="32">
        <v>40</v>
      </c>
      <c r="J50" s="32">
        <v>40</v>
      </c>
      <c r="K50" s="32">
        <v>40</v>
      </c>
      <c r="L50" s="32">
        <v>40</v>
      </c>
    </row>
    <row r="51" spans="1:13">
      <c r="A51" s="42" t="s">
        <v>254</v>
      </c>
      <c r="B51" s="32">
        <v>25</v>
      </c>
      <c r="C51" s="32">
        <v>25</v>
      </c>
      <c r="D51" s="32">
        <v>25</v>
      </c>
      <c r="E51" s="32">
        <v>25</v>
      </c>
      <c r="F51" s="32">
        <v>25</v>
      </c>
      <c r="G51" s="32">
        <v>25</v>
      </c>
      <c r="H51" s="32">
        <v>25</v>
      </c>
      <c r="I51" s="32">
        <v>25</v>
      </c>
      <c r="J51" s="32">
        <v>25</v>
      </c>
      <c r="K51" s="32">
        <v>25</v>
      </c>
      <c r="L51" s="32">
        <v>25</v>
      </c>
    </row>
    <row r="52" spans="1:13">
      <c r="A52" s="42" t="s">
        <v>255</v>
      </c>
      <c r="B52" s="32">
        <v>30</v>
      </c>
      <c r="C52" s="32">
        <v>30</v>
      </c>
      <c r="D52" s="32">
        <v>30</v>
      </c>
      <c r="E52" s="32">
        <v>30</v>
      </c>
      <c r="F52" s="32">
        <v>30</v>
      </c>
      <c r="G52" s="32">
        <v>30</v>
      </c>
      <c r="H52" s="32">
        <v>30</v>
      </c>
      <c r="I52" s="32">
        <v>30</v>
      </c>
      <c r="J52" s="32">
        <v>30</v>
      </c>
      <c r="K52" s="32">
        <v>30</v>
      </c>
      <c r="L52" s="32">
        <v>30</v>
      </c>
    </row>
    <row r="53" spans="1:13">
      <c r="A53" s="42" t="s">
        <v>256</v>
      </c>
      <c r="B53" s="32">
        <v>50</v>
      </c>
      <c r="C53" s="32">
        <v>50</v>
      </c>
      <c r="D53" s="32">
        <v>50</v>
      </c>
      <c r="E53" s="32">
        <v>50</v>
      </c>
      <c r="F53" s="32">
        <v>50</v>
      </c>
      <c r="G53" s="32">
        <v>50</v>
      </c>
      <c r="H53" s="32">
        <v>50</v>
      </c>
      <c r="I53" s="32">
        <v>50</v>
      </c>
      <c r="J53" s="32">
        <v>50</v>
      </c>
      <c r="K53" s="32">
        <v>50</v>
      </c>
      <c r="L53" s="32">
        <v>50</v>
      </c>
    </row>
    <row r="54" spans="1:13">
      <c r="A54" s="165" t="s">
        <v>269</v>
      </c>
      <c r="B54" s="191">
        <v>50</v>
      </c>
      <c r="C54" s="191">
        <v>50</v>
      </c>
      <c r="D54" s="191">
        <v>50</v>
      </c>
      <c r="E54" s="191">
        <v>50</v>
      </c>
      <c r="F54" s="191">
        <v>50</v>
      </c>
      <c r="G54" s="191">
        <v>50</v>
      </c>
      <c r="H54" s="191">
        <v>50</v>
      </c>
      <c r="I54" s="191">
        <v>50</v>
      </c>
      <c r="J54" s="191">
        <v>50</v>
      </c>
      <c r="K54" s="191">
        <v>50</v>
      </c>
      <c r="L54" s="191">
        <v>50</v>
      </c>
      <c r="M54" s="932"/>
    </row>
    <row r="55" spans="1:13">
      <c r="A55" s="42"/>
      <c r="B55" s="32"/>
      <c r="C55" s="32"/>
      <c r="D55" s="32"/>
      <c r="E55" s="32"/>
      <c r="F55" s="32"/>
      <c r="G55" s="32"/>
      <c r="H55" s="32"/>
      <c r="I55" s="32"/>
      <c r="J55" s="32"/>
      <c r="K55" s="32"/>
      <c r="L55" s="32"/>
    </row>
    <row r="56" spans="1:13" ht="30">
      <c r="A56" s="993" t="s">
        <v>336</v>
      </c>
      <c r="B56" s="32"/>
      <c r="C56" s="32"/>
      <c r="D56" s="32"/>
      <c r="E56" s="32"/>
      <c r="F56" s="32"/>
      <c r="G56" s="32"/>
      <c r="H56" s="32"/>
      <c r="I56" s="32"/>
      <c r="J56" s="32"/>
      <c r="K56" s="32"/>
      <c r="L56" s="32"/>
    </row>
    <row r="57" spans="1:13">
      <c r="A57" s="42" t="s">
        <v>337</v>
      </c>
      <c r="B57" s="32">
        <v>72.599999999999994</v>
      </c>
      <c r="C57" s="1023">
        <f>B57*POWER($L$57/$B$57,1/10)</f>
        <v>72.836502754534735</v>
      </c>
      <c r="D57" s="1023">
        <f t="shared" ref="D57:K57" si="18">C57*POWER($L$57/$B$57,1/10)</f>
        <v>73.073775943682449</v>
      </c>
      <c r="E57" s="1023">
        <f t="shared" si="18"/>
        <v>73.311822077221507</v>
      </c>
      <c r="F57" s="1023">
        <f t="shared" si="18"/>
        <v>73.550643673106123</v>
      </c>
      <c r="G57" s="1023">
        <f t="shared" si="18"/>
        <v>73.790243257493074</v>
      </c>
      <c r="H57" s="1023">
        <f t="shared" si="18"/>
        <v>74.03062336476836</v>
      </c>
      <c r="I57" s="1023">
        <f t="shared" si="18"/>
        <v>74.27178653757403</v>
      </c>
      <c r="J57" s="1023">
        <f t="shared" si="18"/>
        <v>74.513735326835089</v>
      </c>
      <c r="K57" s="1023">
        <f t="shared" si="18"/>
        <v>74.756472291786451</v>
      </c>
      <c r="L57" s="32">
        <v>75</v>
      </c>
    </row>
    <row r="58" spans="1:13">
      <c r="A58" s="42" t="s">
        <v>338</v>
      </c>
      <c r="B58" s="1023">
        <v>48.82</v>
      </c>
      <c r="C58" s="1023">
        <f>B58*POWER($L$58/$B$58,1/10)</f>
        <v>48.93673585963333</v>
      </c>
      <c r="D58" s="1023">
        <f t="shared" ref="D58:K58" si="19">C58*POWER($L$58/$B$58,1/10)</f>
        <v>49.053750852018077</v>
      </c>
      <c r="E58" s="1023">
        <f t="shared" si="19"/>
        <v>49.171045644602046</v>
      </c>
      <c r="F58" s="1023">
        <f t="shared" si="19"/>
        <v>49.28862090642901</v>
      </c>
      <c r="G58" s="1023">
        <f t="shared" si="19"/>
        <v>49.406477308142513</v>
      </c>
      <c r="H58" s="1023">
        <f t="shared" si="19"/>
        <v>49.524615521989716</v>
      </c>
      <c r="I58" s="1023">
        <f t="shared" si="19"/>
        <v>49.643036221825227</v>
      </c>
      <c r="J58" s="1023">
        <f t="shared" si="19"/>
        <v>49.76174008311493</v>
      </c>
      <c r="K58" s="1023">
        <f t="shared" si="19"/>
        <v>49.88072778293985</v>
      </c>
      <c r="L58" s="32">
        <v>50</v>
      </c>
      <c r="M58" s="802" t="s">
        <v>339</v>
      </c>
    </row>
    <row r="59" spans="1:13">
      <c r="A59" s="42"/>
      <c r="B59" s="32"/>
      <c r="C59" s="32"/>
      <c r="D59" s="32"/>
      <c r="E59" s="32"/>
      <c r="F59" s="32"/>
      <c r="G59" s="32"/>
      <c r="H59" s="32"/>
      <c r="I59" s="32"/>
      <c r="J59" s="32"/>
      <c r="K59" s="32"/>
      <c r="L59" s="32"/>
    </row>
    <row r="60" spans="1:13">
      <c r="A60" s="28"/>
      <c r="B60" s="28"/>
      <c r="C60" s="28"/>
      <c r="D60" s="28"/>
      <c r="E60" s="28"/>
      <c r="F60" s="28"/>
      <c r="G60" s="28"/>
      <c r="H60" s="28"/>
      <c r="I60" s="28"/>
      <c r="J60" s="28"/>
      <c r="K60" s="28"/>
      <c r="L60" s="28"/>
      <c r="M60" s="933"/>
    </row>
    <row r="61" spans="1:13">
      <c r="A61" s="171" t="s">
        <v>472</v>
      </c>
      <c r="B61" s="454">
        <v>2010</v>
      </c>
      <c r="C61" s="454">
        <v>2011</v>
      </c>
      <c r="D61" s="454">
        <v>2012</v>
      </c>
      <c r="E61" s="454">
        <v>2013</v>
      </c>
      <c r="F61" s="454">
        <v>2014</v>
      </c>
      <c r="G61" s="454">
        <v>2015</v>
      </c>
      <c r="H61" s="454">
        <v>2016</v>
      </c>
      <c r="I61" s="454">
        <v>2017</v>
      </c>
      <c r="J61" s="454">
        <v>2018</v>
      </c>
      <c r="K61" s="454">
        <v>2019</v>
      </c>
      <c r="L61" s="454">
        <v>2020</v>
      </c>
    </row>
    <row r="62" spans="1:13">
      <c r="A62" s="40"/>
      <c r="B62" s="37"/>
      <c r="C62" s="37"/>
      <c r="D62" s="37"/>
      <c r="E62" s="37"/>
      <c r="F62" s="37"/>
      <c r="G62" s="37"/>
      <c r="H62" s="37"/>
      <c r="I62" s="37"/>
      <c r="J62" s="37"/>
      <c r="K62" s="37"/>
      <c r="L62" s="37"/>
    </row>
    <row r="63" spans="1:13">
      <c r="A63" s="40" t="s">
        <v>463</v>
      </c>
      <c r="B63" s="455"/>
      <c r="C63" s="455"/>
      <c r="D63" s="455"/>
      <c r="E63" s="455"/>
      <c r="F63" s="455"/>
      <c r="G63" s="455"/>
      <c r="H63" s="455"/>
      <c r="I63" s="455"/>
      <c r="J63" s="455"/>
      <c r="K63" s="455"/>
      <c r="L63" s="455"/>
    </row>
    <row r="64" spans="1:13">
      <c r="A64" s="166" t="s">
        <v>266</v>
      </c>
      <c r="B64" s="456">
        <f>B51/100*ECO!G$19</f>
        <v>182500</v>
      </c>
      <c r="C64" s="456">
        <f>C51/100*ECO!H$19</f>
        <v>207500</v>
      </c>
      <c r="D64" s="456">
        <f>D51/100*ECO!I$19</f>
        <v>262500</v>
      </c>
      <c r="E64" s="456">
        <f>E51/100*ECO!J$19</f>
        <v>289990.91319191072</v>
      </c>
      <c r="F64" s="456">
        <f>F51/100*ECO!K$19</f>
        <v>321312.51853386586</v>
      </c>
      <c r="G64" s="456">
        <f>G51/100*ECO!L$19</f>
        <v>357047.82611977751</v>
      </c>
      <c r="H64" s="456">
        <f>H51/100*ECO!M$19</f>
        <v>398210.59496435366</v>
      </c>
      <c r="I64" s="456">
        <f>I51/100*ECO!N$19</f>
        <v>445802.41620888514</v>
      </c>
      <c r="J64" s="456">
        <f>J51/100*ECO!O$19</f>
        <v>501045.20251387072</v>
      </c>
      <c r="K64" s="456">
        <f>K51/100*ECO!P$19</f>
        <v>565432.679057164</v>
      </c>
      <c r="L64" s="456">
        <f>L51/100*ECO!Q$19</f>
        <v>640799.37479702884</v>
      </c>
    </row>
    <row r="65" spans="1:12">
      <c r="A65" s="166" t="s">
        <v>267</v>
      </c>
      <c r="B65" s="456">
        <f>B52/100*ECO!G$19</f>
        <v>219000</v>
      </c>
      <c r="C65" s="456">
        <f>C52/100*ECO!H$19</f>
        <v>249000</v>
      </c>
      <c r="D65" s="456">
        <f>D52/100*ECO!I$19</f>
        <v>315000</v>
      </c>
      <c r="E65" s="456">
        <f>E52/100*ECO!J$19</f>
        <v>347989.09583029285</v>
      </c>
      <c r="F65" s="456">
        <f>F52/100*ECO!K$19</f>
        <v>385575.02224063902</v>
      </c>
      <c r="G65" s="456">
        <f>G52/100*ECO!L$19</f>
        <v>428457.391343733</v>
      </c>
      <c r="H65" s="456">
        <f>H52/100*ECO!M$19</f>
        <v>477852.71395722439</v>
      </c>
      <c r="I65" s="456">
        <f>I52/100*ECO!N$19</f>
        <v>534962.8994506622</v>
      </c>
      <c r="J65" s="456">
        <f>J52/100*ECO!O$19</f>
        <v>601254.24301664485</v>
      </c>
      <c r="K65" s="456">
        <f>K52/100*ECO!P$19</f>
        <v>678519.21486859675</v>
      </c>
      <c r="L65" s="456">
        <f>L52/100*ECO!Q$19</f>
        <v>768959.24975643458</v>
      </c>
    </row>
    <row r="66" spans="1:12">
      <c r="A66" s="166" t="s">
        <v>268</v>
      </c>
      <c r="B66" s="456">
        <f>B53/100*ECO!G$19</f>
        <v>365000</v>
      </c>
      <c r="C66" s="456">
        <f>C53/100*ECO!H$19</f>
        <v>415000</v>
      </c>
      <c r="D66" s="456">
        <f>D53/100*ECO!I$19</f>
        <v>525000</v>
      </c>
      <c r="E66" s="456">
        <f>E53/100*ECO!J$19</f>
        <v>579981.82638382143</v>
      </c>
      <c r="F66" s="456">
        <f>F53/100*ECO!K$19</f>
        <v>642625.03706773173</v>
      </c>
      <c r="G66" s="456">
        <f>G53/100*ECO!L$19</f>
        <v>714095.65223955503</v>
      </c>
      <c r="H66" s="456">
        <f>H53/100*ECO!M$19</f>
        <v>796421.18992870732</v>
      </c>
      <c r="I66" s="456">
        <f>I53/100*ECO!N$19</f>
        <v>891604.83241777029</v>
      </c>
      <c r="J66" s="456">
        <f>J53/100*ECO!O$19</f>
        <v>1002090.4050277414</v>
      </c>
      <c r="K66" s="456">
        <f>K53/100*ECO!P$19</f>
        <v>1130865.358114328</v>
      </c>
      <c r="L66" s="456">
        <f>L53/100*ECO!Q$19</f>
        <v>1281598.7495940577</v>
      </c>
    </row>
    <row r="67" spans="1:12" ht="30">
      <c r="A67" s="40" t="s">
        <v>464</v>
      </c>
      <c r="B67" s="455"/>
      <c r="C67" s="455"/>
      <c r="D67" s="455"/>
      <c r="E67" s="455"/>
      <c r="F67" s="455"/>
      <c r="G67" s="455"/>
      <c r="H67" s="455"/>
      <c r="I67" s="455"/>
      <c r="J67" s="455"/>
      <c r="K67" s="455"/>
      <c r="L67" s="455"/>
    </row>
    <row r="68" spans="1:12">
      <c r="A68" s="32" t="s">
        <v>235</v>
      </c>
      <c r="B68" s="41">
        <f>ECO!G18</f>
        <v>1631744.4809929552</v>
      </c>
      <c r="C68" s="41">
        <f>ECO!H18</f>
        <v>1792193.2690485099</v>
      </c>
      <c r="D68" s="41">
        <f>ECO!I18</f>
        <v>1973979.0660816871</v>
      </c>
      <c r="E68" s="41">
        <f>ECO!J18</f>
        <v>2180708.5409323559</v>
      </c>
      <c r="F68" s="41">
        <f>ECO!K18</f>
        <v>2416244.5152603243</v>
      </c>
      <c r="G68" s="41">
        <f>ECO!L18</f>
        <v>2684971.1784777706</v>
      </c>
      <c r="H68" s="41">
        <f>ECO!M18</f>
        <v>2994511.9175297813</v>
      </c>
      <c r="I68" s="41">
        <f>ECO!N18</f>
        <v>3352398.6179237124</v>
      </c>
      <c r="J68" s="41">
        <f>ECO!O18</f>
        <v>3767819.9654211053</v>
      </c>
      <c r="K68" s="41">
        <f>ECO!P18</f>
        <v>4252008.6542374352</v>
      </c>
      <c r="L68" s="41">
        <f>ECO!Q18</f>
        <v>4818760.1958383536</v>
      </c>
    </row>
    <row r="69" spans="1:12">
      <c r="A69" s="32" t="s">
        <v>1131</v>
      </c>
      <c r="B69" s="41">
        <f t="shared" ref="B69:L69" si="20">B54/100*B68</f>
        <v>815872.24049647758</v>
      </c>
      <c r="C69" s="41">
        <f t="shared" si="20"/>
        <v>896096.63452425494</v>
      </c>
      <c r="D69" s="41">
        <f t="shared" si="20"/>
        <v>986989.53304084355</v>
      </c>
      <c r="E69" s="41">
        <f t="shared" si="20"/>
        <v>1090354.270466178</v>
      </c>
      <c r="F69" s="41">
        <f t="shared" si="20"/>
        <v>1208122.2576301622</v>
      </c>
      <c r="G69" s="41">
        <f t="shared" si="20"/>
        <v>1342485.5892388853</v>
      </c>
      <c r="H69" s="41">
        <f t="shared" si="20"/>
        <v>1497255.9587648907</v>
      </c>
      <c r="I69" s="41">
        <f t="shared" si="20"/>
        <v>1676199.3089618562</v>
      </c>
      <c r="J69" s="41">
        <f t="shared" si="20"/>
        <v>1883909.9827105526</v>
      </c>
      <c r="K69" s="41">
        <f t="shared" si="20"/>
        <v>2126004.3271187176</v>
      </c>
      <c r="L69" s="41">
        <f t="shared" si="20"/>
        <v>2409380.0979191768</v>
      </c>
    </row>
    <row r="70" spans="1:12">
      <c r="A70" s="32" t="s">
        <v>1132</v>
      </c>
      <c r="B70" s="41">
        <f>B68+B69</f>
        <v>2447616.7214894327</v>
      </c>
      <c r="C70" s="41">
        <f t="shared" ref="C70:L70" si="21">C68+C69</f>
        <v>2688289.9035727647</v>
      </c>
      <c r="D70" s="41">
        <f t="shared" si="21"/>
        <v>2960968.5991225308</v>
      </c>
      <c r="E70" s="41">
        <f t="shared" si="21"/>
        <v>3271062.8113985341</v>
      </c>
      <c r="F70" s="41">
        <f t="shared" si="21"/>
        <v>3624366.7728904868</v>
      </c>
      <c r="G70" s="41">
        <f t="shared" si="21"/>
        <v>4027456.767716656</v>
      </c>
      <c r="H70" s="41">
        <f t="shared" si="21"/>
        <v>4491767.8762946725</v>
      </c>
      <c r="I70" s="41">
        <f t="shared" si="21"/>
        <v>5028597.9268855685</v>
      </c>
      <c r="J70" s="41">
        <f t="shared" si="21"/>
        <v>5651729.9481316581</v>
      </c>
      <c r="K70" s="41">
        <f t="shared" si="21"/>
        <v>6378012.9813561533</v>
      </c>
      <c r="L70" s="41">
        <f t="shared" si="21"/>
        <v>7228140.2937575299</v>
      </c>
    </row>
    <row r="71" spans="1:12">
      <c r="B71" s="41"/>
      <c r="C71" s="41"/>
      <c r="D71" s="41"/>
      <c r="E71" s="41"/>
      <c r="F71" s="41"/>
      <c r="G71" s="41"/>
      <c r="H71" s="41"/>
      <c r="I71" s="41"/>
      <c r="J71" s="41"/>
      <c r="K71" s="41"/>
      <c r="L71" s="41"/>
    </row>
    <row r="72" spans="1:12">
      <c r="A72" s="32" t="s">
        <v>237</v>
      </c>
      <c r="B72" s="457">
        <f>B15/100</f>
        <v>0.11699999999999999</v>
      </c>
      <c r="C72" s="457">
        <f t="shared" ref="C72:L72" si="22">C15/100</f>
        <v>0.11263575494598518</v>
      </c>
      <c r="D72" s="457">
        <f t="shared" si="22"/>
        <v>0.1084343016431797</v>
      </c>
      <c r="E72" s="457">
        <f t="shared" si="22"/>
        <v>0.10438956775743785</v>
      </c>
      <c r="F72" s="457">
        <f t="shared" si="22"/>
        <v>0.10049570746020586</v>
      </c>
      <c r="G72" s="457">
        <f t="shared" si="22"/>
        <v>9.6747092979582602E-2</v>
      </c>
      <c r="H72" s="457">
        <f t="shared" si="22"/>
        <v>9.3138306466535994E-2</v>
      </c>
      <c r="I72" s="457">
        <f t="shared" si="22"/>
        <v>8.9664132164519794E-2</v>
      </c>
      <c r="J72" s="457">
        <f t="shared" si="22"/>
        <v>8.6319548871173324E-2</v>
      </c>
      <c r="K72" s="457">
        <f t="shared" si="22"/>
        <v>8.3099722681209159E-2</v>
      </c>
      <c r="L72" s="457">
        <f t="shared" si="22"/>
        <v>0.08</v>
      </c>
    </row>
    <row r="73" spans="1:12">
      <c r="A73" s="32" t="s">
        <v>465</v>
      </c>
      <c r="B73" s="32">
        <v>20</v>
      </c>
      <c r="C73" s="32">
        <v>20</v>
      </c>
      <c r="D73" s="32">
        <v>20</v>
      </c>
      <c r="E73" s="32">
        <v>20</v>
      </c>
      <c r="F73" s="32">
        <v>20</v>
      </c>
      <c r="G73" s="32">
        <v>20</v>
      </c>
      <c r="H73" s="32">
        <v>20</v>
      </c>
      <c r="I73" s="32">
        <v>20</v>
      </c>
      <c r="J73" s="32">
        <v>20</v>
      </c>
      <c r="K73" s="32">
        <v>20</v>
      </c>
      <c r="L73" s="32">
        <v>20</v>
      </c>
    </row>
    <row r="74" spans="1:12" ht="30">
      <c r="A74" s="32" t="s">
        <v>466</v>
      </c>
      <c r="B74" s="32">
        <f t="shared" ref="B74:L74" si="23">B72*B29</f>
        <v>0</v>
      </c>
      <c r="C74" s="32">
        <f t="shared" si="23"/>
        <v>319.85354835199212</v>
      </c>
      <c r="D74" s="32">
        <f t="shared" si="23"/>
        <v>607.24762996694074</v>
      </c>
      <c r="E74" s="32">
        <f t="shared" si="23"/>
        <v>723.11053572854212</v>
      </c>
      <c r="F74" s="32">
        <f t="shared" si="23"/>
        <v>828.47113373134005</v>
      </c>
      <c r="G74" s="32">
        <f t="shared" si="23"/>
        <v>1055.8685684849372</v>
      </c>
      <c r="H74" s="32">
        <f t="shared" si="23"/>
        <v>1262.879694183898</v>
      </c>
      <c r="I74" s="32">
        <f t="shared" si="23"/>
        <v>1209.9955422639889</v>
      </c>
      <c r="J74" s="32">
        <f t="shared" si="23"/>
        <v>1160.6339335824896</v>
      </c>
      <c r="K74" s="32">
        <f t="shared" si="23"/>
        <v>1114.3231343769924</v>
      </c>
      <c r="L74" s="32">
        <f t="shared" si="23"/>
        <v>1070.6562253427282</v>
      </c>
    </row>
    <row r="75" spans="1:12">
      <c r="A75" s="32" t="s">
        <v>467</v>
      </c>
      <c r="B75" s="32">
        <f>B74/B73</f>
        <v>0</v>
      </c>
      <c r="C75" s="32">
        <f t="shared" ref="C75:L75" si="24">C74/C73</f>
        <v>15.992677417599605</v>
      </c>
      <c r="D75" s="32">
        <f t="shared" si="24"/>
        <v>30.362381498347037</v>
      </c>
      <c r="E75" s="32">
        <f t="shared" si="24"/>
        <v>36.155526786427103</v>
      </c>
      <c r="F75" s="32">
        <f t="shared" si="24"/>
        <v>41.423556686567004</v>
      </c>
      <c r="G75" s="32">
        <f t="shared" si="24"/>
        <v>52.793428424246862</v>
      </c>
      <c r="H75" s="32">
        <f t="shared" si="24"/>
        <v>63.143984709194896</v>
      </c>
      <c r="I75" s="32">
        <f t="shared" si="24"/>
        <v>60.499777113199443</v>
      </c>
      <c r="J75" s="32">
        <f t="shared" si="24"/>
        <v>58.031696679124479</v>
      </c>
      <c r="K75" s="32">
        <f t="shared" si="24"/>
        <v>55.716156718849618</v>
      </c>
      <c r="L75" s="32">
        <f t="shared" si="24"/>
        <v>53.53281126713641</v>
      </c>
    </row>
    <row r="76" spans="1:12">
      <c r="B76" s="32"/>
      <c r="C76" s="32"/>
      <c r="D76" s="32"/>
      <c r="E76" s="32"/>
      <c r="F76" s="32"/>
      <c r="G76" s="32"/>
      <c r="H76" s="32"/>
      <c r="I76" s="32"/>
      <c r="J76" s="32"/>
      <c r="K76" s="32"/>
      <c r="L76" s="32"/>
    </row>
    <row r="77" spans="1:12" ht="30">
      <c r="A77" s="171" t="s">
        <v>284</v>
      </c>
      <c r="B77" s="428"/>
      <c r="C77" s="428"/>
      <c r="D77" s="428"/>
      <c r="E77" s="428"/>
      <c r="F77" s="428"/>
      <c r="G77" s="428"/>
      <c r="H77" s="428"/>
      <c r="I77" s="428"/>
      <c r="J77" s="428"/>
      <c r="K77" s="428"/>
      <c r="L77" s="428"/>
    </row>
    <row r="78" spans="1:12">
      <c r="A78" s="40"/>
      <c r="B78" s="32"/>
      <c r="C78" s="32"/>
      <c r="D78" s="32"/>
      <c r="E78" s="32"/>
      <c r="F78" s="32"/>
      <c r="G78" s="32"/>
      <c r="H78" s="32"/>
      <c r="I78" s="32"/>
      <c r="J78" s="32"/>
      <c r="K78" s="32"/>
      <c r="L78" s="32"/>
    </row>
    <row r="79" spans="1:12" ht="30">
      <c r="A79" s="1392" t="s">
        <v>469</v>
      </c>
      <c r="B79" s="1401"/>
      <c r="C79" s="1401"/>
      <c r="D79" s="1401"/>
      <c r="E79" s="1401"/>
      <c r="F79" s="1401"/>
      <c r="G79" s="1401"/>
      <c r="H79" s="1401"/>
      <c r="I79" s="1401"/>
      <c r="J79" s="1401"/>
      <c r="K79" s="1401"/>
      <c r="L79" s="1401"/>
    </row>
    <row r="80" spans="1:12">
      <c r="A80" s="1393" t="s">
        <v>468</v>
      </c>
      <c r="B80" s="1401">
        <f t="shared" ref="B80:L80" si="25">B81+B82+B83</f>
        <v>0</v>
      </c>
      <c r="C80" s="1450">
        <f t="shared" si="25"/>
        <v>1314442253.0587516</v>
      </c>
      <c r="D80" s="1450">
        <f t="shared" si="25"/>
        <v>3286964496.6221628</v>
      </c>
      <c r="E80" s="1450">
        <f t="shared" si="25"/>
        <v>4500592320.4940329</v>
      </c>
      <c r="F80" s="1450">
        <f t="shared" si="25"/>
        <v>5944355067.3164883</v>
      </c>
      <c r="G80" s="1450">
        <f t="shared" si="25"/>
        <v>8755668444.4134769</v>
      </c>
      <c r="H80" s="1450">
        <f t="shared" si="25"/>
        <v>12142193937.199986</v>
      </c>
      <c r="I80" s="1450">
        <f t="shared" si="25"/>
        <v>13534327023.982792</v>
      </c>
      <c r="J80" s="1450">
        <f t="shared" si="25"/>
        <v>15157854715.951996</v>
      </c>
      <c r="K80" s="1450">
        <f t="shared" si="25"/>
        <v>17058774907.293842</v>
      </c>
      <c r="L80" s="1450">
        <f t="shared" si="25"/>
        <v>19293096066.479103</v>
      </c>
    </row>
    <row r="81" spans="1:13">
      <c r="A81" s="1394" t="s">
        <v>266</v>
      </c>
      <c r="B81" s="1401">
        <f t="shared" ref="B81:L81" si="26">B64*B26</f>
        <v>0</v>
      </c>
      <c r="C81" s="1450">
        <f t="shared" si="26"/>
        <v>354972414.43237948</v>
      </c>
      <c r="D81" s="1450">
        <f t="shared" si="26"/>
        <v>896772339.88195372</v>
      </c>
      <c r="E81" s="1450">
        <f t="shared" si="26"/>
        <v>1237827881.1866317</v>
      </c>
      <c r="F81" s="1450">
        <f t="shared" si="26"/>
        <v>1645712757.8784907</v>
      </c>
      <c r="G81" s="1450">
        <f t="shared" si="26"/>
        <v>2437705902.9689479</v>
      </c>
      <c r="H81" s="1450">
        <f t="shared" si="26"/>
        <v>3395997525.2062249</v>
      </c>
      <c r="I81" s="1450">
        <f t="shared" si="26"/>
        <v>3797514773.8029552</v>
      </c>
      <c r="J81" s="1450">
        <f t="shared" si="26"/>
        <v>4261959865.2173986</v>
      </c>
      <c r="K81" s="1450">
        <f t="shared" si="26"/>
        <v>4802661418.1292219</v>
      </c>
      <c r="L81" s="1450">
        <f t="shared" si="26"/>
        <v>5435690542.8396311</v>
      </c>
    </row>
    <row r="82" spans="1:13">
      <c r="A82" s="1394" t="s">
        <v>267</v>
      </c>
      <c r="B82" s="1401">
        <f t="shared" ref="B82:L82" si="27">B65*B27</f>
        <v>0</v>
      </c>
      <c r="C82" s="1450">
        <f t="shared" si="27"/>
        <v>328518412.59894764</v>
      </c>
      <c r="D82" s="1450">
        <f t="shared" si="27"/>
        <v>824824629.10661805</v>
      </c>
      <c r="E82" s="1450">
        <f t="shared" si="27"/>
        <v>1132187842.639631</v>
      </c>
      <c r="F82" s="1450">
        <f t="shared" si="27"/>
        <v>1498589276.4334252</v>
      </c>
      <c r="G82" s="1450">
        <f t="shared" si="27"/>
        <v>2213192772.876924</v>
      </c>
      <c r="H82" s="1450">
        <f t="shared" si="27"/>
        <v>3078940892.2306137</v>
      </c>
      <c r="I82" s="1450">
        <f t="shared" si="27"/>
        <v>3442765472.50283</v>
      </c>
      <c r="J82" s="1450">
        <f t="shared" si="27"/>
        <v>3866993110.5915761</v>
      </c>
      <c r="K82" s="1450">
        <f t="shared" si="27"/>
        <v>4362285285.3627872</v>
      </c>
      <c r="L82" s="1450">
        <f t="shared" si="27"/>
        <v>4941735707.8720551</v>
      </c>
    </row>
    <row r="83" spans="1:13">
      <c r="A83" s="1394" t="s">
        <v>268</v>
      </c>
      <c r="B83" s="1401">
        <f t="shared" ref="B83:L83" si="28">B66*B28</f>
        <v>0</v>
      </c>
      <c r="C83" s="1450">
        <f t="shared" si="28"/>
        <v>630951426.02742457</v>
      </c>
      <c r="D83" s="1450">
        <f t="shared" si="28"/>
        <v>1565367527.6335912</v>
      </c>
      <c r="E83" s="1450">
        <f t="shared" si="28"/>
        <v>2130576596.6677701</v>
      </c>
      <c r="F83" s="1450">
        <f t="shared" si="28"/>
        <v>2800053033.0045719</v>
      </c>
      <c r="G83" s="1450">
        <f t="shared" si="28"/>
        <v>4104769768.567605</v>
      </c>
      <c r="H83" s="1450">
        <f t="shared" si="28"/>
        <v>5667255519.7631464</v>
      </c>
      <c r="I83" s="1450">
        <f t="shared" si="28"/>
        <v>6294046777.6770077</v>
      </c>
      <c r="J83" s="1450">
        <f t="shared" si="28"/>
        <v>7028901740.1430216</v>
      </c>
      <c r="K83" s="1450">
        <f t="shared" si="28"/>
        <v>7893828203.8018341</v>
      </c>
      <c r="L83" s="1450">
        <f t="shared" si="28"/>
        <v>8915669815.7674179</v>
      </c>
    </row>
    <row r="84" spans="1:13">
      <c r="B84" s="32"/>
      <c r="C84" s="32"/>
      <c r="D84" s="32"/>
      <c r="E84" s="32"/>
      <c r="F84" s="32"/>
      <c r="G84" s="32"/>
      <c r="H84" s="32"/>
      <c r="I84" s="32"/>
      <c r="J84" s="32"/>
      <c r="K84" s="32"/>
      <c r="L84" s="32"/>
    </row>
    <row r="85" spans="1:13" ht="30" hidden="1">
      <c r="A85" s="169" t="s">
        <v>1060</v>
      </c>
      <c r="B85" s="32">
        <f>B86+B87+B88</f>
        <v>0</v>
      </c>
      <c r="C85" s="32">
        <f t="shared" ref="C85:L85" si="29">C86+C87+C88</f>
        <v>167280311.4418903</v>
      </c>
      <c r="D85" s="32">
        <f t="shared" si="29"/>
        <v>397280134.52303213</v>
      </c>
      <c r="E85" s="32">
        <f t="shared" si="29"/>
        <v>516618589.97715247</v>
      </c>
      <c r="F85" s="32">
        <f t="shared" si="29"/>
        <v>648042690.69740319</v>
      </c>
      <c r="G85" s="32">
        <f t="shared" si="29"/>
        <v>906539433.57092762</v>
      </c>
      <c r="H85" s="32">
        <f t="shared" si="29"/>
        <v>1193969070.8325064</v>
      </c>
      <c r="I85" s="32">
        <f t="shared" si="29"/>
        <v>1263953498.5629821</v>
      </c>
      <c r="J85" s="32">
        <f t="shared" si="29"/>
        <v>1344406765.8139491</v>
      </c>
      <c r="K85" s="32">
        <f t="shared" si="29"/>
        <v>1436942224.824358</v>
      </c>
      <c r="L85" s="32">
        <f t="shared" si="29"/>
        <v>1543447685.3183284</v>
      </c>
    </row>
    <row r="86" spans="1:13" hidden="1">
      <c r="A86" s="168" t="s">
        <v>266</v>
      </c>
      <c r="B86" s="32">
        <f t="shared" ref="B86:L86" si="30">B64*B31</f>
        <v>0</v>
      </c>
      <c r="C86" s="32">
        <f t="shared" si="30"/>
        <v>45174975.090270542</v>
      </c>
      <c r="D86" s="32">
        <f t="shared" si="30"/>
        <v>108388708.24158773</v>
      </c>
      <c r="E86" s="32">
        <f t="shared" si="30"/>
        <v>142089051.63461846</v>
      </c>
      <c r="F86" s="32">
        <f t="shared" si="30"/>
        <v>179412587.51423758</v>
      </c>
      <c r="G86" s="32">
        <f t="shared" si="30"/>
        <v>252393811.22294325</v>
      </c>
      <c r="H86" s="32">
        <f t="shared" si="30"/>
        <v>333936027.59856707</v>
      </c>
      <c r="I86" s="32">
        <f t="shared" si="30"/>
        <v>354645050.00414705</v>
      </c>
      <c r="J86" s="32">
        <f t="shared" si="30"/>
        <v>378009143.49678892</v>
      </c>
      <c r="K86" s="32">
        <f t="shared" si="30"/>
        <v>404551148.64631808</v>
      </c>
      <c r="L86" s="32">
        <f t="shared" si="30"/>
        <v>434855243.42717046</v>
      </c>
    </row>
    <row r="87" spans="1:13" hidden="1">
      <c r="A87" s="168" t="s">
        <v>267</v>
      </c>
      <c r="B87" s="32">
        <f t="shared" ref="B87:L87" si="31">B65*B32</f>
        <v>0</v>
      </c>
      <c r="C87" s="32">
        <f t="shared" si="31"/>
        <v>41808350.458961599</v>
      </c>
      <c r="D87" s="32">
        <f t="shared" si="31"/>
        <v>99692722.554847494</v>
      </c>
      <c r="E87" s="32">
        <f t="shared" si="31"/>
        <v>129962734.94719791</v>
      </c>
      <c r="F87" s="32">
        <f t="shared" si="31"/>
        <v>163373455.31221873</v>
      </c>
      <c r="G87" s="32">
        <f t="shared" si="31"/>
        <v>229148298.09336367</v>
      </c>
      <c r="H87" s="32">
        <f t="shared" si="31"/>
        <v>302759140.17335522</v>
      </c>
      <c r="I87" s="32">
        <f t="shared" si="31"/>
        <v>321515466.26521963</v>
      </c>
      <c r="J87" s="32">
        <f t="shared" si="31"/>
        <v>342978066.3990702</v>
      </c>
      <c r="K87" s="32">
        <f t="shared" si="31"/>
        <v>367456160.08964366</v>
      </c>
      <c r="L87" s="32">
        <f t="shared" si="31"/>
        <v>395338856.6297645</v>
      </c>
    </row>
    <row r="88" spans="1:13" hidden="1">
      <c r="A88" s="168" t="s">
        <v>268</v>
      </c>
      <c r="B88" s="32">
        <f t="shared" ref="B88:L88" si="32">B66*B33</f>
        <v>0</v>
      </c>
      <c r="C88" s="32">
        <f t="shared" si="32"/>
        <v>80296985.892658159</v>
      </c>
      <c r="D88" s="32">
        <f t="shared" si="32"/>
        <v>189198703.72659689</v>
      </c>
      <c r="E88" s="32">
        <f t="shared" si="32"/>
        <v>244566803.39533612</v>
      </c>
      <c r="F88" s="32">
        <f t="shared" si="32"/>
        <v>305256647.87094682</v>
      </c>
      <c r="G88" s="32">
        <f t="shared" si="32"/>
        <v>424997324.25462061</v>
      </c>
      <c r="H88" s="32">
        <f t="shared" si="32"/>
        <v>557273903.06058407</v>
      </c>
      <c r="I88" s="32">
        <f t="shared" si="32"/>
        <v>587792982.29361534</v>
      </c>
      <c r="J88" s="32">
        <f t="shared" si="32"/>
        <v>623419555.91808987</v>
      </c>
      <c r="K88" s="32">
        <f t="shared" si="32"/>
        <v>664934916.08839643</v>
      </c>
      <c r="L88" s="32">
        <f t="shared" si="32"/>
        <v>713253585.26139343</v>
      </c>
    </row>
    <row r="89" spans="1:13">
      <c r="B89" s="32"/>
      <c r="C89" s="32"/>
      <c r="D89" s="32"/>
      <c r="E89" s="32"/>
      <c r="F89" s="32"/>
      <c r="G89" s="32"/>
      <c r="H89" s="32"/>
      <c r="I89" s="32"/>
      <c r="J89" s="32"/>
      <c r="K89" s="32"/>
      <c r="L89" s="32"/>
    </row>
    <row r="90" spans="1:13" ht="30">
      <c r="A90" s="1395" t="s">
        <v>1054</v>
      </c>
      <c r="B90" s="32">
        <f>B91+B92+B93</f>
        <v>0</v>
      </c>
      <c r="C90" s="1451">
        <f t="shared" ref="C90:L90" si="33">C91+C92+C93</f>
        <v>255433369.98545584</v>
      </c>
      <c r="D90" s="1451">
        <f t="shared" si="33"/>
        <v>620636426.2661438</v>
      </c>
      <c r="E90" s="1451">
        <f t="shared" si="33"/>
        <v>825691948.04389238</v>
      </c>
      <c r="F90" s="1451">
        <f t="shared" si="33"/>
        <v>1059642195.4021041</v>
      </c>
      <c r="G90" s="1451">
        <f t="shared" si="33"/>
        <v>1516526259.9951704</v>
      </c>
      <c r="H90" s="1451">
        <f t="shared" si="33"/>
        <v>2043449544.7270765</v>
      </c>
      <c r="I90" s="1451">
        <f t="shared" si="33"/>
        <v>2213143354.9096637</v>
      </c>
      <c r="J90" s="1451">
        <f t="shared" si="33"/>
        <v>2408334164.1435804</v>
      </c>
      <c r="K90" s="1451">
        <f t="shared" si="33"/>
        <v>2633497869.699894</v>
      </c>
      <c r="L90" s="1451">
        <f t="shared" si="33"/>
        <v>2893964409.9718657</v>
      </c>
    </row>
    <row r="91" spans="1:13">
      <c r="A91" s="1394" t="s">
        <v>266</v>
      </c>
      <c r="B91" s="32">
        <f>B64*B37</f>
        <v>0</v>
      </c>
      <c r="C91" s="1451">
        <f t="shared" ref="C91:L91" si="34">C64*C37</f>
        <v>68981197.05094704</v>
      </c>
      <c r="D91" s="1451">
        <f t="shared" si="34"/>
        <v>169326313.31145197</v>
      </c>
      <c r="E91" s="1451">
        <f t="shared" si="34"/>
        <v>227095555.82404786</v>
      </c>
      <c r="F91" s="1451">
        <f t="shared" si="34"/>
        <v>293365160.73002082</v>
      </c>
      <c r="G91" s="1451">
        <f t="shared" si="34"/>
        <v>422223047.78527868</v>
      </c>
      <c r="H91" s="1451">
        <f t="shared" si="34"/>
        <v>571523534.59915268</v>
      </c>
      <c r="I91" s="1451">
        <f t="shared" si="34"/>
        <v>620972477.7538352</v>
      </c>
      <c r="J91" s="1451">
        <f t="shared" si="34"/>
        <v>677155424.824718</v>
      </c>
      <c r="K91" s="1451">
        <f t="shared" si="34"/>
        <v>741424790.60001802</v>
      </c>
      <c r="L91" s="1451">
        <f t="shared" si="34"/>
        <v>815353581.42594469</v>
      </c>
    </row>
    <row r="92" spans="1:13">
      <c r="A92" s="1394" t="s">
        <v>267</v>
      </c>
      <c r="B92" s="32">
        <f>B65*B38</f>
        <v>0</v>
      </c>
      <c r="C92" s="1451">
        <f t="shared" ref="C92:L92" si="35">C65*C38</f>
        <v>63840435.011237346</v>
      </c>
      <c r="D92" s="1451">
        <f t="shared" si="35"/>
        <v>155741326.26960155</v>
      </c>
      <c r="E92" s="1451">
        <f t="shared" si="35"/>
        <v>207714522.61601672</v>
      </c>
      <c r="F92" s="1451">
        <f t="shared" si="35"/>
        <v>267138892.76517189</v>
      </c>
      <c r="G92" s="1451">
        <f t="shared" si="35"/>
        <v>383336232.95670807</v>
      </c>
      <c r="H92" s="1451">
        <f t="shared" si="35"/>
        <v>518165036.48442775</v>
      </c>
      <c r="I92" s="1451">
        <f t="shared" si="35"/>
        <v>562963604.65360618</v>
      </c>
      <c r="J92" s="1451">
        <f t="shared" si="35"/>
        <v>614401694.38651586</v>
      </c>
      <c r="K92" s="1451">
        <f t="shared" si="35"/>
        <v>673440447.42123449</v>
      </c>
      <c r="L92" s="1451">
        <f t="shared" si="35"/>
        <v>741260356.18080831</v>
      </c>
    </row>
    <row r="93" spans="1:13">
      <c r="A93" s="1394" t="s">
        <v>268</v>
      </c>
      <c r="B93" s="32">
        <f>B66*B39</f>
        <v>0</v>
      </c>
      <c r="C93" s="1451">
        <f t="shared" ref="C93:L93" si="36">C66*C39</f>
        <v>122611737.92327145</v>
      </c>
      <c r="D93" s="1451">
        <f t="shared" si="36"/>
        <v>295568786.68509024</v>
      </c>
      <c r="E93" s="1451">
        <f t="shared" si="36"/>
        <v>390881869.60382789</v>
      </c>
      <c r="F93" s="1451">
        <f t="shared" si="36"/>
        <v>499138141.90691137</v>
      </c>
      <c r="G93" s="1451">
        <f t="shared" si="36"/>
        <v>710966979.2531836</v>
      </c>
      <c r="H93" s="1451">
        <f t="shared" si="36"/>
        <v>953760973.64349592</v>
      </c>
      <c r="I93" s="1451">
        <f t="shared" si="36"/>
        <v>1029207272.5022222</v>
      </c>
      <c r="J93" s="1451">
        <f t="shared" si="36"/>
        <v>1116777044.9323463</v>
      </c>
      <c r="K93" s="1451">
        <f t="shared" si="36"/>
        <v>1218632631.6786416</v>
      </c>
      <c r="L93" s="1451">
        <f t="shared" si="36"/>
        <v>1337350472.3651125</v>
      </c>
    </row>
    <row r="94" spans="1:13">
      <c r="B94" s="32"/>
      <c r="C94" s="32"/>
      <c r="D94" s="32"/>
      <c r="E94" s="32"/>
      <c r="F94" s="32"/>
      <c r="G94" s="32"/>
      <c r="H94" s="32"/>
      <c r="I94" s="32"/>
      <c r="J94" s="32"/>
      <c r="K94" s="32"/>
      <c r="L94" s="32"/>
    </row>
    <row r="95" spans="1:13" ht="45">
      <c r="A95" s="1396" t="s">
        <v>1053</v>
      </c>
      <c r="B95" s="32">
        <f>B96+B97+B98</f>
        <v>0</v>
      </c>
      <c r="C95" s="32">
        <f t="shared" ref="C95:L95" si="37">C96+C97+C98</f>
        <v>125000753.56714243</v>
      </c>
      <c r="D95" s="32">
        <f t="shared" si="37"/>
        <v>304445446.23746306</v>
      </c>
      <c r="E95" s="32">
        <f t="shared" si="37"/>
        <v>406001364.65646619</v>
      </c>
      <c r="F95" s="32">
        <f t="shared" si="37"/>
        <v>522283024.65630478</v>
      </c>
      <c r="G95" s="32">
        <f t="shared" si="37"/>
        <v>749262202.51653624</v>
      </c>
      <c r="H95" s="32">
        <f t="shared" si="37"/>
        <v>1012010530.4119338</v>
      </c>
      <c r="I95" s="32">
        <f t="shared" si="37"/>
        <v>1098671557.3187225</v>
      </c>
      <c r="J95" s="32">
        <f t="shared" si="37"/>
        <v>1198428987.093987</v>
      </c>
      <c r="K95" s="32">
        <f t="shared" si="37"/>
        <v>1313607903.5545242</v>
      </c>
      <c r="L95" s="32">
        <f t="shared" si="37"/>
        <v>1446982204.9859328</v>
      </c>
      <c r="M95" s="802" t="s">
        <v>334</v>
      </c>
    </row>
    <row r="96" spans="1:13" ht="24.75">
      <c r="A96" s="1394" t="s">
        <v>266</v>
      </c>
      <c r="B96" s="32">
        <f>B64*B37*B$58/100</f>
        <v>0</v>
      </c>
      <c r="C96" s="1451">
        <f t="shared" ref="C96:L96" si="38">C64*C37*C$58/100</f>
        <v>33757146.193635128</v>
      </c>
      <c r="D96" s="1451">
        <f t="shared" si="38"/>
        <v>83060907.858707175</v>
      </c>
      <c r="E96" s="1451">
        <f t="shared" si="38"/>
        <v>111665259.41110529</v>
      </c>
      <c r="F96" s="1451">
        <f t="shared" si="38"/>
        <v>144595641.9437561</v>
      </c>
      <c r="G96" s="1451">
        <f t="shared" si="38"/>
        <v>208605534.29378143</v>
      </c>
      <c r="H96" s="1451">
        <f t="shared" si="38"/>
        <v>283044833.12791622</v>
      </c>
      <c r="I96" s="1451">
        <f t="shared" si="38"/>
        <v>308269592.05890203</v>
      </c>
      <c r="J96" s="1451">
        <f t="shared" si="38"/>
        <v>336964322.45998889</v>
      </c>
      <c r="K96" s="1451">
        <f t="shared" si="38"/>
        <v>369828081.51442683</v>
      </c>
      <c r="L96" s="1451">
        <f t="shared" si="38"/>
        <v>407676790.71297234</v>
      </c>
      <c r="M96" s="802" t="s">
        <v>335</v>
      </c>
    </row>
    <row r="97" spans="1:13">
      <c r="A97" s="1394" t="s">
        <v>267</v>
      </c>
      <c r="B97" s="32">
        <f t="shared" ref="B97:L98" si="39">B65*B38*B$58/100</f>
        <v>0</v>
      </c>
      <c r="C97" s="1451">
        <f t="shared" si="39"/>
        <v>31241425.053090096</v>
      </c>
      <c r="D97" s="1451">
        <f t="shared" si="39"/>
        <v>76396962.161918923</v>
      </c>
      <c r="E97" s="1451">
        <f t="shared" si="39"/>
        <v>102135402.72598882</v>
      </c>
      <c r="F97" s="1451">
        <f t="shared" si="39"/>
        <v>131669076.14865747</v>
      </c>
      <c r="G97" s="1451">
        <f t="shared" si="39"/>
        <v>189392928.94964427</v>
      </c>
      <c r="H97" s="1451">
        <f t="shared" si="39"/>
        <v>256619242.0882906</v>
      </c>
      <c r="I97" s="1451">
        <f t="shared" si="39"/>
        <v>279472226.17388266</v>
      </c>
      <c r="J97" s="1451">
        <f t="shared" si="39"/>
        <v>305736974.22687215</v>
      </c>
      <c r="K97" s="1451">
        <f t="shared" si="39"/>
        <v>335916996.35839814</v>
      </c>
      <c r="L97" s="1451">
        <f t="shared" si="39"/>
        <v>370630178.09040415</v>
      </c>
    </row>
    <row r="98" spans="1:13">
      <c r="A98" s="1394" t="s">
        <v>268</v>
      </c>
      <c r="B98" s="32">
        <f t="shared" si="39"/>
        <v>0</v>
      </c>
      <c r="C98" s="1451">
        <f t="shared" si="39"/>
        <v>60002182.32041721</v>
      </c>
      <c r="D98" s="1451">
        <f t="shared" si="39"/>
        <v>144987576.21683696</v>
      </c>
      <c r="E98" s="1451">
        <f t="shared" si="39"/>
        <v>192200702.51937208</v>
      </c>
      <c r="F98" s="1451">
        <f t="shared" si="39"/>
        <v>246018306.56389123</v>
      </c>
      <c r="G98" s="1451">
        <f t="shared" si="39"/>
        <v>351263739.27311045</v>
      </c>
      <c r="H98" s="1451">
        <f t="shared" si="39"/>
        <v>472346455.19572699</v>
      </c>
      <c r="I98" s="1451">
        <f t="shared" si="39"/>
        <v>510929739.08593768</v>
      </c>
      <c r="J98" s="1451">
        <f t="shared" si="39"/>
        <v>555727690.40712583</v>
      </c>
      <c r="K98" s="1451">
        <f t="shared" si="39"/>
        <v>607862825.68169928</v>
      </c>
      <c r="L98" s="1451">
        <f t="shared" si="39"/>
        <v>668675236.18255627</v>
      </c>
    </row>
    <row r="99" spans="1:13">
      <c r="B99" s="32"/>
      <c r="C99" s="32"/>
      <c r="D99" s="32"/>
      <c r="E99" s="32"/>
      <c r="F99" s="32"/>
      <c r="G99" s="32"/>
      <c r="H99" s="32"/>
      <c r="I99" s="32"/>
      <c r="J99" s="32"/>
      <c r="K99" s="32"/>
      <c r="L99" s="32"/>
    </row>
    <row r="100" spans="1:13">
      <c r="B100" s="32"/>
      <c r="C100" s="32"/>
      <c r="D100" s="32"/>
      <c r="E100" s="32"/>
      <c r="F100" s="32"/>
      <c r="G100" s="32"/>
      <c r="H100" s="32"/>
      <c r="I100" s="32"/>
      <c r="J100" s="32"/>
      <c r="K100" s="32"/>
      <c r="L100" s="32"/>
    </row>
    <row r="101" spans="1:13" ht="30">
      <c r="A101" s="40" t="s">
        <v>470</v>
      </c>
      <c r="B101" s="455">
        <f>B75*B70</f>
        <v>0</v>
      </c>
      <c r="C101" s="1452">
        <f t="shared" ref="C101:L101" si="40">C75*C70</f>
        <v>42992953.232829176</v>
      </c>
      <c r="D101" s="1452">
        <f t="shared" si="40"/>
        <v>89902058.211184472</v>
      </c>
      <c r="E101" s="1452">
        <f t="shared" si="40"/>
        <v>118266999.09760524</v>
      </c>
      <c r="F101" s="1452">
        <f t="shared" si="40"/>
        <v>150134162.46973899</v>
      </c>
      <c r="G101" s="1452">
        <f t="shared" si="40"/>
        <v>212623250.59819791</v>
      </c>
      <c r="H101" s="1452">
        <f t="shared" si="40"/>
        <v>283628122.09800363</v>
      </c>
      <c r="I101" s="1452">
        <f t="shared" si="40"/>
        <v>304229053.76847368</v>
      </c>
      <c r="J101" s="1452">
        <f t="shared" si="40"/>
        <v>327979478.06230032</v>
      </c>
      <c r="K101" s="1452">
        <f t="shared" si="40"/>
        <v>355358370.82409674</v>
      </c>
      <c r="L101" s="1452">
        <f t="shared" si="40"/>
        <v>386942670.15810579</v>
      </c>
    </row>
    <row r="102" spans="1:13">
      <c r="A102" s="40"/>
      <c r="B102" s="455"/>
      <c r="C102" s="455"/>
      <c r="D102" s="455"/>
      <c r="E102" s="455"/>
      <c r="F102" s="455"/>
      <c r="G102" s="455"/>
      <c r="H102" s="455"/>
      <c r="I102" s="455"/>
      <c r="J102" s="455"/>
      <c r="K102" s="455"/>
      <c r="L102" s="455"/>
    </row>
    <row r="103" spans="1:13" ht="30">
      <c r="A103" s="40" t="s">
        <v>471</v>
      </c>
      <c r="B103" s="455"/>
      <c r="C103" s="455"/>
      <c r="D103" s="455"/>
      <c r="E103" s="455"/>
      <c r="F103" s="455"/>
      <c r="G103" s="455"/>
      <c r="H103" s="455"/>
      <c r="I103" s="455"/>
      <c r="J103" s="455"/>
      <c r="K103" s="455"/>
      <c r="L103" s="455"/>
    </row>
    <row r="104" spans="1:13" ht="30">
      <c r="A104" s="166" t="s">
        <v>285</v>
      </c>
      <c r="B104" s="1071">
        <f>50%*B48</f>
        <v>172298.92606766761</v>
      </c>
      <c r="C104" s="1071">
        <f t="shared" ref="C104:L104" si="41">50%*C48</f>
        <v>207152.40802503112</v>
      </c>
      <c r="D104" s="1071">
        <f t="shared" si="41"/>
        <v>221175.1077544833</v>
      </c>
      <c r="E104" s="1071">
        <f t="shared" si="41"/>
        <v>234616.75661913332</v>
      </c>
      <c r="F104" s="1071">
        <f t="shared" si="41"/>
        <v>247700.5935095046</v>
      </c>
      <c r="G104" s="1071">
        <f t="shared" si="41"/>
        <v>260893.56433173426</v>
      </c>
      <c r="H104" s="1071">
        <f t="shared" si="41"/>
        <v>274135.66446864011</v>
      </c>
      <c r="I104" s="1071">
        <f t="shared" si="41"/>
        <v>288049.00598470424</v>
      </c>
      <c r="J104" s="1071">
        <f t="shared" si="41"/>
        <v>302667.57376565679</v>
      </c>
      <c r="K104" s="1071">
        <f t="shared" si="41"/>
        <v>318027.07150880189</v>
      </c>
      <c r="L104" s="1071">
        <f t="shared" si="41"/>
        <v>334165.00856913696</v>
      </c>
    </row>
    <row r="105" spans="1:13" ht="24.75" customHeight="1">
      <c r="A105" s="168" t="s">
        <v>270</v>
      </c>
      <c r="B105" s="1072">
        <f t="shared" ref="B105:L105" si="42">B104*B29</f>
        <v>0</v>
      </c>
      <c r="C105" s="1072">
        <f t="shared" si="42"/>
        <v>588253994.37541234</v>
      </c>
      <c r="D105" s="1072">
        <f t="shared" si="42"/>
        <v>1238612302.1620479</v>
      </c>
      <c r="E105" s="1072">
        <f t="shared" si="42"/>
        <v>1625199262.8608859</v>
      </c>
      <c r="F105" s="1072">
        <f t="shared" si="42"/>
        <v>2042005541.5004163</v>
      </c>
      <c r="G105" s="1072">
        <f t="shared" si="42"/>
        <v>2847313607.2007442</v>
      </c>
      <c r="H105" s="1072">
        <f t="shared" si="42"/>
        <v>3717056678.8590202</v>
      </c>
      <c r="I105" s="1072">
        <f t="shared" si="42"/>
        <v>3887150912.8706222</v>
      </c>
      <c r="J105" s="1072">
        <f t="shared" si="42"/>
        <v>4069602555.8680329</v>
      </c>
      <c r="K105" s="1072">
        <f t="shared" si="42"/>
        <v>4264574076.8586097</v>
      </c>
      <c r="L105" s="1072">
        <f t="shared" si="42"/>
        <v>4472198083.9531574</v>
      </c>
    </row>
    <row r="106" spans="1:13" hidden="1">
      <c r="A106" s="1397" t="s">
        <v>1055</v>
      </c>
      <c r="B106" s="1072">
        <f>B104*B34</f>
        <v>0</v>
      </c>
      <c r="C106" s="1072">
        <f t="shared" ref="C106:L106" si="43">C104*C34</f>
        <v>74863168.128586188</v>
      </c>
      <c r="D106" s="1072">
        <f t="shared" si="43"/>
        <v>149705317.02745834</v>
      </c>
      <c r="E106" s="1072">
        <f t="shared" si="43"/>
        <v>186555033.6092059</v>
      </c>
      <c r="F106" s="1072">
        <f t="shared" si="43"/>
        <v>222615700.1974529</v>
      </c>
      <c r="G106" s="1072">
        <f t="shared" si="43"/>
        <v>294803541.39237463</v>
      </c>
      <c r="H106" s="1072">
        <f t="shared" si="43"/>
        <v>365506491.82864976</v>
      </c>
      <c r="I106" s="1072">
        <f t="shared" si="43"/>
        <v>363016054.44134557</v>
      </c>
      <c r="J106" s="1072">
        <f t="shared" si="43"/>
        <v>360948255.06704968</v>
      </c>
      <c r="K106" s="1072">
        <f t="shared" si="43"/>
        <v>359225477.51710826</v>
      </c>
      <c r="L106" s="1072">
        <f t="shared" si="43"/>
        <v>357775846.71625262</v>
      </c>
    </row>
    <row r="107" spans="1:13">
      <c r="A107" s="1398" t="s">
        <v>286</v>
      </c>
      <c r="B107" s="1073">
        <f>B104*B40</f>
        <v>0</v>
      </c>
      <c r="C107" s="1073">
        <f t="shared" ref="C107:L107" si="44">C104*C40</f>
        <v>114314417.26790015</v>
      </c>
      <c r="D107" s="1073">
        <f t="shared" si="44"/>
        <v>233871681.16148341</v>
      </c>
      <c r="E107" s="1073">
        <f t="shared" si="44"/>
        <v>298163852.61124915</v>
      </c>
      <c r="F107" s="1073">
        <f t="shared" si="44"/>
        <v>364008409.74588418</v>
      </c>
      <c r="G107" s="1073">
        <f t="shared" si="44"/>
        <v>493169183.27539039</v>
      </c>
      <c r="H107" s="1073">
        <f t="shared" si="44"/>
        <v>625555630.01415622</v>
      </c>
      <c r="I107" s="1073">
        <f t="shared" si="44"/>
        <v>635629846.76714778</v>
      </c>
      <c r="J107" s="1073">
        <f t="shared" si="44"/>
        <v>646593007.61529052</v>
      </c>
      <c r="K107" s="1073">
        <f t="shared" si="44"/>
        <v>658355996.11450398</v>
      </c>
      <c r="L107" s="1073">
        <f t="shared" si="44"/>
        <v>670829712.59297359</v>
      </c>
      <c r="M107" s="932"/>
    </row>
    <row r="108" spans="1:13" ht="45">
      <c r="A108" s="1399" t="s">
        <v>1056</v>
      </c>
      <c r="B108" s="994">
        <f>B104*B40*B$58/100</f>
        <v>0</v>
      </c>
      <c r="C108" s="994">
        <f t="shared" ref="C108:L108" si="45">C104*C40*C$58/100</f>
        <v>55941744.427871369</v>
      </c>
      <c r="D108" s="994">
        <f t="shared" si="45"/>
        <v>114722831.79038018</v>
      </c>
      <c r="E108" s="994">
        <f t="shared" si="45"/>
        <v>146610284.06318128</v>
      </c>
      <c r="F108" s="994">
        <f t="shared" si="45"/>
        <v>179414725.14716965</v>
      </c>
      <c r="G108" s="994">
        <f t="shared" si="45"/>
        <v>243657520.62570751</v>
      </c>
      <c r="H108" s="994">
        <f t="shared" si="45"/>
        <v>309804020.64067137</v>
      </c>
      <c r="I108" s="994">
        <f t="shared" si="45"/>
        <v>315545955.06734735</v>
      </c>
      <c r="J108" s="994">
        <f t="shared" si="45"/>
        <v>321755931.84511638</v>
      </c>
      <c r="K108" s="994">
        <f t="shared" si="45"/>
        <v>328392762.26453775</v>
      </c>
      <c r="L108" s="994">
        <f t="shared" si="45"/>
        <v>335414856.29648679</v>
      </c>
      <c r="M108" s="995" t="s">
        <v>340</v>
      </c>
    </row>
    <row r="109" spans="1:13">
      <c r="A109" s="168"/>
      <c r="B109" s="166"/>
      <c r="C109" s="166"/>
      <c r="D109" s="166"/>
      <c r="E109" s="166"/>
      <c r="F109" s="166"/>
      <c r="G109" s="166"/>
      <c r="H109" s="166"/>
      <c r="I109" s="166"/>
      <c r="J109" s="166"/>
      <c r="K109" s="166"/>
      <c r="L109" s="166"/>
    </row>
    <row r="110" spans="1:13">
      <c r="A110" s="175" t="s">
        <v>473</v>
      </c>
      <c r="B110" s="458"/>
      <c r="C110" s="458"/>
      <c r="D110" s="458"/>
      <c r="E110" s="458"/>
      <c r="F110" s="458"/>
      <c r="G110" s="458"/>
      <c r="H110" s="458"/>
      <c r="I110" s="458"/>
      <c r="J110" s="458"/>
      <c r="K110" s="458"/>
      <c r="L110" s="458"/>
      <c r="M110" s="934"/>
    </row>
    <row r="111" spans="1:13">
      <c r="A111" s="51"/>
      <c r="B111" s="166"/>
      <c r="C111" s="166"/>
      <c r="D111" s="166"/>
      <c r="E111" s="166"/>
      <c r="F111" s="166"/>
      <c r="G111" s="166"/>
      <c r="H111" s="166"/>
      <c r="I111" s="166"/>
      <c r="J111" s="166"/>
      <c r="K111" s="166"/>
      <c r="L111" s="166"/>
    </row>
    <row r="112" spans="1:13">
      <c r="A112" s="171" t="s">
        <v>240</v>
      </c>
      <c r="B112" s="171"/>
      <c r="C112" s="171"/>
      <c r="D112" s="171"/>
      <c r="E112" s="171"/>
      <c r="F112" s="171"/>
      <c r="G112" s="171"/>
      <c r="H112" s="171"/>
      <c r="I112" s="171"/>
      <c r="J112" s="171"/>
      <c r="K112" s="171"/>
      <c r="L112" s="171"/>
    </row>
    <row r="113" spans="1:13" ht="45">
      <c r="A113" s="1392" t="s">
        <v>474</v>
      </c>
      <c r="B113" s="1400">
        <f>B80+B101+B105</f>
        <v>0</v>
      </c>
      <c r="C113" s="1392">
        <f t="shared" ref="C113:L113" si="46">C80+C101+C104*C29</f>
        <v>1945689200.6669931</v>
      </c>
      <c r="D113" s="1392">
        <f t="shared" si="46"/>
        <v>4615478856.9953957</v>
      </c>
      <c r="E113" s="1392">
        <f t="shared" si="46"/>
        <v>6244058582.4525242</v>
      </c>
      <c r="F113" s="1392">
        <f t="shared" si="46"/>
        <v>8136494771.286644</v>
      </c>
      <c r="G113" s="1392">
        <f t="shared" si="46"/>
        <v>11815605302.21242</v>
      </c>
      <c r="H113" s="1392">
        <f t="shared" si="46"/>
        <v>16142878738.157009</v>
      </c>
      <c r="I113" s="1392">
        <f t="shared" si="46"/>
        <v>17725706990.621887</v>
      </c>
      <c r="J113" s="1392">
        <f t="shared" si="46"/>
        <v>19555436749.882328</v>
      </c>
      <c r="K113" s="1392">
        <f t="shared" si="46"/>
        <v>21678707354.976547</v>
      </c>
      <c r="L113" s="1392">
        <f t="shared" si="46"/>
        <v>24152236820.590363</v>
      </c>
      <c r="M113" s="929" t="s">
        <v>250</v>
      </c>
    </row>
    <row r="114" spans="1:13" ht="57" hidden="1" customHeight="1">
      <c r="A114" s="171" t="s">
        <v>1057</v>
      </c>
      <c r="B114" s="459">
        <f t="shared" ref="B114:L114" si="47">B85+B101+B106</f>
        <v>0</v>
      </c>
      <c r="C114" s="459">
        <f t="shared" si="47"/>
        <v>285136432.80330569</v>
      </c>
      <c r="D114" s="459">
        <f t="shared" si="47"/>
        <v>636887509.76167488</v>
      </c>
      <c r="E114" s="459">
        <f t="shared" si="47"/>
        <v>821440622.68396354</v>
      </c>
      <c r="F114" s="459">
        <f t="shared" si="47"/>
        <v>1020792553.3645951</v>
      </c>
      <c r="G114" s="459">
        <f t="shared" si="47"/>
        <v>1413966225.5615001</v>
      </c>
      <c r="H114" s="459">
        <f t="shared" si="47"/>
        <v>1843103684.7591598</v>
      </c>
      <c r="I114" s="459">
        <f t="shared" si="47"/>
        <v>1931198606.7728014</v>
      </c>
      <c r="J114" s="459">
        <f t="shared" si="47"/>
        <v>2033334498.9432991</v>
      </c>
      <c r="K114" s="459">
        <f t="shared" si="47"/>
        <v>2151526073.1655631</v>
      </c>
      <c r="L114" s="459">
        <f t="shared" si="47"/>
        <v>2288166202.192687</v>
      </c>
      <c r="M114" s="929" t="s">
        <v>251</v>
      </c>
    </row>
    <row r="115" spans="1:13" ht="60">
      <c r="A115" s="1392" t="s">
        <v>1058</v>
      </c>
      <c r="B115" s="1400">
        <f>B90+B101+B107</f>
        <v>0</v>
      </c>
      <c r="C115" s="1400">
        <f t="shared" ref="C115:L115" si="48">C90+C101+C107</f>
        <v>412740740.48618519</v>
      </c>
      <c r="D115" s="1400">
        <f t="shared" si="48"/>
        <v>944410165.63881171</v>
      </c>
      <c r="E115" s="1400">
        <f t="shared" si="48"/>
        <v>1242122799.7527468</v>
      </c>
      <c r="F115" s="1400">
        <f t="shared" si="48"/>
        <v>1573784767.6177273</v>
      </c>
      <c r="G115" s="1400">
        <f t="shared" si="48"/>
        <v>2222318693.8687587</v>
      </c>
      <c r="H115" s="1400">
        <f t="shared" si="48"/>
        <v>2952633296.8392363</v>
      </c>
      <c r="I115" s="1400">
        <f t="shared" si="48"/>
        <v>3153002255.4452848</v>
      </c>
      <c r="J115" s="1400">
        <f t="shared" si="48"/>
        <v>3382906649.8211713</v>
      </c>
      <c r="K115" s="1400">
        <f t="shared" si="48"/>
        <v>3647212236.6384945</v>
      </c>
      <c r="L115" s="1400">
        <f t="shared" si="48"/>
        <v>3951736792.7229452</v>
      </c>
      <c r="M115" s="929"/>
    </row>
    <row r="116" spans="1:13" ht="90">
      <c r="A116" s="1392" t="s">
        <v>1059</v>
      </c>
      <c r="B116" s="1400">
        <f>B108+B101+B95</f>
        <v>0</v>
      </c>
      <c r="C116" s="1400">
        <f t="shared" ref="C116:L116" si="49">C108+C101+C95</f>
        <v>223935451.22784299</v>
      </c>
      <c r="D116" s="1400">
        <f t="shared" si="49"/>
        <v>509070336.23902774</v>
      </c>
      <c r="E116" s="1400">
        <f t="shared" si="49"/>
        <v>670878647.81725264</v>
      </c>
      <c r="F116" s="1400">
        <f t="shared" si="49"/>
        <v>851831912.27321339</v>
      </c>
      <c r="G116" s="1400">
        <f t="shared" si="49"/>
        <v>1205542973.7404418</v>
      </c>
      <c r="H116" s="1400">
        <f t="shared" si="49"/>
        <v>1605442673.1506088</v>
      </c>
      <c r="I116" s="1400">
        <f t="shared" si="49"/>
        <v>1718446566.1545434</v>
      </c>
      <c r="J116" s="1400">
        <f t="shared" si="49"/>
        <v>1848164397.0014038</v>
      </c>
      <c r="K116" s="1400">
        <f t="shared" si="49"/>
        <v>1997359036.6431587</v>
      </c>
      <c r="L116" s="1400">
        <f t="shared" si="49"/>
        <v>2169339731.4405255</v>
      </c>
      <c r="M116" s="929"/>
    </row>
    <row r="117" spans="1:13" ht="75" hidden="1">
      <c r="A117" s="171" t="s">
        <v>341</v>
      </c>
      <c r="B117" s="459">
        <f>B107+B101+B95</f>
        <v>0</v>
      </c>
      <c r="C117" s="459">
        <f t="shared" ref="C117:L117" si="50">C107+C101+C95</f>
        <v>282308124.06787175</v>
      </c>
      <c r="D117" s="459">
        <f t="shared" si="50"/>
        <v>628219185.61013103</v>
      </c>
      <c r="E117" s="459">
        <f t="shared" si="50"/>
        <v>822432216.36532056</v>
      </c>
      <c r="F117" s="459">
        <f t="shared" si="50"/>
        <v>1036425596.871928</v>
      </c>
      <c r="G117" s="459">
        <f t="shared" si="50"/>
        <v>1455054636.3901246</v>
      </c>
      <c r="H117" s="459">
        <f t="shared" si="50"/>
        <v>1921194282.5240936</v>
      </c>
      <c r="I117" s="459">
        <f t="shared" si="50"/>
        <v>2038530457.8543439</v>
      </c>
      <c r="J117" s="459">
        <f t="shared" si="50"/>
        <v>2173001472.7715778</v>
      </c>
      <c r="K117" s="459">
        <f t="shared" si="50"/>
        <v>2327322270.493125</v>
      </c>
      <c r="L117" s="459">
        <f t="shared" si="50"/>
        <v>2504754587.7370119</v>
      </c>
      <c r="M117" s="929"/>
    </row>
    <row r="118" spans="1:13">
      <c r="A118" s="40"/>
      <c r="B118" s="455"/>
      <c r="C118" s="455"/>
      <c r="D118" s="455"/>
      <c r="E118" s="455"/>
      <c r="F118" s="455"/>
      <c r="G118" s="455"/>
      <c r="H118" s="455"/>
      <c r="I118" s="455"/>
      <c r="J118" s="455"/>
      <c r="K118" s="455"/>
      <c r="L118" s="455"/>
      <c r="M118" s="929"/>
    </row>
    <row r="119" spans="1:13">
      <c r="A119" s="172" t="s">
        <v>245</v>
      </c>
      <c r="B119" s="172"/>
      <c r="C119" s="172"/>
      <c r="D119" s="172"/>
      <c r="E119" s="172"/>
      <c r="F119" s="172"/>
      <c r="G119" s="172"/>
      <c r="H119" s="172"/>
      <c r="I119" s="172"/>
      <c r="J119" s="172"/>
      <c r="K119" s="172"/>
      <c r="L119" s="172"/>
      <c r="M119" s="933"/>
    </row>
    <row r="120" spans="1:13">
      <c r="A120" s="40" t="s">
        <v>241</v>
      </c>
      <c r="B120" s="40"/>
      <c r="C120" s="40"/>
      <c r="D120" s="40"/>
      <c r="E120" s="40"/>
      <c r="F120" s="40"/>
      <c r="G120" s="40"/>
      <c r="H120" s="40"/>
      <c r="I120" s="40"/>
      <c r="J120" s="40"/>
      <c r="K120" s="40"/>
      <c r="L120" s="40"/>
    </row>
    <row r="121" spans="1:13">
      <c r="A121" s="166" t="s">
        <v>242</v>
      </c>
      <c r="B121" s="456">
        <f>B80*12/1000</f>
        <v>0</v>
      </c>
      <c r="C121" s="1071">
        <f t="shared" ref="C121:L121" si="51">C80*12/1000</f>
        <v>15773307.036705019</v>
      </c>
      <c r="D121" s="1071">
        <f t="shared" si="51"/>
        <v>39443573.959465958</v>
      </c>
      <c r="E121" s="1071">
        <f t="shared" si="51"/>
        <v>54007107.845928393</v>
      </c>
      <c r="F121" s="1071">
        <f t="shared" si="51"/>
        <v>71332260.807797849</v>
      </c>
      <c r="G121" s="1071">
        <f t="shared" si="51"/>
        <v>105068021.33296174</v>
      </c>
      <c r="H121" s="1071">
        <f t="shared" si="51"/>
        <v>145706327.24639985</v>
      </c>
      <c r="I121" s="1071">
        <f t="shared" si="51"/>
        <v>162411924.28779352</v>
      </c>
      <c r="J121" s="1071">
        <f t="shared" si="51"/>
        <v>181894256.59142396</v>
      </c>
      <c r="K121" s="1071">
        <f t="shared" si="51"/>
        <v>204705298.88752612</v>
      </c>
      <c r="L121" s="1071">
        <f t="shared" si="51"/>
        <v>231517152.79774925</v>
      </c>
    </row>
    <row r="122" spans="1:13">
      <c r="A122" s="166" t="s">
        <v>243</v>
      </c>
      <c r="B122" s="456">
        <f>B68*B75*12/1000</f>
        <v>0</v>
      </c>
      <c r="C122" s="1071">
        <f t="shared" ref="C122:L122" si="52">C68*C75*12/1000</f>
        <v>343943.6258626334</v>
      </c>
      <c r="D122" s="1071">
        <f t="shared" si="52"/>
        <v>719216.46568947576</v>
      </c>
      <c r="E122" s="1071">
        <f t="shared" si="52"/>
        <v>946135.99278084177</v>
      </c>
      <c r="F122" s="1071">
        <f t="shared" si="52"/>
        <v>1201073.2997579118</v>
      </c>
      <c r="G122" s="1071">
        <f t="shared" si="52"/>
        <v>1700986.0047855831</v>
      </c>
      <c r="H122" s="1071">
        <f t="shared" si="52"/>
        <v>2269024.976784029</v>
      </c>
      <c r="I122" s="1071">
        <f t="shared" si="52"/>
        <v>2433832.4301477894</v>
      </c>
      <c r="J122" s="1071">
        <f t="shared" si="52"/>
        <v>2623835.8244984024</v>
      </c>
      <c r="K122" s="1071">
        <f t="shared" si="52"/>
        <v>2842866.9665927733</v>
      </c>
      <c r="L122" s="1071">
        <f t="shared" si="52"/>
        <v>3095541.3612648463</v>
      </c>
    </row>
    <row r="123" spans="1:13">
      <c r="A123" s="166" t="s">
        <v>1133</v>
      </c>
      <c r="B123" s="456">
        <f>B69*B75*12/1000</f>
        <v>0</v>
      </c>
      <c r="C123" s="1071">
        <f t="shared" ref="C123:L123" si="53">C69*C75*12/1000</f>
        <v>171971.8129313167</v>
      </c>
      <c r="D123" s="1071">
        <f t="shared" si="53"/>
        <v>359608.23284473788</v>
      </c>
      <c r="E123" s="1071">
        <f t="shared" si="53"/>
        <v>473067.99639042089</v>
      </c>
      <c r="F123" s="1071">
        <f t="shared" si="53"/>
        <v>600536.64987895591</v>
      </c>
      <c r="G123" s="1071">
        <f t="shared" si="53"/>
        <v>850493.00239279156</v>
      </c>
      <c r="H123" s="1071">
        <f t="shared" si="53"/>
        <v>1134512.4883920145</v>
      </c>
      <c r="I123" s="1071">
        <f t="shared" si="53"/>
        <v>1216916.2150738947</v>
      </c>
      <c r="J123" s="1071">
        <f t="shared" si="53"/>
        <v>1311917.9122492012</v>
      </c>
      <c r="K123" s="1071">
        <f t="shared" si="53"/>
        <v>1421433.4832963867</v>
      </c>
      <c r="L123" s="1071">
        <f t="shared" si="53"/>
        <v>1547770.6806324231</v>
      </c>
    </row>
    <row r="124" spans="1:13">
      <c r="A124" s="166" t="s">
        <v>244</v>
      </c>
      <c r="B124" s="456">
        <f>B105*12/1000</f>
        <v>0</v>
      </c>
      <c r="C124" s="1071">
        <f t="shared" ref="C124:L124" si="54">C105*12/1000</f>
        <v>7059047.9325049473</v>
      </c>
      <c r="D124" s="1071">
        <f t="shared" si="54"/>
        <v>14863347.625944573</v>
      </c>
      <c r="E124" s="1071">
        <f t="shared" si="54"/>
        <v>19502391.15433063</v>
      </c>
      <c r="F124" s="1071">
        <f t="shared" si="54"/>
        <v>24504066.498004999</v>
      </c>
      <c r="G124" s="1071">
        <f t="shared" si="54"/>
        <v>34167763.286408931</v>
      </c>
      <c r="H124" s="1071">
        <f t="shared" si="54"/>
        <v>44604680.146308243</v>
      </c>
      <c r="I124" s="1071">
        <f t="shared" si="54"/>
        <v>46645810.954447463</v>
      </c>
      <c r="J124" s="1071">
        <f t="shared" si="54"/>
        <v>48835230.6704164</v>
      </c>
      <c r="K124" s="1071">
        <f t="shared" si="54"/>
        <v>51174888.922303312</v>
      </c>
      <c r="L124" s="1071">
        <f t="shared" si="54"/>
        <v>53666377.007437892</v>
      </c>
    </row>
    <row r="125" spans="1:13">
      <c r="A125" s="40" t="s">
        <v>760</v>
      </c>
      <c r="B125" s="455">
        <f>SUM(B121:B124)</f>
        <v>0</v>
      </c>
      <c r="C125" s="1074">
        <f t="shared" ref="C125:L125" si="55">SUM(C121:C124)</f>
        <v>23348270.408003915</v>
      </c>
      <c r="D125" s="1074">
        <f t="shared" si="55"/>
        <v>55385746.283944741</v>
      </c>
      <c r="E125" s="1074">
        <f t="shared" si="55"/>
        <v>74928702.989430279</v>
      </c>
      <c r="F125" s="1074">
        <f t="shared" si="55"/>
        <v>97637937.255439714</v>
      </c>
      <c r="G125" s="1074">
        <f t="shared" si="55"/>
        <v>141787263.62654907</v>
      </c>
      <c r="H125" s="1074">
        <f t="shared" si="55"/>
        <v>193714544.85788414</v>
      </c>
      <c r="I125" s="1074">
        <f t="shared" si="55"/>
        <v>212708483.88746268</v>
      </c>
      <c r="J125" s="1074">
        <f t="shared" si="55"/>
        <v>234665240.99858797</v>
      </c>
      <c r="K125" s="1074">
        <f t="shared" si="55"/>
        <v>260144488.2597186</v>
      </c>
      <c r="L125" s="1074">
        <f t="shared" si="55"/>
        <v>289826841.8470844</v>
      </c>
    </row>
    <row r="126" spans="1:13">
      <c r="A126" s="40"/>
      <c r="B126" s="455"/>
      <c r="C126" s="455"/>
      <c r="D126" s="455"/>
      <c r="E126" s="455"/>
      <c r="F126" s="455"/>
      <c r="G126" s="455"/>
      <c r="H126" s="455"/>
      <c r="I126" s="455"/>
      <c r="J126" s="455"/>
      <c r="K126" s="455"/>
      <c r="L126" s="455"/>
    </row>
    <row r="127" spans="1:13">
      <c r="A127" s="40" t="s">
        <v>477</v>
      </c>
      <c r="B127" s="40"/>
      <c r="C127" s="40"/>
      <c r="D127" s="40"/>
      <c r="E127" s="40"/>
      <c r="F127" s="40"/>
      <c r="G127" s="40"/>
      <c r="H127" s="40"/>
      <c r="I127" s="40"/>
      <c r="J127" s="40"/>
      <c r="K127" s="40"/>
      <c r="L127" s="40"/>
    </row>
    <row r="128" spans="1:13" ht="30">
      <c r="A128" s="40" t="s">
        <v>486</v>
      </c>
      <c r="B128" s="40">
        <v>0.15</v>
      </c>
      <c r="C128" s="40">
        <v>0.15</v>
      </c>
      <c r="D128" s="40">
        <v>0.15</v>
      </c>
      <c r="E128" s="40">
        <v>0.15</v>
      </c>
      <c r="F128" s="40">
        <v>0.15</v>
      </c>
      <c r="G128" s="40">
        <v>0.15</v>
      </c>
      <c r="H128" s="40">
        <v>0.15</v>
      </c>
      <c r="I128" s="40">
        <v>0.15</v>
      </c>
      <c r="J128" s="40">
        <v>0.15</v>
      </c>
      <c r="K128" s="40">
        <v>0.15</v>
      </c>
      <c r="L128" s="40">
        <v>0.15</v>
      </c>
    </row>
    <row r="129" spans="1:13">
      <c r="A129" s="172" t="s">
        <v>245</v>
      </c>
      <c r="B129" s="172"/>
      <c r="C129" s="172"/>
      <c r="D129" s="172"/>
      <c r="E129" s="172"/>
      <c r="F129" s="172"/>
      <c r="G129" s="172"/>
      <c r="H129" s="172"/>
      <c r="I129" s="172"/>
      <c r="J129" s="172"/>
      <c r="K129" s="172"/>
      <c r="L129" s="172"/>
      <c r="M129" s="933"/>
    </row>
    <row r="130" spans="1:13">
      <c r="A130" s="40" t="s">
        <v>241</v>
      </c>
      <c r="B130" s="40"/>
      <c r="C130" s="40"/>
      <c r="D130" s="40"/>
      <c r="E130" s="40"/>
      <c r="F130" s="40"/>
      <c r="G130" s="40"/>
      <c r="H130" s="40"/>
      <c r="I130" s="40"/>
      <c r="J130" s="40"/>
      <c r="K130" s="40"/>
      <c r="L130" s="40"/>
    </row>
    <row r="131" spans="1:13">
      <c r="A131" s="166" t="s">
        <v>242</v>
      </c>
      <c r="B131" s="456">
        <f>B121*(1+B$128)</f>
        <v>0</v>
      </c>
      <c r="C131" s="1071">
        <f t="shared" ref="C131:L131" si="56">C121*(1+C$128)</f>
        <v>18139303.09221077</v>
      </c>
      <c r="D131" s="1071">
        <f t="shared" si="56"/>
        <v>45360110.053385846</v>
      </c>
      <c r="E131" s="1071">
        <f t="shared" si="56"/>
        <v>62108174.022817649</v>
      </c>
      <c r="F131" s="1071">
        <f t="shared" si="56"/>
        <v>82032099.928967521</v>
      </c>
      <c r="G131" s="1071">
        <f t="shared" si="56"/>
        <v>120828224.532906</v>
      </c>
      <c r="H131" s="1071">
        <f t="shared" si="56"/>
        <v>167562276.33335981</v>
      </c>
      <c r="I131" s="1071">
        <f t="shared" si="56"/>
        <v>186773712.93096253</v>
      </c>
      <c r="J131" s="1071">
        <f t="shared" si="56"/>
        <v>209178395.08013755</v>
      </c>
      <c r="K131" s="1071">
        <f t="shared" si="56"/>
        <v>235411093.72065502</v>
      </c>
      <c r="L131" s="1071">
        <f t="shared" si="56"/>
        <v>266244725.71741161</v>
      </c>
    </row>
    <row r="132" spans="1:13">
      <c r="A132" s="166" t="s">
        <v>243</v>
      </c>
      <c r="B132" s="456">
        <f t="shared" ref="B132:L134" si="57">B122*(1+B$128)</f>
        <v>0</v>
      </c>
      <c r="C132" s="1071">
        <f t="shared" si="57"/>
        <v>395535.1697420284</v>
      </c>
      <c r="D132" s="1071">
        <f t="shared" si="57"/>
        <v>827098.93554289709</v>
      </c>
      <c r="E132" s="1071">
        <f t="shared" si="57"/>
        <v>1088056.3916979679</v>
      </c>
      <c r="F132" s="1071">
        <f t="shared" si="57"/>
        <v>1381234.2947215985</v>
      </c>
      <c r="G132" s="1071">
        <f t="shared" si="57"/>
        <v>1956133.9055034204</v>
      </c>
      <c r="H132" s="1071">
        <f t="shared" si="57"/>
        <v>2609378.7233016333</v>
      </c>
      <c r="I132" s="1071">
        <f t="shared" si="57"/>
        <v>2798907.2946699578</v>
      </c>
      <c r="J132" s="1071">
        <f t="shared" si="57"/>
        <v>3017411.1981731625</v>
      </c>
      <c r="K132" s="1071">
        <f t="shared" si="57"/>
        <v>3269297.0115816891</v>
      </c>
      <c r="L132" s="1071">
        <f t="shared" si="57"/>
        <v>3559872.5654545729</v>
      </c>
    </row>
    <row r="133" spans="1:13">
      <c r="A133" s="166" t="s">
        <v>1133</v>
      </c>
      <c r="B133" s="456">
        <f t="shared" si="57"/>
        <v>0</v>
      </c>
      <c r="C133" s="1071">
        <f t="shared" si="57"/>
        <v>197767.5848710142</v>
      </c>
      <c r="D133" s="1071">
        <f t="shared" si="57"/>
        <v>413549.46777144854</v>
      </c>
      <c r="E133" s="1071">
        <f t="shared" si="57"/>
        <v>544028.19584898395</v>
      </c>
      <c r="F133" s="1071">
        <f t="shared" si="57"/>
        <v>690617.14736079925</v>
      </c>
      <c r="G133" s="1071">
        <f t="shared" si="57"/>
        <v>978066.9527517102</v>
      </c>
      <c r="H133" s="1071">
        <f t="shared" si="57"/>
        <v>1304689.3616508166</v>
      </c>
      <c r="I133" s="1071">
        <f t="shared" si="57"/>
        <v>1399453.6473349789</v>
      </c>
      <c r="J133" s="1071">
        <f t="shared" si="57"/>
        <v>1508705.5990865813</v>
      </c>
      <c r="K133" s="1071">
        <f t="shared" si="57"/>
        <v>1634648.5057908446</v>
      </c>
      <c r="L133" s="1071">
        <f t="shared" si="57"/>
        <v>1779936.2827272865</v>
      </c>
    </row>
    <row r="134" spans="1:13">
      <c r="A134" s="166" t="s">
        <v>244</v>
      </c>
      <c r="B134" s="456">
        <f t="shared" si="57"/>
        <v>0</v>
      </c>
      <c r="C134" s="1071">
        <f t="shared" si="57"/>
        <v>8117905.1223806888</v>
      </c>
      <c r="D134" s="1071">
        <f t="shared" si="57"/>
        <v>17092849.769836258</v>
      </c>
      <c r="E134" s="1071">
        <f t="shared" si="57"/>
        <v>22427749.827480223</v>
      </c>
      <c r="F134" s="1071">
        <f t="shared" si="57"/>
        <v>28179676.472705748</v>
      </c>
      <c r="G134" s="1071">
        <f t="shared" si="57"/>
        <v>39292927.779370271</v>
      </c>
      <c r="H134" s="1071">
        <f t="shared" si="57"/>
        <v>51295382.168254472</v>
      </c>
      <c r="I134" s="1071">
        <f t="shared" si="57"/>
        <v>53642682.597614579</v>
      </c>
      <c r="J134" s="1071">
        <f t="shared" si="57"/>
        <v>56160515.270978853</v>
      </c>
      <c r="K134" s="1071">
        <f t="shared" si="57"/>
        <v>58851122.260648802</v>
      </c>
      <c r="L134" s="1071">
        <f t="shared" si="57"/>
        <v>61716333.558553569</v>
      </c>
    </row>
    <row r="135" spans="1:13">
      <c r="A135" s="40" t="s">
        <v>760</v>
      </c>
      <c r="B135" s="455">
        <f>SUM(B131:B134)</f>
        <v>0</v>
      </c>
      <c r="C135" s="1074">
        <f t="shared" ref="C135:L135" si="58">SUM(C131:C134)</f>
        <v>26850510.9692045</v>
      </c>
      <c r="D135" s="1074">
        <f t="shared" si="58"/>
        <v>63693608.226536453</v>
      </c>
      <c r="E135" s="1074">
        <f t="shared" si="58"/>
        <v>86168008.437844828</v>
      </c>
      <c r="F135" s="1074">
        <f t="shared" si="58"/>
        <v>112283627.84375568</v>
      </c>
      <c r="G135" s="1074">
        <f t="shared" si="58"/>
        <v>163055353.17053139</v>
      </c>
      <c r="H135" s="1074">
        <f t="shared" si="58"/>
        <v>222771726.58656672</v>
      </c>
      <c r="I135" s="1074">
        <f t="shared" si="58"/>
        <v>244614756.47058207</v>
      </c>
      <c r="J135" s="1074">
        <f t="shared" si="58"/>
        <v>269865027.14837617</v>
      </c>
      <c r="K135" s="1074">
        <f t="shared" si="58"/>
        <v>299166161.49867636</v>
      </c>
      <c r="L135" s="1074">
        <f t="shared" si="58"/>
        <v>333300868.12414706</v>
      </c>
    </row>
    <row r="136" spans="1:13">
      <c r="A136" s="40"/>
      <c r="B136" s="455"/>
      <c r="C136" s="455"/>
      <c r="D136" s="455"/>
      <c r="E136" s="455"/>
      <c r="F136" s="455"/>
      <c r="G136" s="455"/>
      <c r="H136" s="455"/>
      <c r="I136" s="455"/>
      <c r="J136" s="455"/>
      <c r="K136" s="455"/>
      <c r="L136" s="455"/>
    </row>
    <row r="137" spans="1:13" ht="30">
      <c r="A137" s="40" t="s">
        <v>246</v>
      </c>
      <c r="B137" s="455"/>
      <c r="C137" s="455"/>
      <c r="D137" s="455"/>
      <c r="E137" s="455"/>
      <c r="F137" s="455"/>
      <c r="G137" s="455"/>
      <c r="H137" s="455"/>
      <c r="I137" s="455"/>
      <c r="J137" s="455"/>
      <c r="K137" s="455"/>
      <c r="L137" s="455"/>
    </row>
    <row r="138" spans="1:13">
      <c r="A138" s="40" t="s">
        <v>241</v>
      </c>
      <c r="B138" s="455"/>
      <c r="C138" s="455"/>
      <c r="D138" s="455"/>
      <c r="E138" s="455"/>
      <c r="F138" s="455"/>
      <c r="G138" s="455"/>
      <c r="H138" s="455"/>
      <c r="I138" s="455"/>
      <c r="J138" s="455"/>
      <c r="K138" s="455"/>
      <c r="L138" s="455"/>
    </row>
    <row r="139" spans="1:13">
      <c r="A139" s="40"/>
      <c r="B139" s="455">
        <v>2010</v>
      </c>
      <c r="C139" s="455">
        <v>2011</v>
      </c>
      <c r="D139" s="455">
        <v>2012</v>
      </c>
      <c r="E139" s="455">
        <v>2013</v>
      </c>
      <c r="F139" s="455">
        <v>2014</v>
      </c>
      <c r="G139" s="455">
        <v>2015</v>
      </c>
      <c r="H139" s="455">
        <v>2016</v>
      </c>
      <c r="I139" s="455">
        <v>2017</v>
      </c>
      <c r="J139" s="455">
        <v>2018</v>
      </c>
      <c r="K139" s="455">
        <v>2019</v>
      </c>
      <c r="L139" s="455">
        <v>2020</v>
      </c>
    </row>
    <row r="140" spans="1:13">
      <c r="A140" s="166" t="s">
        <v>242</v>
      </c>
      <c r="B140" s="460">
        <f>B131/ECO!G$64*100</f>
        <v>0</v>
      </c>
      <c r="C140" s="460">
        <f>C131/ECO!H$64*100</f>
        <v>0.75336820444280161</v>
      </c>
      <c r="D140" s="460">
        <f>D131/ECO!I$64*100</f>
        <v>1.6468695090372834</v>
      </c>
      <c r="E140" s="460">
        <f>E131/ECO!J$64*100</f>
        <v>1.9636557218895023</v>
      </c>
      <c r="F140" s="460">
        <f>F131/ECO!K$64*100</f>
        <v>2.2646798054893953</v>
      </c>
      <c r="G140" s="460">
        <f>G131/ECO!L$64*100</f>
        <v>2.9261131140029955</v>
      </c>
      <c r="H140" s="460">
        <f>H131/ECO!M$64*100</f>
        <v>3.5742012811051063</v>
      </c>
      <c r="I140" s="460">
        <f>I131/ECO!N$64*100</f>
        <v>3.5153228260108609</v>
      </c>
      <c r="J140" s="460">
        <f>J131/ECO!O$64*100</f>
        <v>3.4738858805545334</v>
      </c>
      <c r="K140" s="460">
        <f>K131/ECO!P$64*100</f>
        <v>3.4485443596632708</v>
      </c>
      <c r="L140" s="460">
        <f>L131/ECO!Q$64*100</f>
        <v>3.4391753141822532</v>
      </c>
    </row>
    <row r="141" spans="1:13">
      <c r="A141" s="166" t="s">
        <v>243</v>
      </c>
      <c r="B141" s="460">
        <f>B132/ECO!G$64*100</f>
        <v>0</v>
      </c>
      <c r="C141" s="460">
        <f>C132/ECO!H$64*100</f>
        <v>1.6427512077379004E-2</v>
      </c>
      <c r="D141" s="460">
        <f>D132/ECO!I$64*100</f>
        <v>3.0029116249931067E-2</v>
      </c>
      <c r="E141" s="460">
        <f>E132/ECO!J$64*100</f>
        <v>3.4400756308037905E-2</v>
      </c>
      <c r="F141" s="460">
        <f>F132/ECO!K$64*100</f>
        <v>3.8132065576938871E-2</v>
      </c>
      <c r="G141" s="460">
        <f>G132/ECO!L$64*100</f>
        <v>4.7371953827564796E-2</v>
      </c>
      <c r="H141" s="460">
        <f>H132/ECO!M$64*100</f>
        <v>5.5659573143769181E-2</v>
      </c>
      <c r="I141" s="460">
        <f>I132/ECO!N$64*100</f>
        <v>5.2679055025684679E-2</v>
      </c>
      <c r="J141" s="460">
        <f>J132/ECO!O$64*100</f>
        <v>5.01110172164057E-2</v>
      </c>
      <c r="K141" s="460">
        <f>K132/ECO!P$64*100</f>
        <v>4.7892032576563361E-2</v>
      </c>
      <c r="L141" s="460">
        <f>L132/ECO!Q$64*100</f>
        <v>4.5984106598756028E-2</v>
      </c>
    </row>
    <row r="142" spans="1:13">
      <c r="A142" s="166" t="s">
        <v>1133</v>
      </c>
      <c r="B142" s="460">
        <f>B133/ECO!G$64*100</f>
        <v>0</v>
      </c>
      <c r="C142" s="460">
        <f>C133/ECO!H$64*100</f>
        <v>8.2137560386895021E-3</v>
      </c>
      <c r="D142" s="460">
        <f>D133/ECO!I$64*100</f>
        <v>1.5014558124965533E-2</v>
      </c>
      <c r="E142" s="460">
        <f>E133/ECO!J$64*100</f>
        <v>1.7200378154018953E-2</v>
      </c>
      <c r="F142" s="460">
        <f>F133/ECO!K$64*100</f>
        <v>1.9066032788469436E-2</v>
      </c>
      <c r="G142" s="460">
        <f>G133/ECO!L$64*100</f>
        <v>2.3685976913782398E-2</v>
      </c>
      <c r="H142" s="460">
        <f>H133/ECO!M$64*100</f>
        <v>2.782978657188459E-2</v>
      </c>
      <c r="I142" s="460">
        <f>I133/ECO!N$64*100</f>
        <v>2.633952751284234E-2</v>
      </c>
      <c r="J142" s="460">
        <f>J133/ECO!O$64*100</f>
        <v>2.505550860820285E-2</v>
      </c>
      <c r="K142" s="460">
        <f>K133/ECO!P$64*100</f>
        <v>2.394601628828168E-2</v>
      </c>
      <c r="L142" s="460">
        <f>L133/ECO!Q$64*100</f>
        <v>2.2992053299378014E-2</v>
      </c>
    </row>
    <row r="143" spans="1:13">
      <c r="A143" s="166" t="s">
        <v>244</v>
      </c>
      <c r="B143" s="460">
        <f>B134/ECO!G$64*100</f>
        <v>0</v>
      </c>
      <c r="C143" s="460">
        <f>C134/ECO!H$64*100</f>
        <v>0.33715581986780663</v>
      </c>
      <c r="D143" s="460">
        <f>D134/ECO!I$64*100</f>
        <v>0.62058255756804714</v>
      </c>
      <c r="E143" s="460">
        <f>E134/ECO!J$64*100</f>
        <v>0.70909151606450449</v>
      </c>
      <c r="F143" s="460">
        <f>F134/ECO!K$64*100</f>
        <v>0.77796306919147484</v>
      </c>
      <c r="G143" s="460">
        <f>G134/ECO!L$64*100</f>
        <v>0.95156203533782668</v>
      </c>
      <c r="H143" s="460">
        <f>H134/ECO!M$64*100</f>
        <v>1.0941604797478524</v>
      </c>
      <c r="I143" s="460">
        <f>I134/ECO!N$64*100</f>
        <v>1.0096246609047816</v>
      </c>
      <c r="J143" s="460">
        <f>J134/ECO!O$64*100</f>
        <v>0.93267385940970871</v>
      </c>
      <c r="K143" s="460">
        <f>K134/ECO!P$64*100</f>
        <v>0.86211190188275744</v>
      </c>
      <c r="L143" s="460">
        <f>L134/ECO!Q$64*100</f>
        <v>0.79721125098154189</v>
      </c>
    </row>
    <row r="144" spans="1:13">
      <c r="A144" s="171" t="s">
        <v>760</v>
      </c>
      <c r="B144" s="461">
        <f t="shared" ref="B144:L144" si="59">SUM(B140:B143)</f>
        <v>0</v>
      </c>
      <c r="C144" s="461">
        <f t="shared" si="59"/>
        <v>1.1151652924266768</v>
      </c>
      <c r="D144" s="461">
        <f t="shared" si="59"/>
        <v>2.3124957409802271</v>
      </c>
      <c r="E144" s="461">
        <f t="shared" si="59"/>
        <v>2.7243483724160638</v>
      </c>
      <c r="F144" s="461">
        <f t="shared" si="59"/>
        <v>3.0998409730462786</v>
      </c>
      <c r="G144" s="461">
        <f t="shared" si="59"/>
        <v>3.9487330800821692</v>
      </c>
      <c r="H144" s="461">
        <f t="shared" si="59"/>
        <v>4.7518511205686123</v>
      </c>
      <c r="I144" s="461">
        <f t="shared" si="59"/>
        <v>4.6039660694541702</v>
      </c>
      <c r="J144" s="461">
        <f t="shared" si="59"/>
        <v>4.4817262657888506</v>
      </c>
      <c r="K144" s="461">
        <f t="shared" si="59"/>
        <v>4.3824943104108733</v>
      </c>
      <c r="L144" s="461">
        <f t="shared" si="59"/>
        <v>4.3053627250619293</v>
      </c>
    </row>
    <row r="145" spans="1:13" ht="30">
      <c r="A145" s="40" t="s">
        <v>252</v>
      </c>
      <c r="B145" s="462"/>
      <c r="C145" s="462"/>
      <c r="D145" s="462"/>
      <c r="E145" s="462"/>
      <c r="F145" s="462"/>
      <c r="G145" s="462"/>
      <c r="H145" s="462"/>
      <c r="I145" s="462"/>
      <c r="J145" s="462"/>
      <c r="K145" s="462"/>
      <c r="L145" s="462"/>
    </row>
    <row r="146" spans="1:13">
      <c r="A146" s="40" t="s">
        <v>241</v>
      </c>
      <c r="B146" s="462"/>
      <c r="C146" s="462"/>
      <c r="D146" s="462"/>
      <c r="E146" s="462"/>
      <c r="F146" s="462"/>
      <c r="G146" s="462"/>
      <c r="H146" s="462"/>
      <c r="I146" s="462"/>
      <c r="J146" s="462"/>
      <c r="K146" s="462"/>
      <c r="L146" s="462"/>
    </row>
    <row r="147" spans="1:13">
      <c r="B147" s="455">
        <v>2010</v>
      </c>
      <c r="C147" s="455">
        <v>2011</v>
      </c>
      <c r="D147" s="455">
        <v>2012</v>
      </c>
      <c r="E147" s="455">
        <v>2013</v>
      </c>
      <c r="F147" s="455">
        <v>2014</v>
      </c>
      <c r="G147" s="455">
        <v>2015</v>
      </c>
      <c r="H147" s="455">
        <v>2016</v>
      </c>
      <c r="I147" s="455">
        <v>2017</v>
      </c>
      <c r="J147" s="455">
        <v>2018</v>
      </c>
      <c r="K147" s="455">
        <v>2019</v>
      </c>
      <c r="L147" s="455">
        <v>2020</v>
      </c>
    </row>
    <row r="148" spans="1:13">
      <c r="A148" s="166" t="s">
        <v>242</v>
      </c>
      <c r="B148" s="460">
        <f>B131/B$9*100</f>
        <v>0</v>
      </c>
      <c r="C148" s="460">
        <f t="shared" ref="C148:L148" si="60">C131/C$9*100</f>
        <v>2.3748679852250945</v>
      </c>
      <c r="D148" s="460">
        <f t="shared" si="60"/>
        <v>5.1699909728623732</v>
      </c>
      <c r="E148" s="460">
        <f t="shared" si="60"/>
        <v>6.1960150425270095</v>
      </c>
      <c r="F148" s="460">
        <f t="shared" si="60"/>
        <v>7.1664015164292243</v>
      </c>
      <c r="G148" s="460">
        <f t="shared" si="60"/>
        <v>9.2883972844098714</v>
      </c>
      <c r="H148" s="460">
        <f t="shared" si="60"/>
        <v>11.39960513611741</v>
      </c>
      <c r="I148" s="460">
        <f t="shared" si="60"/>
        <v>11.239828347777991</v>
      </c>
      <c r="J148" s="460">
        <f t="shared" si="60"/>
        <v>11.161960135770329</v>
      </c>
      <c r="K148" s="460">
        <f t="shared" si="60"/>
        <v>11.132632222016319</v>
      </c>
      <c r="L148" s="460">
        <f t="shared" si="60"/>
        <v>11.153936338034779</v>
      </c>
    </row>
    <row r="149" spans="1:13">
      <c r="A149" s="166" t="s">
        <v>243</v>
      </c>
      <c r="B149" s="460">
        <f t="shared" ref="B149:L151" si="61">B132/B$9*100</f>
        <v>0</v>
      </c>
      <c r="C149" s="460">
        <f t="shared" si="61"/>
        <v>5.1785000056274594E-2</v>
      </c>
      <c r="D149" s="460">
        <f t="shared" si="61"/>
        <v>9.4269921862803613E-2</v>
      </c>
      <c r="E149" s="460">
        <f t="shared" si="61"/>
        <v>0.10854632061154297</v>
      </c>
      <c r="F149" s="460">
        <f t="shared" si="61"/>
        <v>0.12066592898155859</v>
      </c>
      <c r="G149" s="460">
        <f t="shared" si="61"/>
        <v>0.15037338275935569</v>
      </c>
      <c r="H149" s="460">
        <f t="shared" si="61"/>
        <v>0.17752138337537438</v>
      </c>
      <c r="I149" s="460">
        <f t="shared" si="61"/>
        <v>0.16843503863449097</v>
      </c>
      <c r="J149" s="460">
        <f t="shared" si="61"/>
        <v>0.16101196060105882</v>
      </c>
      <c r="K149" s="460">
        <f t="shared" si="61"/>
        <v>0.15460563340173034</v>
      </c>
      <c r="L149" s="460">
        <f t="shared" si="61"/>
        <v>0.14913569408597738</v>
      </c>
    </row>
    <row r="150" spans="1:13">
      <c r="A150" s="166" t="s">
        <v>1133</v>
      </c>
      <c r="B150" s="460">
        <f t="shared" si="61"/>
        <v>0</v>
      </c>
      <c r="C150" s="460">
        <f t="shared" si="61"/>
        <v>2.5892500028137297E-2</v>
      </c>
      <c r="D150" s="460">
        <f t="shared" si="61"/>
        <v>4.7134960931401806E-2</v>
      </c>
      <c r="E150" s="460">
        <f t="shared" si="61"/>
        <v>5.4273160305771485E-2</v>
      </c>
      <c r="F150" s="460">
        <f t="shared" si="61"/>
        <v>6.0332964490779295E-2</v>
      </c>
      <c r="G150" s="460">
        <f t="shared" si="61"/>
        <v>7.5186691379677845E-2</v>
      </c>
      <c r="H150" s="460">
        <f t="shared" si="61"/>
        <v>8.8760691687687188E-2</v>
      </c>
      <c r="I150" s="460">
        <f t="shared" si="61"/>
        <v>8.4217519317245484E-2</v>
      </c>
      <c r="J150" s="460">
        <f t="shared" si="61"/>
        <v>8.0505980300529412E-2</v>
      </c>
      <c r="K150" s="460">
        <f t="shared" si="61"/>
        <v>7.7302816700865168E-2</v>
      </c>
      <c r="L150" s="460">
        <f t="shared" si="61"/>
        <v>7.4567847042988689E-2</v>
      </c>
    </row>
    <row r="151" spans="1:13">
      <c r="A151" s="166" t="s">
        <v>244</v>
      </c>
      <c r="B151" s="460">
        <f t="shared" si="61"/>
        <v>0</v>
      </c>
      <c r="C151" s="460">
        <f t="shared" si="61"/>
        <v>1.0628276557391727</v>
      </c>
      <c r="D151" s="460">
        <f t="shared" si="61"/>
        <v>1.9481848458158646</v>
      </c>
      <c r="E151" s="460">
        <f t="shared" si="61"/>
        <v>2.2374297342898397</v>
      </c>
      <c r="F151" s="460">
        <f t="shared" si="61"/>
        <v>2.4618030792988521</v>
      </c>
      <c r="G151" s="460">
        <f t="shared" si="61"/>
        <v>3.0205552145891348</v>
      </c>
      <c r="H151" s="460">
        <f t="shared" si="61"/>
        <v>3.4897299966312425</v>
      </c>
      <c r="I151" s="460">
        <f t="shared" si="61"/>
        <v>3.2281552636606268</v>
      </c>
      <c r="J151" s="460">
        <f t="shared" si="61"/>
        <v>2.9967790527259384</v>
      </c>
      <c r="K151" s="460">
        <f t="shared" si="61"/>
        <v>2.7830799714059364</v>
      </c>
      <c r="L151" s="460">
        <f t="shared" si="61"/>
        <v>2.5855162151067841</v>
      </c>
    </row>
    <row r="152" spans="1:13">
      <c r="A152" s="171" t="s">
        <v>760</v>
      </c>
      <c r="B152" s="461">
        <f>SUM(B148:B151)</f>
        <v>0</v>
      </c>
      <c r="C152" s="461">
        <f t="shared" ref="C152:L152" si="62">SUM(C148:C151)</f>
        <v>3.5153731410486793</v>
      </c>
      <c r="D152" s="461">
        <f t="shared" si="62"/>
        <v>7.2595807014724434</v>
      </c>
      <c r="E152" s="461">
        <f t="shared" si="62"/>
        <v>8.5962642577341644</v>
      </c>
      <c r="F152" s="461">
        <f t="shared" si="62"/>
        <v>9.8092034892004136</v>
      </c>
      <c r="G152" s="461">
        <f t="shared" si="62"/>
        <v>12.534512573138038</v>
      </c>
      <c r="H152" s="461">
        <f t="shared" si="62"/>
        <v>15.155617207811714</v>
      </c>
      <c r="I152" s="461">
        <f t="shared" si="62"/>
        <v>14.720636169390355</v>
      </c>
      <c r="J152" s="461">
        <f t="shared" si="62"/>
        <v>14.400257129397854</v>
      </c>
      <c r="K152" s="461">
        <f t="shared" si="62"/>
        <v>14.147620643524851</v>
      </c>
      <c r="L152" s="461">
        <f t="shared" si="62"/>
        <v>13.963156094270529</v>
      </c>
    </row>
    <row r="153" spans="1:13">
      <c r="A153" s="173"/>
      <c r="B153" s="173"/>
      <c r="C153" s="173"/>
      <c r="D153" s="173"/>
      <c r="E153" s="173"/>
      <c r="F153" s="173"/>
      <c r="G153" s="173"/>
      <c r="H153" s="173"/>
      <c r="I153" s="173"/>
      <c r="J153" s="173"/>
      <c r="K153" s="173"/>
      <c r="L153" s="173"/>
      <c r="M153" s="932"/>
    </row>
    <row r="154" spans="1:13" hidden="1">
      <c r="A154" s="172" t="s">
        <v>245</v>
      </c>
      <c r="B154" s="172"/>
      <c r="C154" s="172"/>
      <c r="D154" s="172"/>
      <c r="E154" s="172"/>
      <c r="F154" s="172"/>
      <c r="G154" s="172"/>
      <c r="H154" s="172"/>
      <c r="I154" s="172"/>
      <c r="J154" s="172"/>
      <c r="K154" s="172"/>
      <c r="L154" s="172"/>
      <c r="M154" s="933"/>
    </row>
    <row r="155" spans="1:13" hidden="1">
      <c r="A155" s="40" t="s">
        <v>1061</v>
      </c>
      <c r="B155" s="40"/>
      <c r="C155" s="40"/>
      <c r="D155" s="40"/>
      <c r="E155" s="40"/>
      <c r="F155" s="40"/>
      <c r="G155" s="40"/>
      <c r="H155" s="40"/>
      <c r="I155" s="40"/>
      <c r="J155" s="40"/>
      <c r="K155" s="40"/>
      <c r="L155" s="40"/>
    </row>
    <row r="156" spans="1:13" hidden="1">
      <c r="A156" s="166" t="s">
        <v>242</v>
      </c>
      <c r="B156" s="456">
        <f>B85*12/1000</f>
        <v>0</v>
      </c>
      <c r="C156" s="1071">
        <f t="shared" ref="C156:L156" si="63">C85*12/1000</f>
        <v>2007363.7373026835</v>
      </c>
      <c r="D156" s="1071">
        <f t="shared" si="63"/>
        <v>4767361.6142763849</v>
      </c>
      <c r="E156" s="1071">
        <f t="shared" si="63"/>
        <v>6199423.0797258299</v>
      </c>
      <c r="F156" s="1071">
        <f t="shared" si="63"/>
        <v>7776512.2883688379</v>
      </c>
      <c r="G156" s="1071">
        <f t="shared" si="63"/>
        <v>10878473.202851132</v>
      </c>
      <c r="H156" s="1071">
        <f t="shared" si="63"/>
        <v>14327628.849990077</v>
      </c>
      <c r="I156" s="1071">
        <f t="shared" si="63"/>
        <v>15167441.982755786</v>
      </c>
      <c r="J156" s="1071">
        <f t="shared" si="63"/>
        <v>16132881.189767389</v>
      </c>
      <c r="K156" s="1071">
        <f t="shared" si="63"/>
        <v>17243306.697892297</v>
      </c>
      <c r="L156" s="1071">
        <f t="shared" si="63"/>
        <v>18521372.223819938</v>
      </c>
    </row>
    <row r="157" spans="1:13" hidden="1">
      <c r="A157" s="166" t="s">
        <v>243</v>
      </c>
      <c r="B157" s="456">
        <f>B68*B75*12/1000</f>
        <v>0</v>
      </c>
      <c r="C157" s="1071">
        <f t="shared" ref="C157:L157" si="64">C68*C75*12/1000</f>
        <v>343943.6258626334</v>
      </c>
      <c r="D157" s="1071">
        <f t="shared" si="64"/>
        <v>719216.46568947576</v>
      </c>
      <c r="E157" s="1071">
        <f t="shared" si="64"/>
        <v>946135.99278084177</v>
      </c>
      <c r="F157" s="1071">
        <f t="shared" si="64"/>
        <v>1201073.2997579118</v>
      </c>
      <c r="G157" s="1071">
        <f t="shared" si="64"/>
        <v>1700986.0047855831</v>
      </c>
      <c r="H157" s="1071">
        <f t="shared" si="64"/>
        <v>2269024.976784029</v>
      </c>
      <c r="I157" s="1071">
        <f t="shared" si="64"/>
        <v>2433832.4301477894</v>
      </c>
      <c r="J157" s="1071">
        <f t="shared" si="64"/>
        <v>2623835.8244984024</v>
      </c>
      <c r="K157" s="1071">
        <f t="shared" si="64"/>
        <v>2842866.9665927733</v>
      </c>
      <c r="L157" s="1071">
        <f t="shared" si="64"/>
        <v>3095541.3612648463</v>
      </c>
      <c r="M157" s="929" t="s">
        <v>247</v>
      </c>
    </row>
    <row r="158" spans="1:13" hidden="1">
      <c r="A158" s="166" t="s">
        <v>1133</v>
      </c>
      <c r="B158" s="456">
        <f>B69*B75*12/1000</f>
        <v>0</v>
      </c>
      <c r="C158" s="1071">
        <f t="shared" ref="C158:L158" si="65">C69*C75*12/1000</f>
        <v>171971.8129313167</v>
      </c>
      <c r="D158" s="1071">
        <f t="shared" si="65"/>
        <v>359608.23284473788</v>
      </c>
      <c r="E158" s="1071">
        <f t="shared" si="65"/>
        <v>473067.99639042089</v>
      </c>
      <c r="F158" s="1071">
        <f t="shared" si="65"/>
        <v>600536.64987895591</v>
      </c>
      <c r="G158" s="1071">
        <f t="shared" si="65"/>
        <v>850493.00239279156</v>
      </c>
      <c r="H158" s="1071">
        <f t="shared" si="65"/>
        <v>1134512.4883920145</v>
      </c>
      <c r="I158" s="1071">
        <f t="shared" si="65"/>
        <v>1216916.2150738947</v>
      </c>
      <c r="J158" s="1071">
        <f t="shared" si="65"/>
        <v>1311917.9122492012</v>
      </c>
      <c r="K158" s="1071">
        <f t="shared" si="65"/>
        <v>1421433.4832963867</v>
      </c>
      <c r="L158" s="1071">
        <f t="shared" si="65"/>
        <v>1547770.6806324231</v>
      </c>
    </row>
    <row r="159" spans="1:13" hidden="1">
      <c r="A159" s="166" t="s">
        <v>244</v>
      </c>
      <c r="B159" s="456">
        <f>B106*12/1000</f>
        <v>0</v>
      </c>
      <c r="C159" s="1071">
        <f t="shared" ref="C159:L159" si="66">C106*12/1000</f>
        <v>898358.01754303428</v>
      </c>
      <c r="D159" s="1071">
        <f t="shared" si="66"/>
        <v>1796463.8043295003</v>
      </c>
      <c r="E159" s="1071">
        <f t="shared" si="66"/>
        <v>2238660.4033104707</v>
      </c>
      <c r="F159" s="1071">
        <f t="shared" si="66"/>
        <v>2671388.4023694349</v>
      </c>
      <c r="G159" s="1071">
        <f t="shared" si="66"/>
        <v>3537642.4967084955</v>
      </c>
      <c r="H159" s="1071">
        <f t="shared" si="66"/>
        <v>4386077.9019437972</v>
      </c>
      <c r="I159" s="1071">
        <f t="shared" si="66"/>
        <v>4356192.6532961465</v>
      </c>
      <c r="J159" s="1071">
        <f t="shared" si="66"/>
        <v>4331379.0608045962</v>
      </c>
      <c r="K159" s="1071">
        <f t="shared" si="66"/>
        <v>4310705.7302052993</v>
      </c>
      <c r="L159" s="1071">
        <f t="shared" si="66"/>
        <v>4293310.1605950315</v>
      </c>
    </row>
    <row r="160" spans="1:13" hidden="1">
      <c r="A160" s="40" t="s">
        <v>760</v>
      </c>
      <c r="B160" s="455">
        <f>SUM(B156:B159)</f>
        <v>0</v>
      </c>
      <c r="C160" s="1074">
        <f t="shared" ref="C160:L160" si="67">SUM(C156:C159)</f>
        <v>3421637.1936396682</v>
      </c>
      <c r="D160" s="1074">
        <f t="shared" si="67"/>
        <v>7642650.1171400994</v>
      </c>
      <c r="E160" s="1074">
        <f t="shared" si="67"/>
        <v>9857287.472207563</v>
      </c>
      <c r="F160" s="1074">
        <f t="shared" si="67"/>
        <v>12249510.640375141</v>
      </c>
      <c r="G160" s="1074">
        <f t="shared" si="67"/>
        <v>16967594.706738003</v>
      </c>
      <c r="H160" s="1074">
        <f t="shared" si="67"/>
        <v>22117244.217109919</v>
      </c>
      <c r="I160" s="1074">
        <f t="shared" si="67"/>
        <v>23174383.281273618</v>
      </c>
      <c r="J160" s="1074">
        <f t="shared" si="67"/>
        <v>24400013.987319589</v>
      </c>
      <c r="K160" s="1074">
        <f t="shared" si="67"/>
        <v>25818312.877986759</v>
      </c>
      <c r="L160" s="1074">
        <f t="shared" si="67"/>
        <v>27457994.426312238</v>
      </c>
    </row>
    <row r="161" spans="1:13" hidden="1">
      <c r="A161" s="40"/>
      <c r="B161" s="40"/>
      <c r="C161" s="40"/>
      <c r="D161" s="40"/>
      <c r="E161" s="40"/>
      <c r="F161" s="40"/>
      <c r="G161" s="40"/>
      <c r="H161" s="40"/>
      <c r="I161" s="40"/>
      <c r="J161" s="40"/>
      <c r="K161" s="40"/>
      <c r="L161" s="40"/>
    </row>
    <row r="162" spans="1:13" hidden="1">
      <c r="A162" s="40" t="s">
        <v>477</v>
      </c>
      <c r="B162" s="40"/>
      <c r="C162" s="40"/>
      <c r="D162" s="40"/>
      <c r="E162" s="40"/>
      <c r="F162" s="40"/>
      <c r="G162" s="40"/>
      <c r="H162" s="40"/>
      <c r="I162" s="40"/>
      <c r="J162" s="40"/>
      <c r="K162" s="40"/>
      <c r="L162" s="40"/>
    </row>
    <row r="163" spans="1:13" ht="30" hidden="1">
      <c r="A163" s="40" t="s">
        <v>486</v>
      </c>
      <c r="B163" s="40">
        <v>0.15</v>
      </c>
      <c r="C163" s="40">
        <v>0.15</v>
      </c>
      <c r="D163" s="40">
        <v>0.15</v>
      </c>
      <c r="E163" s="40">
        <v>0.15</v>
      </c>
      <c r="F163" s="40">
        <v>0.15</v>
      </c>
      <c r="G163" s="40">
        <v>0.15</v>
      </c>
      <c r="H163" s="40">
        <v>0.15</v>
      </c>
      <c r="I163" s="40">
        <v>0.15</v>
      </c>
      <c r="J163" s="40">
        <v>0.15</v>
      </c>
      <c r="K163" s="40">
        <v>0.15</v>
      </c>
      <c r="L163" s="40">
        <v>0.15</v>
      </c>
    </row>
    <row r="164" spans="1:13" hidden="1">
      <c r="A164" s="172" t="s">
        <v>245</v>
      </c>
      <c r="B164" s="172"/>
      <c r="C164" s="172"/>
      <c r="D164" s="172"/>
      <c r="E164" s="172"/>
      <c r="F164" s="172"/>
      <c r="G164" s="172"/>
      <c r="H164" s="172"/>
      <c r="I164" s="172"/>
      <c r="J164" s="172"/>
      <c r="K164" s="172"/>
      <c r="L164" s="172"/>
      <c r="M164" s="933"/>
    </row>
    <row r="165" spans="1:13" hidden="1">
      <c r="A165" s="40" t="s">
        <v>1061</v>
      </c>
      <c r="B165" s="40"/>
      <c r="C165" s="40"/>
      <c r="D165" s="40"/>
      <c r="E165" s="40"/>
      <c r="F165" s="40"/>
      <c r="G165" s="40"/>
      <c r="H165" s="40"/>
      <c r="I165" s="40"/>
      <c r="J165" s="40"/>
      <c r="K165" s="40"/>
      <c r="L165" s="40"/>
    </row>
    <row r="166" spans="1:13" hidden="1">
      <c r="A166" s="166" t="s">
        <v>242</v>
      </c>
      <c r="B166" s="456">
        <f>B156*(1+B$163)</f>
        <v>0</v>
      </c>
      <c r="C166" s="1071">
        <f t="shared" ref="C166:L166" si="68">C156*(1+C$163)</f>
        <v>2308468.2978980858</v>
      </c>
      <c r="D166" s="1071">
        <f t="shared" si="68"/>
        <v>5482465.8564178422</v>
      </c>
      <c r="E166" s="1071">
        <f t="shared" si="68"/>
        <v>7129336.5416847039</v>
      </c>
      <c r="F166" s="1071">
        <f t="shared" si="68"/>
        <v>8942989.1316241622</v>
      </c>
      <c r="G166" s="1071">
        <f t="shared" si="68"/>
        <v>12510244.183278801</v>
      </c>
      <c r="H166" s="1071">
        <f t="shared" si="68"/>
        <v>16476773.177488588</v>
      </c>
      <c r="I166" s="1071">
        <f t="shared" si="68"/>
        <v>17442558.280169152</v>
      </c>
      <c r="J166" s="1071">
        <f t="shared" si="68"/>
        <v>18552813.368232496</v>
      </c>
      <c r="K166" s="1071">
        <f t="shared" si="68"/>
        <v>19829802.702576142</v>
      </c>
      <c r="L166" s="1071">
        <f t="shared" si="68"/>
        <v>21299578.057392925</v>
      </c>
    </row>
    <row r="167" spans="1:13" hidden="1">
      <c r="A167" s="166" t="s">
        <v>243</v>
      </c>
      <c r="B167" s="456">
        <f t="shared" ref="B167:L169" si="69">B157*(1+B$163)</f>
        <v>0</v>
      </c>
      <c r="C167" s="1071">
        <f t="shared" si="69"/>
        <v>395535.1697420284</v>
      </c>
      <c r="D167" s="1071">
        <f t="shared" si="69"/>
        <v>827098.93554289709</v>
      </c>
      <c r="E167" s="1071">
        <f t="shared" si="69"/>
        <v>1088056.3916979679</v>
      </c>
      <c r="F167" s="1071">
        <f t="shared" si="69"/>
        <v>1381234.2947215985</v>
      </c>
      <c r="G167" s="1071">
        <f t="shared" si="69"/>
        <v>1956133.9055034204</v>
      </c>
      <c r="H167" s="1071">
        <f t="shared" si="69"/>
        <v>2609378.7233016333</v>
      </c>
      <c r="I167" s="1071">
        <f t="shared" si="69"/>
        <v>2798907.2946699578</v>
      </c>
      <c r="J167" s="1071">
        <f t="shared" si="69"/>
        <v>3017411.1981731625</v>
      </c>
      <c r="K167" s="1071">
        <f t="shared" si="69"/>
        <v>3269297.0115816891</v>
      </c>
      <c r="L167" s="1071">
        <f t="shared" si="69"/>
        <v>3559872.5654545729</v>
      </c>
      <c r="M167" s="929" t="s">
        <v>247</v>
      </c>
    </row>
    <row r="168" spans="1:13" hidden="1">
      <c r="A168" s="166" t="s">
        <v>1133</v>
      </c>
      <c r="B168" s="456">
        <f t="shared" si="69"/>
        <v>0</v>
      </c>
      <c r="C168" s="1071">
        <f t="shared" si="69"/>
        <v>197767.5848710142</v>
      </c>
      <c r="D168" s="1071">
        <f t="shared" si="69"/>
        <v>413549.46777144854</v>
      </c>
      <c r="E168" s="1071">
        <f t="shared" si="69"/>
        <v>544028.19584898395</v>
      </c>
      <c r="F168" s="1071">
        <f t="shared" si="69"/>
        <v>690617.14736079925</v>
      </c>
      <c r="G168" s="1071">
        <f t="shared" si="69"/>
        <v>978066.9527517102</v>
      </c>
      <c r="H168" s="1071">
        <f t="shared" si="69"/>
        <v>1304689.3616508166</v>
      </c>
      <c r="I168" s="1071">
        <f t="shared" si="69"/>
        <v>1399453.6473349789</v>
      </c>
      <c r="J168" s="1071">
        <f t="shared" si="69"/>
        <v>1508705.5990865813</v>
      </c>
      <c r="K168" s="1071">
        <f t="shared" si="69"/>
        <v>1634648.5057908446</v>
      </c>
      <c r="L168" s="1071">
        <f t="shared" si="69"/>
        <v>1779936.2827272865</v>
      </c>
    </row>
    <row r="169" spans="1:13" hidden="1">
      <c r="A169" s="166" t="s">
        <v>244</v>
      </c>
      <c r="B169" s="456">
        <f t="shared" si="69"/>
        <v>0</v>
      </c>
      <c r="C169" s="1071">
        <f t="shared" si="69"/>
        <v>1033111.7201744893</v>
      </c>
      <c r="D169" s="1071">
        <f t="shared" si="69"/>
        <v>2065933.3749789251</v>
      </c>
      <c r="E169" s="1071">
        <f t="shared" si="69"/>
        <v>2574459.4638070413</v>
      </c>
      <c r="F169" s="1071">
        <f t="shared" si="69"/>
        <v>3072096.6627248498</v>
      </c>
      <c r="G169" s="1071">
        <f t="shared" si="69"/>
        <v>4068288.8712147698</v>
      </c>
      <c r="H169" s="1071">
        <f t="shared" si="69"/>
        <v>5043989.587235366</v>
      </c>
      <c r="I169" s="1071">
        <f t="shared" si="69"/>
        <v>5009621.551290568</v>
      </c>
      <c r="J169" s="1071">
        <f t="shared" si="69"/>
        <v>4981085.9199252855</v>
      </c>
      <c r="K169" s="1071">
        <f t="shared" si="69"/>
        <v>4957311.5897360938</v>
      </c>
      <c r="L169" s="1071">
        <f t="shared" si="69"/>
        <v>4937306.6846842859</v>
      </c>
    </row>
    <row r="170" spans="1:13" hidden="1">
      <c r="A170" s="40" t="s">
        <v>760</v>
      </c>
      <c r="B170" s="455">
        <f t="shared" ref="B170:L170" si="70">SUM(B166:B169)</f>
        <v>0</v>
      </c>
      <c r="C170" s="1074">
        <f t="shared" si="70"/>
        <v>3934882.7726856172</v>
      </c>
      <c r="D170" s="1074">
        <f t="shared" si="70"/>
        <v>8789047.6347111128</v>
      </c>
      <c r="E170" s="1074">
        <f t="shared" si="70"/>
        <v>11335880.593038697</v>
      </c>
      <c r="F170" s="1074">
        <f t="shared" si="70"/>
        <v>14086937.236431409</v>
      </c>
      <c r="G170" s="1074">
        <f t="shared" si="70"/>
        <v>19512733.912748702</v>
      </c>
      <c r="H170" s="1074">
        <f t="shared" si="70"/>
        <v>25434830.849676404</v>
      </c>
      <c r="I170" s="1074">
        <f t="shared" si="70"/>
        <v>26650540.773464654</v>
      </c>
      <c r="J170" s="1074">
        <f t="shared" si="70"/>
        <v>28060016.085417524</v>
      </c>
      <c r="K170" s="1074">
        <f t="shared" si="70"/>
        <v>29691059.809684768</v>
      </c>
      <c r="L170" s="1074">
        <f t="shared" si="70"/>
        <v>31576693.590259068</v>
      </c>
    </row>
    <row r="171" spans="1:13" hidden="1">
      <c r="A171" s="40"/>
      <c r="B171" s="455"/>
      <c r="C171" s="455"/>
      <c r="D171" s="455"/>
      <c r="E171" s="455"/>
      <c r="F171" s="455"/>
      <c r="G171" s="455"/>
      <c r="H171" s="455"/>
      <c r="I171" s="455"/>
      <c r="J171" s="455"/>
      <c r="K171" s="455"/>
      <c r="L171" s="455"/>
    </row>
    <row r="172" spans="1:13" ht="30" hidden="1">
      <c r="A172" s="40" t="s">
        <v>246</v>
      </c>
      <c r="B172" s="455"/>
      <c r="C172" s="455"/>
      <c r="D172" s="455"/>
      <c r="E172" s="455"/>
      <c r="F172" s="455"/>
      <c r="G172" s="455"/>
      <c r="H172" s="455"/>
      <c r="I172" s="455"/>
      <c r="J172" s="455"/>
      <c r="K172" s="455"/>
      <c r="L172" s="455"/>
    </row>
    <row r="173" spans="1:13" hidden="1">
      <c r="A173" s="40" t="s">
        <v>1061</v>
      </c>
      <c r="B173" s="455"/>
      <c r="C173" s="455"/>
      <c r="D173" s="455"/>
      <c r="E173" s="455"/>
      <c r="F173" s="455"/>
      <c r="G173" s="455"/>
      <c r="H173" s="455"/>
      <c r="I173" s="455"/>
      <c r="J173" s="455"/>
      <c r="K173" s="455"/>
      <c r="L173" s="455"/>
    </row>
    <row r="174" spans="1:13" hidden="1">
      <c r="A174" s="40"/>
      <c r="B174" s="455">
        <v>2010</v>
      </c>
      <c r="C174" s="455">
        <v>2011</v>
      </c>
      <c r="D174" s="455">
        <v>2012</v>
      </c>
      <c r="E174" s="455">
        <v>2013</v>
      </c>
      <c r="F174" s="455">
        <v>2014</v>
      </c>
      <c r="G174" s="455">
        <v>2015</v>
      </c>
      <c r="H174" s="455">
        <v>2016</v>
      </c>
      <c r="I174" s="455">
        <v>2017</v>
      </c>
      <c r="J174" s="455">
        <v>2018</v>
      </c>
      <c r="K174" s="455">
        <v>2019</v>
      </c>
      <c r="L174" s="455">
        <v>2020</v>
      </c>
    </row>
    <row r="175" spans="1:13" hidden="1">
      <c r="A175" s="166" t="s">
        <v>242</v>
      </c>
      <c r="B175" s="460">
        <f>B166/B$8*100</f>
        <v>0</v>
      </c>
      <c r="C175" s="460">
        <f t="shared" ref="C175:L175" si="71">C166/C$8*100</f>
        <v>9.5876153993336877E-2</v>
      </c>
      <c r="D175" s="460">
        <f t="shared" si="71"/>
        <v>0.1990494697355473</v>
      </c>
      <c r="E175" s="460">
        <f t="shared" si="71"/>
        <v>0.22540611946201874</v>
      </c>
      <c r="F175" s="460">
        <f t="shared" si="71"/>
        <v>0.24689124019301811</v>
      </c>
      <c r="G175" s="460">
        <f t="shared" si="71"/>
        <v>0.3029622400360813</v>
      </c>
      <c r="H175" s="460">
        <f t="shared" si="71"/>
        <v>0.35145920124823077</v>
      </c>
      <c r="I175" s="460">
        <f t="shared" si="71"/>
        <v>0.32829150475242613</v>
      </c>
      <c r="J175" s="460">
        <f t="shared" si="71"/>
        <v>0.30811191748447508</v>
      </c>
      <c r="K175" s="460">
        <f t="shared" si="71"/>
        <v>0.29048739030264492</v>
      </c>
      <c r="L175" s="460">
        <f t="shared" si="71"/>
        <v>0.27513402513458024</v>
      </c>
    </row>
    <row r="176" spans="1:13" hidden="1">
      <c r="A176" s="166" t="s">
        <v>243</v>
      </c>
      <c r="B176" s="460">
        <f t="shared" ref="B176:L178" si="72">B167/B$8*100</f>
        <v>0</v>
      </c>
      <c r="C176" s="460">
        <f t="shared" si="72"/>
        <v>1.6427512077379004E-2</v>
      </c>
      <c r="D176" s="460">
        <f t="shared" si="72"/>
        <v>3.0029116249931067E-2</v>
      </c>
      <c r="E176" s="460">
        <f t="shared" si="72"/>
        <v>3.4400756308037905E-2</v>
      </c>
      <c r="F176" s="460">
        <f t="shared" si="72"/>
        <v>3.8132065576938871E-2</v>
      </c>
      <c r="G176" s="460">
        <f t="shared" si="72"/>
        <v>4.7371953827564796E-2</v>
      </c>
      <c r="H176" s="460">
        <f t="shared" si="72"/>
        <v>5.5659573143769181E-2</v>
      </c>
      <c r="I176" s="460">
        <f t="shared" si="72"/>
        <v>5.2679055025684679E-2</v>
      </c>
      <c r="J176" s="460">
        <f t="shared" si="72"/>
        <v>5.01110172164057E-2</v>
      </c>
      <c r="K176" s="460">
        <f t="shared" si="72"/>
        <v>4.7892032576563361E-2</v>
      </c>
      <c r="L176" s="460">
        <f t="shared" si="72"/>
        <v>4.5984106598756028E-2</v>
      </c>
    </row>
    <row r="177" spans="1:13" hidden="1">
      <c r="A177" s="166" t="s">
        <v>1133</v>
      </c>
      <c r="B177" s="460">
        <f t="shared" si="72"/>
        <v>0</v>
      </c>
      <c r="C177" s="460">
        <f t="shared" si="72"/>
        <v>8.2137560386895021E-3</v>
      </c>
      <c r="D177" s="460">
        <f t="shared" si="72"/>
        <v>1.5014558124965533E-2</v>
      </c>
      <c r="E177" s="460">
        <f t="shared" si="72"/>
        <v>1.7200378154018953E-2</v>
      </c>
      <c r="F177" s="460">
        <f t="shared" si="72"/>
        <v>1.9066032788469436E-2</v>
      </c>
      <c r="G177" s="460">
        <f t="shared" si="72"/>
        <v>2.3685976913782398E-2</v>
      </c>
      <c r="H177" s="460">
        <f t="shared" si="72"/>
        <v>2.782978657188459E-2</v>
      </c>
      <c r="I177" s="460">
        <f t="shared" si="72"/>
        <v>2.633952751284234E-2</v>
      </c>
      <c r="J177" s="460">
        <f t="shared" si="72"/>
        <v>2.505550860820285E-2</v>
      </c>
      <c r="K177" s="460">
        <f t="shared" si="72"/>
        <v>2.394601628828168E-2</v>
      </c>
      <c r="L177" s="460">
        <f t="shared" si="72"/>
        <v>2.2992053299378014E-2</v>
      </c>
    </row>
    <row r="178" spans="1:13" hidden="1">
      <c r="A178" s="166" t="s">
        <v>244</v>
      </c>
      <c r="B178" s="460">
        <f t="shared" si="72"/>
        <v>0</v>
      </c>
      <c r="C178" s="460">
        <f t="shared" si="72"/>
        <v>4.2907575757465913E-2</v>
      </c>
      <c r="D178" s="460">
        <f t="shared" si="72"/>
        <v>7.5006931838370122E-2</v>
      </c>
      <c r="E178" s="460">
        <f t="shared" si="72"/>
        <v>8.1395921493683146E-2</v>
      </c>
      <c r="F178" s="460">
        <f t="shared" si="72"/>
        <v>8.4812107438536219E-2</v>
      </c>
      <c r="G178" s="460">
        <f t="shared" si="72"/>
        <v>9.8522290331031132E-2</v>
      </c>
      <c r="H178" s="460">
        <f t="shared" si="72"/>
        <v>0.1075912457092124</v>
      </c>
      <c r="I178" s="460">
        <f t="shared" si="72"/>
        <v>9.4287556383467336E-2</v>
      </c>
      <c r="J178" s="460">
        <f t="shared" si="72"/>
        <v>8.2722329141249398E-2</v>
      </c>
      <c r="K178" s="460">
        <f t="shared" si="72"/>
        <v>7.2619810101913665E-2</v>
      </c>
      <c r="L178" s="460">
        <f t="shared" si="72"/>
        <v>6.3776900078523352E-2</v>
      </c>
    </row>
    <row r="179" spans="1:13" hidden="1">
      <c r="A179" s="171" t="s">
        <v>760</v>
      </c>
      <c r="B179" s="461">
        <f t="shared" ref="B179:L179" si="73">SUM(B175:B178)</f>
        <v>0</v>
      </c>
      <c r="C179" s="461">
        <f t="shared" si="73"/>
        <v>0.16342499786687129</v>
      </c>
      <c r="D179" s="461">
        <f t="shared" si="73"/>
        <v>0.31910007594881401</v>
      </c>
      <c r="E179" s="461">
        <f t="shared" si="73"/>
        <v>0.35840317541775879</v>
      </c>
      <c r="F179" s="461">
        <f t="shared" si="73"/>
        <v>0.38890144599696264</v>
      </c>
      <c r="G179" s="461">
        <f t="shared" si="73"/>
        <v>0.47254246110845965</v>
      </c>
      <c r="H179" s="461">
        <f t="shared" si="73"/>
        <v>0.54253980667309698</v>
      </c>
      <c r="I179" s="461">
        <f t="shared" si="73"/>
        <v>0.5015976436744205</v>
      </c>
      <c r="J179" s="461">
        <f t="shared" si="73"/>
        <v>0.466000772450333</v>
      </c>
      <c r="K179" s="461">
        <f t="shared" si="73"/>
        <v>0.43494524926940364</v>
      </c>
      <c r="L179" s="461">
        <f t="shared" si="73"/>
        <v>0.40788708511123761</v>
      </c>
    </row>
    <row r="180" spans="1:13" ht="30" hidden="1">
      <c r="A180" s="1404" t="s">
        <v>252</v>
      </c>
      <c r="B180" s="462"/>
      <c r="C180" s="462"/>
      <c r="D180" s="462"/>
      <c r="E180" s="462"/>
      <c r="F180" s="462"/>
      <c r="G180" s="462"/>
      <c r="H180" s="462"/>
      <c r="I180" s="462"/>
      <c r="J180" s="462"/>
      <c r="K180" s="462"/>
      <c r="L180" s="462"/>
    </row>
    <row r="181" spans="1:13" hidden="1">
      <c r="A181" s="1404" t="s">
        <v>1061</v>
      </c>
      <c r="B181" s="462"/>
      <c r="C181" s="462"/>
      <c r="D181" s="462"/>
      <c r="E181" s="462"/>
      <c r="F181" s="462"/>
      <c r="G181" s="462"/>
      <c r="H181" s="462"/>
      <c r="I181" s="462"/>
      <c r="J181" s="462"/>
      <c r="K181" s="462"/>
      <c r="L181" s="462"/>
    </row>
    <row r="182" spans="1:13" hidden="1">
      <c r="A182" s="1405"/>
      <c r="B182" s="455">
        <v>2010</v>
      </c>
      <c r="C182" s="455">
        <v>2011</v>
      </c>
      <c r="D182" s="455">
        <v>2012</v>
      </c>
      <c r="E182" s="455">
        <v>2013</v>
      </c>
      <c r="F182" s="455">
        <v>2014</v>
      </c>
      <c r="G182" s="455">
        <v>2015</v>
      </c>
      <c r="H182" s="455">
        <v>2016</v>
      </c>
      <c r="I182" s="455">
        <v>2017</v>
      </c>
      <c r="J182" s="455">
        <v>2018</v>
      </c>
      <c r="K182" s="455">
        <v>2019</v>
      </c>
      <c r="L182" s="455">
        <v>2020</v>
      </c>
    </row>
    <row r="183" spans="1:13" hidden="1">
      <c r="A183" s="1406" t="s">
        <v>242</v>
      </c>
      <c r="B183" s="460">
        <f>B166/B$9*100</f>
        <v>0</v>
      </c>
      <c r="C183" s="460">
        <f t="shared" ref="C183:L183" si="74">C166/C$9*100</f>
        <v>0.30223363200427461</v>
      </c>
      <c r="D183" s="460">
        <f t="shared" si="74"/>
        <v>0.6248728002058872</v>
      </c>
      <c r="E183" s="460">
        <f t="shared" si="74"/>
        <v>0.71123450577193292</v>
      </c>
      <c r="F183" s="460">
        <f t="shared" si="74"/>
        <v>0.78126795400552795</v>
      </c>
      <c r="G183" s="460">
        <f t="shared" si="74"/>
        <v>0.96169681006630714</v>
      </c>
      <c r="H183" s="460">
        <f t="shared" si="74"/>
        <v>1.1209486541413489</v>
      </c>
      <c r="I183" s="460">
        <f t="shared" si="74"/>
        <v>1.049673200466287</v>
      </c>
      <c r="J183" s="460">
        <f t="shared" si="74"/>
        <v>0.98999594648989486</v>
      </c>
      <c r="K183" s="460">
        <f t="shared" si="74"/>
        <v>0.93775487396903467</v>
      </c>
      <c r="L183" s="460">
        <f t="shared" si="74"/>
        <v>0.89231490704278216</v>
      </c>
    </row>
    <row r="184" spans="1:13" hidden="1">
      <c r="A184" s="1406" t="s">
        <v>243</v>
      </c>
      <c r="B184" s="460">
        <f t="shared" ref="B184:L186" si="75">B167/B$9*100</f>
        <v>0</v>
      </c>
      <c r="C184" s="460">
        <f t="shared" si="75"/>
        <v>5.1785000056274594E-2</v>
      </c>
      <c r="D184" s="460">
        <f t="shared" si="75"/>
        <v>9.4269921862803613E-2</v>
      </c>
      <c r="E184" s="460">
        <f t="shared" si="75"/>
        <v>0.10854632061154297</v>
      </c>
      <c r="F184" s="460">
        <f t="shared" si="75"/>
        <v>0.12066592898155859</v>
      </c>
      <c r="G184" s="460">
        <f t="shared" si="75"/>
        <v>0.15037338275935569</v>
      </c>
      <c r="H184" s="460">
        <f t="shared" si="75"/>
        <v>0.17752138337537438</v>
      </c>
      <c r="I184" s="460">
        <f t="shared" si="75"/>
        <v>0.16843503863449097</v>
      </c>
      <c r="J184" s="460">
        <f t="shared" si="75"/>
        <v>0.16101196060105882</v>
      </c>
      <c r="K184" s="460">
        <f t="shared" si="75"/>
        <v>0.15460563340173034</v>
      </c>
      <c r="L184" s="460">
        <f t="shared" si="75"/>
        <v>0.14913569408597738</v>
      </c>
    </row>
    <row r="185" spans="1:13" hidden="1">
      <c r="A185" s="1406" t="s">
        <v>1133</v>
      </c>
      <c r="B185" s="460">
        <f t="shared" si="75"/>
        <v>0</v>
      </c>
      <c r="C185" s="460">
        <f t="shared" si="75"/>
        <v>2.5892500028137297E-2</v>
      </c>
      <c r="D185" s="460">
        <f t="shared" si="75"/>
        <v>4.7134960931401806E-2</v>
      </c>
      <c r="E185" s="460">
        <f t="shared" si="75"/>
        <v>5.4273160305771485E-2</v>
      </c>
      <c r="F185" s="460">
        <f t="shared" si="75"/>
        <v>6.0332964490779295E-2</v>
      </c>
      <c r="G185" s="460">
        <f t="shared" si="75"/>
        <v>7.5186691379677845E-2</v>
      </c>
      <c r="H185" s="460">
        <f t="shared" si="75"/>
        <v>8.8760691687687188E-2</v>
      </c>
      <c r="I185" s="460">
        <f t="shared" si="75"/>
        <v>8.4217519317245484E-2</v>
      </c>
      <c r="J185" s="460">
        <f t="shared" si="75"/>
        <v>8.0505980300529412E-2</v>
      </c>
      <c r="K185" s="460">
        <f t="shared" si="75"/>
        <v>7.7302816700865168E-2</v>
      </c>
      <c r="L185" s="460">
        <f t="shared" si="75"/>
        <v>7.4567847042988689E-2</v>
      </c>
    </row>
    <row r="186" spans="1:13" hidden="1">
      <c r="A186" s="1406" t="s">
        <v>244</v>
      </c>
      <c r="B186" s="460">
        <f t="shared" si="75"/>
        <v>0</v>
      </c>
      <c r="C186" s="460">
        <f t="shared" si="75"/>
        <v>0.13525899737883451</v>
      </c>
      <c r="D186" s="460">
        <f t="shared" si="75"/>
        <v>0.23546805522750006</v>
      </c>
      <c r="E186" s="460">
        <f t="shared" si="75"/>
        <v>0.25683237053892677</v>
      </c>
      <c r="F186" s="460">
        <f t="shared" si="75"/>
        <v>0.26838125808594815</v>
      </c>
      <c r="G186" s="460">
        <f t="shared" si="75"/>
        <v>0.31274053268319879</v>
      </c>
      <c r="H186" s="460">
        <f t="shared" si="75"/>
        <v>0.34315295103044319</v>
      </c>
      <c r="I186" s="460">
        <f t="shared" si="75"/>
        <v>0.30147329321791783</v>
      </c>
      <c r="J186" s="460">
        <f t="shared" si="75"/>
        <v>0.265795530411985</v>
      </c>
      <c r="K186" s="460">
        <f t="shared" si="75"/>
        <v>0.23443214109509394</v>
      </c>
      <c r="L186" s="460">
        <f t="shared" si="75"/>
        <v>0.20684129720854272</v>
      </c>
    </row>
    <row r="187" spans="1:13" hidden="1">
      <c r="A187" s="171" t="s">
        <v>760</v>
      </c>
      <c r="B187" s="461">
        <f>SUM(B183:B186)</f>
        <v>0</v>
      </c>
      <c r="C187" s="461">
        <f t="shared" ref="C187:L187" si="76">SUM(C183:C186)</f>
        <v>0.51517012946752105</v>
      </c>
      <c r="D187" s="461">
        <f t="shared" si="76"/>
        <v>1.0017457382275927</v>
      </c>
      <c r="E187" s="461">
        <f t="shared" si="76"/>
        <v>1.1308863572281742</v>
      </c>
      <c r="F187" s="461">
        <f t="shared" si="76"/>
        <v>1.2306481055638141</v>
      </c>
      <c r="G187" s="461">
        <f t="shared" si="76"/>
        <v>1.4999974168885397</v>
      </c>
      <c r="H187" s="461">
        <f t="shared" si="76"/>
        <v>1.7303836802348536</v>
      </c>
      <c r="I187" s="461">
        <f t="shared" si="76"/>
        <v>1.6037990516359413</v>
      </c>
      <c r="J187" s="461">
        <f t="shared" si="76"/>
        <v>1.4973094178034683</v>
      </c>
      <c r="K187" s="461">
        <f t="shared" si="76"/>
        <v>1.4040954651667241</v>
      </c>
      <c r="L187" s="461">
        <f t="shared" si="76"/>
        <v>1.3228597453802908</v>
      </c>
    </row>
    <row r="188" spans="1:13" hidden="1">
      <c r="A188" s="173"/>
      <c r="B188" s="173"/>
      <c r="C188" s="173"/>
      <c r="D188" s="173"/>
      <c r="E188" s="173"/>
      <c r="F188" s="173"/>
      <c r="G188" s="173"/>
      <c r="H188" s="173"/>
      <c r="I188" s="173"/>
      <c r="J188" s="173"/>
      <c r="K188" s="173"/>
      <c r="L188" s="173"/>
      <c r="M188" s="932"/>
    </row>
    <row r="189" spans="1:13" ht="45">
      <c r="A189" s="170" t="s">
        <v>236</v>
      </c>
      <c r="B189" s="463"/>
      <c r="C189" s="464"/>
      <c r="D189" s="464"/>
      <c r="E189" s="464"/>
      <c r="F189" s="464"/>
      <c r="G189" s="464"/>
      <c r="H189" s="464"/>
      <c r="I189" s="464"/>
      <c r="J189" s="464"/>
      <c r="K189" s="464"/>
      <c r="L189" s="464"/>
    </row>
    <row r="190" spans="1:13">
      <c r="A190" s="1403" t="s">
        <v>245</v>
      </c>
      <c r="B190" s="172"/>
      <c r="C190" s="172"/>
      <c r="D190" s="172"/>
      <c r="E190" s="172"/>
      <c r="F190" s="172"/>
      <c r="G190" s="172"/>
      <c r="H190" s="172"/>
      <c r="I190" s="172"/>
      <c r="J190" s="172"/>
      <c r="K190" s="172"/>
      <c r="L190" s="172"/>
      <c r="M190" s="933"/>
    </row>
    <row r="191" spans="1:13">
      <c r="A191" s="1392" t="s">
        <v>288</v>
      </c>
      <c r="B191" s="40"/>
      <c r="C191" s="40"/>
      <c r="D191" s="40"/>
      <c r="E191" s="40"/>
      <c r="F191" s="40"/>
      <c r="G191" s="40"/>
      <c r="H191" s="40"/>
      <c r="I191" s="40"/>
      <c r="J191" s="40"/>
      <c r="K191" s="40"/>
      <c r="L191" s="40"/>
    </row>
    <row r="192" spans="1:13">
      <c r="A192" s="1402" t="s">
        <v>242</v>
      </c>
      <c r="B192" s="456">
        <f>B90*12/1000</f>
        <v>0</v>
      </c>
      <c r="C192" s="1071">
        <f t="shared" ref="C192:L192" si="77">C90*12/1000</f>
        <v>3065200.4398254701</v>
      </c>
      <c r="D192" s="1071">
        <f t="shared" si="77"/>
        <v>7447637.1151937256</v>
      </c>
      <c r="E192" s="1071">
        <f t="shared" si="77"/>
        <v>9908303.3765267078</v>
      </c>
      <c r="F192" s="1071">
        <f t="shared" si="77"/>
        <v>12715706.344825249</v>
      </c>
      <c r="G192" s="1071">
        <f t="shared" si="77"/>
        <v>18198315.119942043</v>
      </c>
      <c r="H192" s="1071">
        <f t="shared" si="77"/>
        <v>24521394.536724918</v>
      </c>
      <c r="I192" s="1071">
        <f t="shared" si="77"/>
        <v>26557720.258915961</v>
      </c>
      <c r="J192" s="1071">
        <f t="shared" si="77"/>
        <v>28900009.969722964</v>
      </c>
      <c r="K192" s="1071">
        <f t="shared" si="77"/>
        <v>31601974.436398726</v>
      </c>
      <c r="L192" s="1071">
        <f t="shared" si="77"/>
        <v>34727572.919662386</v>
      </c>
    </row>
    <row r="193" spans="1:18">
      <c r="A193" s="1402" t="s">
        <v>243</v>
      </c>
      <c r="B193" s="456">
        <f>B68*B75*12/1000</f>
        <v>0</v>
      </c>
      <c r="C193" s="1071">
        <f t="shared" ref="C193:L193" si="78">C68*C75*12/1000</f>
        <v>343943.6258626334</v>
      </c>
      <c r="D193" s="1071">
        <f t="shared" si="78"/>
        <v>719216.46568947576</v>
      </c>
      <c r="E193" s="1071">
        <f t="shared" si="78"/>
        <v>946135.99278084177</v>
      </c>
      <c r="F193" s="1071">
        <f t="shared" si="78"/>
        <v>1201073.2997579118</v>
      </c>
      <c r="G193" s="1071">
        <f t="shared" si="78"/>
        <v>1700986.0047855831</v>
      </c>
      <c r="H193" s="1071">
        <f t="shared" si="78"/>
        <v>2269024.976784029</v>
      </c>
      <c r="I193" s="1071">
        <f t="shared" si="78"/>
        <v>2433832.4301477894</v>
      </c>
      <c r="J193" s="1071">
        <f t="shared" si="78"/>
        <v>2623835.8244984024</v>
      </c>
      <c r="K193" s="1071">
        <f t="shared" si="78"/>
        <v>2842866.9665927733</v>
      </c>
      <c r="L193" s="1071">
        <f t="shared" si="78"/>
        <v>3095541.3612648463</v>
      </c>
      <c r="M193" s="929" t="s">
        <v>247</v>
      </c>
    </row>
    <row r="194" spans="1:18">
      <c r="A194" s="1402" t="s">
        <v>1133</v>
      </c>
      <c r="B194" s="456">
        <f>B69*B75*12/1000</f>
        <v>0</v>
      </c>
      <c r="C194" s="1071">
        <f t="shared" ref="C194:L194" si="79">C69*C75*12/1000</f>
        <v>171971.8129313167</v>
      </c>
      <c r="D194" s="1071">
        <f t="shared" si="79"/>
        <v>359608.23284473788</v>
      </c>
      <c r="E194" s="1071">
        <f t="shared" si="79"/>
        <v>473067.99639042089</v>
      </c>
      <c r="F194" s="1071">
        <f t="shared" si="79"/>
        <v>600536.64987895591</v>
      </c>
      <c r="G194" s="1071">
        <f t="shared" si="79"/>
        <v>850493.00239279156</v>
      </c>
      <c r="H194" s="1071">
        <f t="shared" si="79"/>
        <v>1134512.4883920145</v>
      </c>
      <c r="I194" s="1071">
        <f t="shared" si="79"/>
        <v>1216916.2150738947</v>
      </c>
      <c r="J194" s="1071">
        <f t="shared" si="79"/>
        <v>1311917.9122492012</v>
      </c>
      <c r="K194" s="1071">
        <f t="shared" si="79"/>
        <v>1421433.4832963867</v>
      </c>
      <c r="L194" s="1071">
        <f t="shared" si="79"/>
        <v>1547770.6806324231</v>
      </c>
    </row>
    <row r="195" spans="1:18">
      <c r="A195" s="1402" t="s">
        <v>244</v>
      </c>
      <c r="B195" s="456">
        <f>B107*12/1000</f>
        <v>0</v>
      </c>
      <c r="C195" s="1071">
        <f t="shared" ref="C195:L195" si="80">C107*12/1000</f>
        <v>1371773.0072148019</v>
      </c>
      <c r="D195" s="1071">
        <f t="shared" si="80"/>
        <v>2806460.1739378008</v>
      </c>
      <c r="E195" s="1071">
        <f t="shared" si="80"/>
        <v>3577966.2313349894</v>
      </c>
      <c r="F195" s="1071">
        <f t="shared" si="80"/>
        <v>4368100.9169506105</v>
      </c>
      <c r="G195" s="1071">
        <f t="shared" si="80"/>
        <v>5918030.199304685</v>
      </c>
      <c r="H195" s="1071">
        <f t="shared" si="80"/>
        <v>7506667.5601698738</v>
      </c>
      <c r="I195" s="1071">
        <f t="shared" si="80"/>
        <v>7627558.1612057732</v>
      </c>
      <c r="J195" s="1071">
        <f t="shared" si="80"/>
        <v>7759116.0913834861</v>
      </c>
      <c r="K195" s="1071">
        <f t="shared" si="80"/>
        <v>7900271.9533740487</v>
      </c>
      <c r="L195" s="1071">
        <f t="shared" si="80"/>
        <v>8049956.5511156823</v>
      </c>
    </row>
    <row r="196" spans="1:18">
      <c r="A196" s="1392" t="s">
        <v>760</v>
      </c>
      <c r="B196" s="455">
        <f t="shared" ref="B196:L196" si="81">SUM(B192:B195)</f>
        <v>0</v>
      </c>
      <c r="C196" s="1074">
        <f t="shared" si="81"/>
        <v>4952888.8858342227</v>
      </c>
      <c r="D196" s="1074">
        <f t="shared" si="81"/>
        <v>11332921.987665741</v>
      </c>
      <c r="E196" s="1074">
        <f t="shared" si="81"/>
        <v>14905473.597032961</v>
      </c>
      <c r="F196" s="1074">
        <f t="shared" si="81"/>
        <v>18885417.211412728</v>
      </c>
      <c r="G196" s="1074">
        <f t="shared" si="81"/>
        <v>26667824.326425102</v>
      </c>
      <c r="H196" s="1074">
        <f t="shared" si="81"/>
        <v>35431599.562070832</v>
      </c>
      <c r="I196" s="1074">
        <f t="shared" si="81"/>
        <v>37836027.065343417</v>
      </c>
      <c r="J196" s="1074">
        <f t="shared" si="81"/>
        <v>40594879.797854051</v>
      </c>
      <c r="K196" s="1074">
        <f t="shared" si="81"/>
        <v>43766546.839661933</v>
      </c>
      <c r="L196" s="1074">
        <f t="shared" si="81"/>
        <v>47420841.512675337</v>
      </c>
    </row>
    <row r="197" spans="1:18">
      <c r="A197" s="1392"/>
      <c r="B197" s="40"/>
      <c r="C197" s="40"/>
      <c r="D197" s="40"/>
      <c r="E197" s="40"/>
      <c r="F197" s="40"/>
      <c r="G197" s="40"/>
      <c r="H197" s="40"/>
      <c r="I197" s="40"/>
      <c r="J197" s="40"/>
      <c r="K197" s="40"/>
      <c r="L197" s="40"/>
      <c r="N197" s="88"/>
      <c r="O197" s="88"/>
      <c r="P197" s="88"/>
      <c r="Q197" s="88"/>
      <c r="R197" s="88"/>
    </row>
    <row r="198" spans="1:18">
      <c r="A198" s="40" t="s">
        <v>477</v>
      </c>
      <c r="B198" s="40"/>
      <c r="C198" s="40"/>
      <c r="D198" s="40"/>
      <c r="E198" s="40"/>
      <c r="F198" s="40"/>
      <c r="G198" s="40"/>
      <c r="H198" s="40"/>
      <c r="I198" s="40"/>
      <c r="J198" s="40"/>
      <c r="K198" s="40"/>
      <c r="L198" s="40"/>
      <c r="N198" s="89"/>
      <c r="O198" s="89"/>
      <c r="P198" s="89"/>
      <c r="Q198" s="89"/>
      <c r="R198" s="90"/>
    </row>
    <row r="199" spans="1:18" ht="30">
      <c r="A199" s="40" t="s">
        <v>486</v>
      </c>
      <c r="B199" s="40">
        <v>0.15</v>
      </c>
      <c r="C199" s="40">
        <v>0.15</v>
      </c>
      <c r="D199" s="40">
        <v>0.15</v>
      </c>
      <c r="E199" s="40">
        <v>0.15</v>
      </c>
      <c r="F199" s="40">
        <v>0.15</v>
      </c>
      <c r="G199" s="40">
        <v>0.15</v>
      </c>
      <c r="H199" s="40">
        <v>0.15</v>
      </c>
      <c r="I199" s="40">
        <v>0.15</v>
      </c>
      <c r="J199" s="40">
        <v>0.15</v>
      </c>
      <c r="K199" s="40">
        <v>0.15</v>
      </c>
      <c r="L199" s="40">
        <v>0.15</v>
      </c>
      <c r="N199" s="89"/>
      <c r="O199" s="89"/>
      <c r="P199" s="89"/>
      <c r="Q199" s="89"/>
      <c r="R199" s="90"/>
    </row>
    <row r="200" spans="1:18">
      <c r="A200" s="1403" t="s">
        <v>245</v>
      </c>
      <c r="B200" s="172"/>
      <c r="C200" s="172"/>
      <c r="D200" s="172"/>
      <c r="E200" s="172"/>
      <c r="F200" s="172"/>
      <c r="G200" s="172"/>
      <c r="H200" s="172"/>
      <c r="I200" s="172"/>
      <c r="J200" s="172"/>
      <c r="K200" s="172"/>
      <c r="L200" s="172"/>
      <c r="M200" s="933"/>
      <c r="N200" s="89"/>
      <c r="O200" s="89"/>
      <c r="P200" s="89"/>
      <c r="Q200" s="89"/>
      <c r="R200" s="90"/>
    </row>
    <row r="201" spans="1:18">
      <c r="A201" s="1392" t="s">
        <v>288</v>
      </c>
      <c r="B201" s="40"/>
      <c r="C201" s="40"/>
      <c r="D201" s="40"/>
      <c r="E201" s="40"/>
      <c r="F201" s="40"/>
      <c r="G201" s="40"/>
      <c r="H201" s="40"/>
      <c r="I201" s="40"/>
      <c r="J201" s="40"/>
      <c r="K201" s="40"/>
      <c r="L201" s="40"/>
      <c r="N201" s="89"/>
      <c r="O201" s="89"/>
      <c r="P201" s="89"/>
      <c r="Q201" s="89"/>
      <c r="R201" s="90"/>
    </row>
    <row r="202" spans="1:18">
      <c r="A202" s="1402" t="s">
        <v>242</v>
      </c>
      <c r="B202" s="456">
        <f>B192*(1+B$163)</f>
        <v>0</v>
      </c>
      <c r="C202" s="1071">
        <f t="shared" ref="C202:L202" si="82">C192*(1+C$163)</f>
        <v>3524980.5057992903</v>
      </c>
      <c r="D202" s="1071">
        <f t="shared" si="82"/>
        <v>8564782.6824727841</v>
      </c>
      <c r="E202" s="1071">
        <f t="shared" si="82"/>
        <v>11394548.883005712</v>
      </c>
      <c r="F202" s="1071">
        <f t="shared" si="82"/>
        <v>14623062.296549035</v>
      </c>
      <c r="G202" s="1071">
        <f t="shared" si="82"/>
        <v>20928062.387933347</v>
      </c>
      <c r="H202" s="1071">
        <f t="shared" si="82"/>
        <v>28199603.717233654</v>
      </c>
      <c r="I202" s="1071">
        <f t="shared" si="82"/>
        <v>30541378.297753353</v>
      </c>
      <c r="J202" s="1071">
        <f t="shared" si="82"/>
        <v>33235011.465181407</v>
      </c>
      <c r="K202" s="1071">
        <f t="shared" si="82"/>
        <v>36342270.601858534</v>
      </c>
      <c r="L202" s="1071">
        <f t="shared" si="82"/>
        <v>39936708.857611738</v>
      </c>
      <c r="N202" s="89"/>
      <c r="O202" s="89"/>
      <c r="P202" s="89"/>
      <c r="Q202" s="89"/>
      <c r="R202" s="90"/>
    </row>
    <row r="203" spans="1:18">
      <c r="A203" s="1402" t="s">
        <v>243</v>
      </c>
      <c r="B203" s="456">
        <f t="shared" ref="B203:L203" si="83">B193*(1+B$163)</f>
        <v>0</v>
      </c>
      <c r="C203" s="1071">
        <f t="shared" si="83"/>
        <v>395535.1697420284</v>
      </c>
      <c r="D203" s="1071">
        <f t="shared" si="83"/>
        <v>827098.93554289709</v>
      </c>
      <c r="E203" s="1071">
        <f t="shared" si="83"/>
        <v>1088056.3916979679</v>
      </c>
      <c r="F203" s="1071">
        <f t="shared" si="83"/>
        <v>1381234.2947215985</v>
      </c>
      <c r="G203" s="1071">
        <f t="shared" si="83"/>
        <v>1956133.9055034204</v>
      </c>
      <c r="H203" s="1071">
        <f t="shared" si="83"/>
        <v>2609378.7233016333</v>
      </c>
      <c r="I203" s="1071">
        <f t="shared" si="83"/>
        <v>2798907.2946699578</v>
      </c>
      <c r="J203" s="1071">
        <f t="shared" si="83"/>
        <v>3017411.1981731625</v>
      </c>
      <c r="K203" s="1071">
        <f t="shared" si="83"/>
        <v>3269297.0115816891</v>
      </c>
      <c r="L203" s="1071">
        <f t="shared" si="83"/>
        <v>3559872.5654545729</v>
      </c>
      <c r="M203" s="929" t="s">
        <v>247</v>
      </c>
      <c r="N203" s="89"/>
      <c r="O203" s="89"/>
      <c r="P203" s="89"/>
      <c r="Q203" s="89"/>
      <c r="R203" s="90"/>
    </row>
    <row r="204" spans="1:18">
      <c r="A204" s="1402" t="s">
        <v>1133</v>
      </c>
      <c r="B204" s="456">
        <f t="shared" ref="B204:L204" si="84">B194*(1+B$163)</f>
        <v>0</v>
      </c>
      <c r="C204" s="1071">
        <f t="shared" si="84"/>
        <v>197767.5848710142</v>
      </c>
      <c r="D204" s="1071">
        <f t="shared" si="84"/>
        <v>413549.46777144854</v>
      </c>
      <c r="E204" s="1071">
        <f t="shared" si="84"/>
        <v>544028.19584898395</v>
      </c>
      <c r="F204" s="1071">
        <f t="shared" si="84"/>
        <v>690617.14736079925</v>
      </c>
      <c r="G204" s="1071">
        <f t="shared" si="84"/>
        <v>978066.9527517102</v>
      </c>
      <c r="H204" s="1071">
        <f t="shared" si="84"/>
        <v>1304689.3616508166</v>
      </c>
      <c r="I204" s="1071">
        <f t="shared" si="84"/>
        <v>1399453.6473349789</v>
      </c>
      <c r="J204" s="1071">
        <f t="shared" si="84"/>
        <v>1508705.5990865813</v>
      </c>
      <c r="K204" s="1071">
        <f t="shared" si="84"/>
        <v>1634648.5057908446</v>
      </c>
      <c r="L204" s="1071">
        <f t="shared" si="84"/>
        <v>1779936.2827272865</v>
      </c>
      <c r="N204" s="89"/>
      <c r="O204" s="89"/>
      <c r="P204" s="89"/>
      <c r="Q204" s="89"/>
      <c r="R204" s="90"/>
    </row>
    <row r="205" spans="1:18">
      <c r="A205" s="1402" t="s">
        <v>244</v>
      </c>
      <c r="B205" s="456">
        <f t="shared" ref="B205:L205" si="85">B195*(1+B$163)</f>
        <v>0</v>
      </c>
      <c r="C205" s="1071">
        <f t="shared" si="85"/>
        <v>1577538.9582970219</v>
      </c>
      <c r="D205" s="1071">
        <f t="shared" si="85"/>
        <v>3227429.2000284707</v>
      </c>
      <c r="E205" s="1071">
        <f t="shared" si="85"/>
        <v>4114661.1660352377</v>
      </c>
      <c r="F205" s="1071">
        <f t="shared" si="85"/>
        <v>5023316.0544932019</v>
      </c>
      <c r="G205" s="1071">
        <f t="shared" si="85"/>
        <v>6805734.7292003874</v>
      </c>
      <c r="H205" s="1071">
        <f t="shared" si="85"/>
        <v>8632667.6941953544</v>
      </c>
      <c r="I205" s="1071">
        <f t="shared" si="85"/>
        <v>8771691.8853866383</v>
      </c>
      <c r="J205" s="1071">
        <f t="shared" si="85"/>
        <v>8922983.5050910078</v>
      </c>
      <c r="K205" s="1071">
        <f t="shared" si="85"/>
        <v>9085312.7463801559</v>
      </c>
      <c r="L205" s="1071">
        <f t="shared" si="85"/>
        <v>9257450.0337830335</v>
      </c>
      <c r="N205" s="89"/>
      <c r="O205" s="89"/>
      <c r="P205" s="89"/>
      <c r="Q205" s="89"/>
      <c r="R205" s="90"/>
    </row>
    <row r="206" spans="1:18">
      <c r="A206" s="1392" t="s">
        <v>760</v>
      </c>
      <c r="B206" s="455">
        <f t="shared" ref="B206:L206" si="86">SUM(B202:B205)</f>
        <v>0</v>
      </c>
      <c r="C206" s="1074">
        <f t="shared" si="86"/>
        <v>5695822.2187093543</v>
      </c>
      <c r="D206" s="1074">
        <f t="shared" si="86"/>
        <v>13032860.2858156</v>
      </c>
      <c r="E206" s="1074">
        <f t="shared" si="86"/>
        <v>17141294.636587903</v>
      </c>
      <c r="F206" s="1074">
        <f t="shared" si="86"/>
        <v>21718229.793124635</v>
      </c>
      <c r="G206" s="1074">
        <f t="shared" si="86"/>
        <v>30667997.97538887</v>
      </c>
      <c r="H206" s="1074">
        <f t="shared" si="86"/>
        <v>40746339.496381462</v>
      </c>
      <c r="I206" s="1074">
        <f t="shared" si="86"/>
        <v>43511431.125144929</v>
      </c>
      <c r="J206" s="1074">
        <f t="shared" si="86"/>
        <v>46684111.767532155</v>
      </c>
      <c r="K206" s="1074">
        <f t="shared" si="86"/>
        <v>50331528.865611225</v>
      </c>
      <c r="L206" s="1074">
        <f t="shared" si="86"/>
        <v>54533967.73957663</v>
      </c>
      <c r="N206" s="89"/>
      <c r="O206" s="89"/>
      <c r="P206" s="89"/>
      <c r="Q206" s="89"/>
      <c r="R206" s="90"/>
    </row>
    <row r="207" spans="1:18">
      <c r="A207" s="1392"/>
      <c r="B207" s="455"/>
      <c r="C207" s="455"/>
      <c r="D207" s="455"/>
      <c r="E207" s="455"/>
      <c r="F207" s="455"/>
      <c r="G207" s="455"/>
      <c r="H207" s="455"/>
      <c r="I207" s="455"/>
      <c r="J207" s="455"/>
      <c r="K207" s="455"/>
      <c r="L207" s="455"/>
      <c r="N207" s="89"/>
      <c r="O207" s="89"/>
      <c r="P207" s="89"/>
      <c r="Q207" s="89"/>
      <c r="R207" s="90"/>
    </row>
    <row r="208" spans="1:18" ht="30">
      <c r="A208" s="40" t="s">
        <v>246</v>
      </c>
      <c r="B208" s="455"/>
      <c r="C208" s="455"/>
      <c r="D208" s="455"/>
      <c r="E208" s="455"/>
      <c r="F208" s="455"/>
      <c r="G208" s="455"/>
      <c r="H208" s="455"/>
      <c r="I208" s="455"/>
      <c r="J208" s="455"/>
      <c r="K208" s="455"/>
      <c r="L208" s="455"/>
      <c r="N208" s="89"/>
      <c r="O208" s="89"/>
      <c r="P208" s="89"/>
      <c r="Q208" s="89"/>
      <c r="R208" s="90"/>
    </row>
    <row r="209" spans="1:13">
      <c r="A209" s="1392" t="s">
        <v>288</v>
      </c>
      <c r="B209" s="455"/>
      <c r="C209" s="455"/>
      <c r="D209" s="455"/>
      <c r="E209" s="455"/>
      <c r="F209" s="455"/>
      <c r="G209" s="455"/>
      <c r="H209" s="455"/>
      <c r="I209" s="455"/>
      <c r="J209" s="455"/>
      <c r="K209" s="455"/>
      <c r="L209" s="455"/>
    </row>
    <row r="210" spans="1:13">
      <c r="A210" s="1392"/>
      <c r="B210" s="455">
        <v>2010</v>
      </c>
      <c r="C210" s="455">
        <v>2011</v>
      </c>
      <c r="D210" s="455">
        <v>2012</v>
      </c>
      <c r="E210" s="455">
        <v>2013</v>
      </c>
      <c r="F210" s="455">
        <v>2014</v>
      </c>
      <c r="G210" s="455">
        <v>2015</v>
      </c>
      <c r="H210" s="455">
        <v>2016</v>
      </c>
      <c r="I210" s="455">
        <v>2017</v>
      </c>
      <c r="J210" s="455">
        <v>2018</v>
      </c>
      <c r="K210" s="455">
        <v>2019</v>
      </c>
      <c r="L210" s="455">
        <v>2020</v>
      </c>
    </row>
    <row r="211" spans="1:13">
      <c r="A211" s="1402" t="s">
        <v>242</v>
      </c>
      <c r="B211" s="460">
        <f>B202/B$8*100</f>
        <v>0</v>
      </c>
      <c r="C211" s="460">
        <f t="shared" ref="C211:L211" si="87">C202/C$8*100</f>
        <v>0.14640078622922617</v>
      </c>
      <c r="D211" s="460">
        <f t="shared" si="87"/>
        <v>0.31095778724289325</v>
      </c>
      <c r="E211" s="460">
        <f t="shared" si="87"/>
        <v>0.36025807334544341</v>
      </c>
      <c r="F211" s="460">
        <f t="shared" si="87"/>
        <v>0.40370237877713677</v>
      </c>
      <c r="G211" s="460">
        <f t="shared" si="87"/>
        <v>0.50681765821467706</v>
      </c>
      <c r="H211" s="460">
        <f t="shared" si="87"/>
        <v>0.60151402772944096</v>
      </c>
      <c r="I211" s="460">
        <f t="shared" si="87"/>
        <v>0.57482823778102954</v>
      </c>
      <c r="J211" s="460">
        <f t="shared" si="87"/>
        <v>0.55194341186493157</v>
      </c>
      <c r="K211" s="460">
        <f t="shared" si="87"/>
        <v>0.53237904093896682</v>
      </c>
      <c r="L211" s="460">
        <f t="shared" si="87"/>
        <v>0.51587629712733796</v>
      </c>
    </row>
    <row r="212" spans="1:13">
      <c r="A212" s="1402" t="s">
        <v>243</v>
      </c>
      <c r="B212" s="460">
        <f t="shared" ref="B212:L212" si="88">B203/B$8*100</f>
        <v>0</v>
      </c>
      <c r="C212" s="460">
        <f t="shared" si="88"/>
        <v>1.6427512077379004E-2</v>
      </c>
      <c r="D212" s="460">
        <f t="shared" si="88"/>
        <v>3.0029116249931067E-2</v>
      </c>
      <c r="E212" s="460">
        <f t="shared" si="88"/>
        <v>3.4400756308037905E-2</v>
      </c>
      <c r="F212" s="460">
        <f t="shared" si="88"/>
        <v>3.8132065576938871E-2</v>
      </c>
      <c r="G212" s="460">
        <f t="shared" si="88"/>
        <v>4.7371953827564796E-2</v>
      </c>
      <c r="H212" s="460">
        <f t="shared" si="88"/>
        <v>5.5659573143769181E-2</v>
      </c>
      <c r="I212" s="460">
        <f t="shared" si="88"/>
        <v>5.2679055025684679E-2</v>
      </c>
      <c r="J212" s="460">
        <f t="shared" si="88"/>
        <v>5.01110172164057E-2</v>
      </c>
      <c r="K212" s="460">
        <f t="shared" si="88"/>
        <v>4.7892032576563361E-2</v>
      </c>
      <c r="L212" s="460">
        <f t="shared" si="88"/>
        <v>4.5984106598756028E-2</v>
      </c>
    </row>
    <row r="213" spans="1:13">
      <c r="A213" s="1467" t="s">
        <v>1133</v>
      </c>
      <c r="B213" s="460">
        <f t="shared" ref="B213:L213" si="89">B204/B$8*100</f>
        <v>0</v>
      </c>
      <c r="C213" s="460">
        <f t="shared" si="89"/>
        <v>8.2137560386895021E-3</v>
      </c>
      <c r="D213" s="460">
        <f t="shared" si="89"/>
        <v>1.5014558124965533E-2</v>
      </c>
      <c r="E213" s="460">
        <f t="shared" si="89"/>
        <v>1.7200378154018953E-2</v>
      </c>
      <c r="F213" s="460">
        <f t="shared" si="89"/>
        <v>1.9066032788469436E-2</v>
      </c>
      <c r="G213" s="460">
        <f t="shared" si="89"/>
        <v>2.3685976913782398E-2</v>
      </c>
      <c r="H213" s="460">
        <f t="shared" si="89"/>
        <v>2.782978657188459E-2</v>
      </c>
      <c r="I213" s="460">
        <f t="shared" si="89"/>
        <v>2.633952751284234E-2</v>
      </c>
      <c r="J213" s="460">
        <f t="shared" si="89"/>
        <v>2.505550860820285E-2</v>
      </c>
      <c r="K213" s="460">
        <f t="shared" si="89"/>
        <v>2.394601628828168E-2</v>
      </c>
      <c r="L213" s="460">
        <f t="shared" si="89"/>
        <v>2.2992053299378014E-2</v>
      </c>
    </row>
    <row r="214" spans="1:13">
      <c r="A214" s="1402" t="s">
        <v>244</v>
      </c>
      <c r="B214" s="460">
        <f t="shared" ref="B214:L214" si="90">B205/B$8*100</f>
        <v>0</v>
      </c>
      <c r="C214" s="460">
        <f t="shared" si="90"/>
        <v>6.551892795490788E-2</v>
      </c>
      <c r="D214" s="460">
        <f t="shared" si="90"/>
        <v>0.11717684846548861</v>
      </c>
      <c r="E214" s="460">
        <f t="shared" si="90"/>
        <v>0.1300920220155439</v>
      </c>
      <c r="F214" s="460">
        <f t="shared" si="90"/>
        <v>0.13867988793474989</v>
      </c>
      <c r="G214" s="460">
        <f t="shared" si="90"/>
        <v>0.16481537917587677</v>
      </c>
      <c r="H214" s="460">
        <f t="shared" si="90"/>
        <v>0.18413984702954783</v>
      </c>
      <c r="I214" s="460">
        <f t="shared" si="90"/>
        <v>0.16509458544003783</v>
      </c>
      <c r="J214" s="460">
        <f t="shared" si="90"/>
        <v>0.14818655817146581</v>
      </c>
      <c r="K214" s="460">
        <f t="shared" si="90"/>
        <v>0.13309102613696028</v>
      </c>
      <c r="L214" s="460">
        <f t="shared" si="90"/>
        <v>0.11958168764723126</v>
      </c>
    </row>
    <row r="215" spans="1:13">
      <c r="A215" s="171" t="s">
        <v>760</v>
      </c>
      <c r="B215" s="461">
        <f t="shared" ref="B215:L215" si="91">SUM(B211:B214)</f>
        <v>0</v>
      </c>
      <c r="C215" s="461">
        <f t="shared" si="91"/>
        <v>0.23656098230020256</v>
      </c>
      <c r="D215" s="461">
        <f t="shared" si="91"/>
        <v>0.47317831008327843</v>
      </c>
      <c r="E215" s="461">
        <f t="shared" si="91"/>
        <v>0.54195122982304422</v>
      </c>
      <c r="F215" s="461">
        <f t="shared" si="91"/>
        <v>0.59958036507729495</v>
      </c>
      <c r="G215" s="461">
        <f t="shared" si="91"/>
        <v>0.74269096813190094</v>
      </c>
      <c r="H215" s="461">
        <f t="shared" si="91"/>
        <v>0.86914323447464259</v>
      </c>
      <c r="I215" s="461">
        <f t="shared" si="91"/>
        <v>0.8189414057595944</v>
      </c>
      <c r="J215" s="461">
        <f t="shared" si="91"/>
        <v>0.7752964958610058</v>
      </c>
      <c r="K215" s="461">
        <f t="shared" si="91"/>
        <v>0.73730811594077217</v>
      </c>
      <c r="L215" s="461">
        <f t="shared" si="91"/>
        <v>0.70443414467270338</v>
      </c>
    </row>
    <row r="216" spans="1:13" ht="30">
      <c r="A216" s="1392" t="s">
        <v>252</v>
      </c>
      <c r="B216" s="462"/>
      <c r="C216" s="462"/>
      <c r="D216" s="462"/>
      <c r="E216" s="462"/>
      <c r="F216" s="462"/>
      <c r="G216" s="462"/>
      <c r="H216" s="462"/>
      <c r="I216" s="462"/>
      <c r="J216" s="462"/>
      <c r="K216" s="462"/>
      <c r="L216" s="462"/>
    </row>
    <row r="217" spans="1:13">
      <c r="A217" s="1392" t="s">
        <v>288</v>
      </c>
      <c r="B217" s="462"/>
      <c r="C217" s="462"/>
      <c r="D217" s="462"/>
      <c r="E217" s="462"/>
      <c r="F217" s="462"/>
      <c r="G217" s="462"/>
      <c r="H217" s="462"/>
      <c r="I217" s="462"/>
      <c r="J217" s="462"/>
      <c r="K217" s="462"/>
      <c r="L217" s="462"/>
    </row>
    <row r="218" spans="1:13">
      <c r="A218" s="1401"/>
      <c r="B218" s="455">
        <v>2010</v>
      </c>
      <c r="C218" s="455">
        <v>2011</v>
      </c>
      <c r="D218" s="455">
        <v>2012</v>
      </c>
      <c r="E218" s="455">
        <v>2013</v>
      </c>
      <c r="F218" s="455">
        <v>2014</v>
      </c>
      <c r="G218" s="455">
        <v>2015</v>
      </c>
      <c r="H218" s="455">
        <v>2016</v>
      </c>
      <c r="I218" s="455">
        <v>2017</v>
      </c>
      <c r="J218" s="455">
        <v>2018</v>
      </c>
      <c r="K218" s="455">
        <v>2019</v>
      </c>
      <c r="L218" s="455">
        <v>2020</v>
      </c>
    </row>
    <row r="219" spans="1:13">
      <c r="A219" s="1402" t="s">
        <v>242</v>
      </c>
      <c r="B219" s="460">
        <f>B202/B$9*100</f>
        <v>0</v>
      </c>
      <c r="C219" s="460">
        <f t="shared" ref="C219:L219" si="92">C202/C$9*100</f>
        <v>0.46150413327400969</v>
      </c>
      <c r="D219" s="460">
        <f t="shared" si="92"/>
        <v>0.97618478219734972</v>
      </c>
      <c r="E219" s="460">
        <f t="shared" si="92"/>
        <v>1.1367392036992587</v>
      </c>
      <c r="F219" s="460">
        <f t="shared" si="92"/>
        <v>1.2774844957958034</v>
      </c>
      <c r="G219" s="460">
        <f t="shared" si="92"/>
        <v>1.6087976017482686</v>
      </c>
      <c r="H219" s="460">
        <f t="shared" si="92"/>
        <v>1.9184768457782782</v>
      </c>
      <c r="I219" s="460">
        <f t="shared" si="92"/>
        <v>1.8379452021612201</v>
      </c>
      <c r="J219" s="460">
        <f t="shared" si="92"/>
        <v>1.7734521432966561</v>
      </c>
      <c r="K219" s="460">
        <f t="shared" si="92"/>
        <v>1.7186323988774213</v>
      </c>
      <c r="L219" s="460">
        <f t="shared" si="92"/>
        <v>1.6730904507052169</v>
      </c>
    </row>
    <row r="220" spans="1:13">
      <c r="A220" s="1402" t="s">
        <v>243</v>
      </c>
      <c r="B220" s="460">
        <f t="shared" ref="B220:L220" si="93">B203/B$9*100</f>
        <v>0</v>
      </c>
      <c r="C220" s="460">
        <f t="shared" si="93"/>
        <v>5.1785000056274594E-2</v>
      </c>
      <c r="D220" s="460">
        <f t="shared" si="93"/>
        <v>9.4269921862803613E-2</v>
      </c>
      <c r="E220" s="460">
        <f t="shared" si="93"/>
        <v>0.10854632061154297</v>
      </c>
      <c r="F220" s="460">
        <f t="shared" si="93"/>
        <v>0.12066592898155859</v>
      </c>
      <c r="G220" s="460">
        <f t="shared" si="93"/>
        <v>0.15037338275935569</v>
      </c>
      <c r="H220" s="460">
        <f t="shared" si="93"/>
        <v>0.17752138337537438</v>
      </c>
      <c r="I220" s="460">
        <f t="shared" si="93"/>
        <v>0.16843503863449097</v>
      </c>
      <c r="J220" s="460">
        <f t="shared" si="93"/>
        <v>0.16101196060105882</v>
      </c>
      <c r="K220" s="460">
        <f t="shared" si="93"/>
        <v>0.15460563340173034</v>
      </c>
      <c r="L220" s="460">
        <f t="shared" si="93"/>
        <v>0.14913569408597738</v>
      </c>
    </row>
    <row r="221" spans="1:13">
      <c r="A221" s="1402" t="s">
        <v>1133</v>
      </c>
      <c r="B221" s="460">
        <f t="shared" ref="B221:L221" si="94">B204/B$9*100</f>
        <v>0</v>
      </c>
      <c r="C221" s="460">
        <f t="shared" si="94"/>
        <v>2.5892500028137297E-2</v>
      </c>
      <c r="D221" s="460">
        <f t="shared" si="94"/>
        <v>4.7134960931401806E-2</v>
      </c>
      <c r="E221" s="460">
        <f t="shared" si="94"/>
        <v>5.4273160305771485E-2</v>
      </c>
      <c r="F221" s="460">
        <f t="shared" si="94"/>
        <v>6.0332964490779295E-2</v>
      </c>
      <c r="G221" s="460">
        <f t="shared" si="94"/>
        <v>7.5186691379677845E-2</v>
      </c>
      <c r="H221" s="460">
        <f t="shared" si="94"/>
        <v>8.8760691687687188E-2</v>
      </c>
      <c r="I221" s="460">
        <f t="shared" si="94"/>
        <v>8.4217519317245484E-2</v>
      </c>
      <c r="J221" s="460">
        <f t="shared" si="94"/>
        <v>8.0505980300529412E-2</v>
      </c>
      <c r="K221" s="460">
        <f t="shared" si="94"/>
        <v>7.7302816700865168E-2</v>
      </c>
      <c r="L221" s="460">
        <f t="shared" si="94"/>
        <v>7.4567847042988689E-2</v>
      </c>
    </row>
    <row r="222" spans="1:13">
      <c r="A222" s="1402" t="s">
        <v>244</v>
      </c>
      <c r="B222" s="460">
        <f t="shared" ref="B222:L222" si="95">B205/B$9*100</f>
        <v>0</v>
      </c>
      <c r="C222" s="460">
        <f t="shared" si="95"/>
        <v>0.20653752508902676</v>
      </c>
      <c r="D222" s="460">
        <f t="shared" si="95"/>
        <v>0.36785139652574844</v>
      </c>
      <c r="E222" s="460">
        <f t="shared" si="95"/>
        <v>0.41048546154793963</v>
      </c>
      <c r="F222" s="460">
        <f t="shared" si="95"/>
        <v>0.43884162201864096</v>
      </c>
      <c r="G222" s="460">
        <f t="shared" si="95"/>
        <v>0.52317550987354966</v>
      </c>
      <c r="H222" s="460">
        <f t="shared" si="95"/>
        <v>0.58729807889075591</v>
      </c>
      <c r="I222" s="460">
        <f t="shared" si="95"/>
        <v>0.52787038156587773</v>
      </c>
      <c r="J222" s="460">
        <f t="shared" si="95"/>
        <v>0.47613897285044865</v>
      </c>
      <c r="K222" s="460">
        <f t="shared" si="95"/>
        <v>0.42964604526015571</v>
      </c>
      <c r="L222" s="460">
        <f t="shared" si="95"/>
        <v>0.38782743226601757</v>
      </c>
    </row>
    <row r="223" spans="1:13">
      <c r="A223" s="171" t="s">
        <v>760</v>
      </c>
      <c r="B223" s="461">
        <f t="shared" ref="B223:L223" si="96">SUM(B219:B222)</f>
        <v>0</v>
      </c>
      <c r="C223" s="461">
        <f t="shared" si="96"/>
        <v>0.74571915844744829</v>
      </c>
      <c r="D223" s="461">
        <f t="shared" si="96"/>
        <v>1.4854410615173035</v>
      </c>
      <c r="E223" s="461">
        <f t="shared" si="96"/>
        <v>1.7100441461645128</v>
      </c>
      <c r="F223" s="461">
        <f t="shared" si="96"/>
        <v>1.8973250112867821</v>
      </c>
      <c r="G223" s="461">
        <f t="shared" si="96"/>
        <v>2.3575331857608517</v>
      </c>
      <c r="H223" s="461">
        <f t="shared" si="96"/>
        <v>2.7720569997320954</v>
      </c>
      <c r="I223" s="461">
        <f t="shared" si="96"/>
        <v>2.618468141678834</v>
      </c>
      <c r="J223" s="461">
        <f t="shared" si="96"/>
        <v>2.4911090570486931</v>
      </c>
      <c r="K223" s="461">
        <f t="shared" si="96"/>
        <v>2.3801868942401723</v>
      </c>
      <c r="L223" s="461">
        <f t="shared" si="96"/>
        <v>2.2846214241002007</v>
      </c>
    </row>
    <row r="224" spans="1:13">
      <c r="A224" s="173"/>
      <c r="B224" s="173"/>
      <c r="C224" s="173"/>
      <c r="D224" s="173"/>
      <c r="E224" s="173"/>
      <c r="F224" s="173"/>
      <c r="G224" s="173"/>
      <c r="H224" s="173"/>
      <c r="I224" s="173"/>
      <c r="J224" s="173"/>
      <c r="K224" s="173"/>
      <c r="L224" s="173"/>
      <c r="M224" s="932"/>
    </row>
    <row r="225" spans="1:13">
      <c r="A225" s="1392" t="s">
        <v>1062</v>
      </c>
      <c r="B225" s="40"/>
      <c r="C225" s="40"/>
      <c r="D225" s="40"/>
      <c r="E225" s="40"/>
      <c r="F225" s="40"/>
      <c r="G225" s="40"/>
      <c r="H225" s="40"/>
      <c r="I225" s="40"/>
      <c r="J225" s="40"/>
      <c r="K225" s="40"/>
      <c r="L225" s="40"/>
    </row>
    <row r="226" spans="1:13">
      <c r="A226" s="1403" t="s">
        <v>245</v>
      </c>
      <c r="B226" s="172"/>
      <c r="C226" s="172"/>
      <c r="D226" s="172"/>
      <c r="E226" s="172"/>
      <c r="F226" s="172"/>
      <c r="G226" s="172"/>
      <c r="H226" s="172"/>
      <c r="I226" s="172"/>
      <c r="J226" s="172"/>
      <c r="K226" s="172"/>
      <c r="L226" s="172"/>
      <c r="M226" s="933"/>
    </row>
    <row r="227" spans="1:13">
      <c r="A227" s="1392" t="s">
        <v>1062</v>
      </c>
      <c r="B227" s="40"/>
      <c r="C227" s="40"/>
      <c r="D227" s="40"/>
      <c r="E227" s="40"/>
      <c r="F227" s="40"/>
      <c r="G227" s="40"/>
      <c r="H227" s="40"/>
      <c r="I227" s="40"/>
      <c r="J227" s="40"/>
      <c r="K227" s="40"/>
      <c r="L227" s="40"/>
    </row>
    <row r="228" spans="1:13">
      <c r="A228" s="1402" t="s">
        <v>242</v>
      </c>
      <c r="B228" s="456">
        <f>B95*12/1000</f>
        <v>0</v>
      </c>
      <c r="C228" s="1071">
        <f t="shared" ref="C228:L228" si="97">C95*12/1000</f>
        <v>1500009.0428057092</v>
      </c>
      <c r="D228" s="1071">
        <f t="shared" si="97"/>
        <v>3653345.3548495569</v>
      </c>
      <c r="E228" s="1071">
        <f t="shared" si="97"/>
        <v>4872016.3758775936</v>
      </c>
      <c r="F228" s="1071">
        <f t="shared" si="97"/>
        <v>6267396.2958756573</v>
      </c>
      <c r="G228" s="1071">
        <f t="shared" si="97"/>
        <v>8991146.4301984347</v>
      </c>
      <c r="H228" s="1071">
        <f t="shared" si="97"/>
        <v>12144126.364943204</v>
      </c>
      <c r="I228" s="1071">
        <f t="shared" si="97"/>
        <v>13184058.687824668</v>
      </c>
      <c r="J228" s="1071">
        <f t="shared" si="97"/>
        <v>14381147.845127843</v>
      </c>
      <c r="K228" s="1071">
        <f t="shared" si="97"/>
        <v>15763294.84265429</v>
      </c>
      <c r="L228" s="1071">
        <f t="shared" si="97"/>
        <v>17363786.459831193</v>
      </c>
    </row>
    <row r="229" spans="1:13">
      <c r="A229" s="1402" t="s">
        <v>243</v>
      </c>
      <c r="B229" s="456">
        <f>B68*B75*12/1000</f>
        <v>0</v>
      </c>
      <c r="C229" s="1071">
        <f t="shared" ref="C229:L229" si="98">C68*C75*12/1000</f>
        <v>343943.6258626334</v>
      </c>
      <c r="D229" s="1071">
        <f t="shared" si="98"/>
        <v>719216.46568947576</v>
      </c>
      <c r="E229" s="1071">
        <f t="shared" si="98"/>
        <v>946135.99278084177</v>
      </c>
      <c r="F229" s="1071">
        <f t="shared" si="98"/>
        <v>1201073.2997579118</v>
      </c>
      <c r="G229" s="1071">
        <f t="shared" si="98"/>
        <v>1700986.0047855831</v>
      </c>
      <c r="H229" s="1071">
        <f t="shared" si="98"/>
        <v>2269024.976784029</v>
      </c>
      <c r="I229" s="1071">
        <f t="shared" si="98"/>
        <v>2433832.4301477894</v>
      </c>
      <c r="J229" s="1071">
        <f t="shared" si="98"/>
        <v>2623835.8244984024</v>
      </c>
      <c r="K229" s="1071">
        <f t="shared" si="98"/>
        <v>2842866.9665927733</v>
      </c>
      <c r="L229" s="1071">
        <f t="shared" si="98"/>
        <v>3095541.3612648463</v>
      </c>
      <c r="M229" s="929" t="s">
        <v>247</v>
      </c>
    </row>
    <row r="230" spans="1:13">
      <c r="A230" s="1402" t="s">
        <v>1133</v>
      </c>
      <c r="B230" s="456">
        <f>B69*B75*12/1000</f>
        <v>0</v>
      </c>
      <c r="C230" s="1071">
        <f t="shared" ref="C230:L230" si="99">C69*C75*12/1000</f>
        <v>171971.8129313167</v>
      </c>
      <c r="D230" s="1071">
        <f t="shared" si="99"/>
        <v>359608.23284473788</v>
      </c>
      <c r="E230" s="1071">
        <f t="shared" si="99"/>
        <v>473067.99639042089</v>
      </c>
      <c r="F230" s="1071">
        <f t="shared" si="99"/>
        <v>600536.64987895591</v>
      </c>
      <c r="G230" s="1071">
        <f t="shared" si="99"/>
        <v>850493.00239279156</v>
      </c>
      <c r="H230" s="1071">
        <f t="shared" si="99"/>
        <v>1134512.4883920145</v>
      </c>
      <c r="I230" s="1071">
        <f t="shared" si="99"/>
        <v>1216916.2150738947</v>
      </c>
      <c r="J230" s="1071">
        <f t="shared" si="99"/>
        <v>1311917.9122492012</v>
      </c>
      <c r="K230" s="1071">
        <f t="shared" si="99"/>
        <v>1421433.4832963867</v>
      </c>
      <c r="L230" s="1071">
        <f t="shared" si="99"/>
        <v>1547770.6806324231</v>
      </c>
    </row>
    <row r="231" spans="1:13">
      <c r="A231" s="1402" t="s">
        <v>244</v>
      </c>
      <c r="B231" s="456">
        <f>B108*12/1000</f>
        <v>0</v>
      </c>
      <c r="C231" s="1071">
        <f t="shared" ref="C231:L231" si="100">C108*12/1000</f>
        <v>671300.9331344564</v>
      </c>
      <c r="D231" s="1071">
        <f t="shared" si="100"/>
        <v>1376673.9814845622</v>
      </c>
      <c r="E231" s="1071">
        <f t="shared" si="100"/>
        <v>1759323.4087581753</v>
      </c>
      <c r="F231" s="1071">
        <f t="shared" si="100"/>
        <v>2152976.701766036</v>
      </c>
      <c r="G231" s="1071">
        <f t="shared" si="100"/>
        <v>2923890.24750849</v>
      </c>
      <c r="H231" s="1071">
        <f t="shared" si="100"/>
        <v>3717648.2476880564</v>
      </c>
      <c r="I231" s="1071">
        <f t="shared" si="100"/>
        <v>3786551.4608081686</v>
      </c>
      <c r="J231" s="1071">
        <f t="shared" si="100"/>
        <v>3861071.1821413967</v>
      </c>
      <c r="K231" s="1071">
        <f t="shared" si="100"/>
        <v>3940713.1471744529</v>
      </c>
      <c r="L231" s="1071">
        <f t="shared" si="100"/>
        <v>4024978.2755578412</v>
      </c>
    </row>
    <row r="232" spans="1:13">
      <c r="A232" s="1392" t="s">
        <v>760</v>
      </c>
      <c r="B232" s="455">
        <f t="shared" ref="B232:L232" si="101">SUM(B228:B231)</f>
        <v>0</v>
      </c>
      <c r="C232" s="1074">
        <f t="shared" si="101"/>
        <v>2687225.4147341158</v>
      </c>
      <c r="D232" s="1074">
        <f t="shared" si="101"/>
        <v>6108844.0348683335</v>
      </c>
      <c r="E232" s="1074">
        <f t="shared" si="101"/>
        <v>8050543.773807032</v>
      </c>
      <c r="F232" s="1074">
        <f t="shared" si="101"/>
        <v>10221982.947278561</v>
      </c>
      <c r="G232" s="1074">
        <f t="shared" si="101"/>
        <v>14466515.684885299</v>
      </c>
      <c r="H232" s="1074">
        <f t="shared" si="101"/>
        <v>19265312.077807304</v>
      </c>
      <c r="I232" s="1074">
        <f t="shared" si="101"/>
        <v>20621358.793854523</v>
      </c>
      <c r="J232" s="1074">
        <f t="shared" si="101"/>
        <v>22177972.764016844</v>
      </c>
      <c r="K232" s="1074">
        <f t="shared" si="101"/>
        <v>23968308.4397179</v>
      </c>
      <c r="L232" s="1074">
        <f t="shared" si="101"/>
        <v>26032076.777286306</v>
      </c>
    </row>
    <row r="233" spans="1:13">
      <c r="A233" s="40"/>
      <c r="B233" s="40"/>
      <c r="C233" s="40"/>
      <c r="D233" s="40"/>
      <c r="E233" s="40"/>
      <c r="F233" s="40"/>
      <c r="G233" s="40"/>
      <c r="H233" s="40"/>
      <c r="I233" s="40"/>
      <c r="J233" s="40"/>
      <c r="K233" s="40"/>
      <c r="L233" s="40"/>
    </row>
    <row r="234" spans="1:13">
      <c r="A234" s="40" t="s">
        <v>477</v>
      </c>
      <c r="B234" s="40"/>
      <c r="C234" s="40"/>
      <c r="D234" s="40"/>
      <c r="E234" s="40"/>
      <c r="F234" s="40"/>
      <c r="G234" s="40"/>
      <c r="H234" s="40"/>
      <c r="I234" s="40"/>
      <c r="J234" s="40"/>
      <c r="K234" s="40"/>
      <c r="L234" s="40"/>
    </row>
    <row r="235" spans="1:13" ht="30">
      <c r="A235" s="40" t="s">
        <v>486</v>
      </c>
      <c r="B235" s="40">
        <v>0.15</v>
      </c>
      <c r="C235" s="40">
        <v>0.15</v>
      </c>
      <c r="D235" s="40">
        <v>0.15</v>
      </c>
      <c r="E235" s="40">
        <v>0.15</v>
      </c>
      <c r="F235" s="40">
        <v>0.15</v>
      </c>
      <c r="G235" s="40">
        <v>0.15</v>
      </c>
      <c r="H235" s="40">
        <v>0.15</v>
      </c>
      <c r="I235" s="40">
        <v>0.15</v>
      </c>
      <c r="J235" s="40">
        <v>0.15</v>
      </c>
      <c r="K235" s="40">
        <v>0.15</v>
      </c>
      <c r="L235" s="40">
        <v>0.15</v>
      </c>
    </row>
    <row r="236" spans="1:13">
      <c r="A236" s="1403" t="s">
        <v>245</v>
      </c>
      <c r="B236" s="172"/>
      <c r="C236" s="172"/>
      <c r="D236" s="172"/>
      <c r="E236" s="172"/>
      <c r="F236" s="172"/>
      <c r="G236" s="172"/>
      <c r="H236" s="172"/>
      <c r="I236" s="172"/>
      <c r="J236" s="172"/>
      <c r="K236" s="172"/>
      <c r="L236" s="172"/>
      <c r="M236" s="933"/>
    </row>
    <row r="237" spans="1:13">
      <c r="A237" s="1392" t="s">
        <v>1062</v>
      </c>
      <c r="B237" s="40"/>
      <c r="C237" s="40"/>
      <c r="D237" s="40"/>
      <c r="E237" s="40"/>
      <c r="F237" s="40"/>
      <c r="G237" s="40"/>
      <c r="H237" s="40"/>
      <c r="I237" s="40"/>
      <c r="J237" s="40"/>
      <c r="K237" s="40"/>
      <c r="L237" s="40"/>
    </row>
    <row r="238" spans="1:13">
      <c r="A238" s="1402" t="s">
        <v>242</v>
      </c>
      <c r="B238" s="456">
        <f>B228*(1+B$163)</f>
        <v>0</v>
      </c>
      <c r="C238" s="1071">
        <f t="shared" ref="C238:L238" si="102">C228*(1+C$163)</f>
        <v>1725010.3992265654</v>
      </c>
      <c r="D238" s="1071">
        <f t="shared" si="102"/>
        <v>4201347.1580769904</v>
      </c>
      <c r="E238" s="1071">
        <f t="shared" si="102"/>
        <v>5602818.8322592322</v>
      </c>
      <c r="F238" s="1071">
        <f t="shared" si="102"/>
        <v>7207505.7402570052</v>
      </c>
      <c r="G238" s="1071">
        <f t="shared" si="102"/>
        <v>10339818.394728199</v>
      </c>
      <c r="H238" s="1071">
        <f t="shared" si="102"/>
        <v>13965745.319684684</v>
      </c>
      <c r="I238" s="1071">
        <f t="shared" si="102"/>
        <v>15161667.490998367</v>
      </c>
      <c r="J238" s="1071">
        <f t="shared" si="102"/>
        <v>16538320.021897018</v>
      </c>
      <c r="K238" s="1071">
        <f t="shared" si="102"/>
        <v>18127789.069052432</v>
      </c>
      <c r="L238" s="1071">
        <f t="shared" si="102"/>
        <v>19968354.428805869</v>
      </c>
    </row>
    <row r="239" spans="1:13">
      <c r="A239" s="1402" t="s">
        <v>243</v>
      </c>
      <c r="B239" s="456">
        <f t="shared" ref="B239:L239" si="103">B229*(1+B$163)</f>
        <v>0</v>
      </c>
      <c r="C239" s="1071">
        <f t="shared" si="103"/>
        <v>395535.1697420284</v>
      </c>
      <c r="D239" s="1071">
        <f t="shared" si="103"/>
        <v>827098.93554289709</v>
      </c>
      <c r="E239" s="1071">
        <f t="shared" si="103"/>
        <v>1088056.3916979679</v>
      </c>
      <c r="F239" s="1071">
        <f t="shared" si="103"/>
        <v>1381234.2947215985</v>
      </c>
      <c r="G239" s="1071">
        <f t="shared" si="103"/>
        <v>1956133.9055034204</v>
      </c>
      <c r="H239" s="1071">
        <f t="shared" si="103"/>
        <v>2609378.7233016333</v>
      </c>
      <c r="I239" s="1071">
        <f t="shared" si="103"/>
        <v>2798907.2946699578</v>
      </c>
      <c r="J239" s="1071">
        <f t="shared" si="103"/>
        <v>3017411.1981731625</v>
      </c>
      <c r="K239" s="1071">
        <f t="shared" si="103"/>
        <v>3269297.0115816891</v>
      </c>
      <c r="L239" s="1071">
        <f t="shared" si="103"/>
        <v>3559872.5654545729</v>
      </c>
      <c r="M239" s="929" t="s">
        <v>247</v>
      </c>
    </row>
    <row r="240" spans="1:13">
      <c r="A240" s="1402" t="s">
        <v>1133</v>
      </c>
      <c r="B240" s="456">
        <f t="shared" ref="B240:L240" si="104">B230*(1+B$163)</f>
        <v>0</v>
      </c>
      <c r="C240" s="1071">
        <f t="shared" si="104"/>
        <v>197767.5848710142</v>
      </c>
      <c r="D240" s="1071">
        <f t="shared" si="104"/>
        <v>413549.46777144854</v>
      </c>
      <c r="E240" s="1071">
        <f t="shared" si="104"/>
        <v>544028.19584898395</v>
      </c>
      <c r="F240" s="1071">
        <f t="shared" si="104"/>
        <v>690617.14736079925</v>
      </c>
      <c r="G240" s="1071">
        <f t="shared" si="104"/>
        <v>978066.9527517102</v>
      </c>
      <c r="H240" s="1071">
        <f t="shared" si="104"/>
        <v>1304689.3616508166</v>
      </c>
      <c r="I240" s="1071">
        <f t="shared" si="104"/>
        <v>1399453.6473349789</v>
      </c>
      <c r="J240" s="1071">
        <f t="shared" si="104"/>
        <v>1508705.5990865813</v>
      </c>
      <c r="K240" s="1071">
        <f t="shared" si="104"/>
        <v>1634648.5057908446</v>
      </c>
      <c r="L240" s="1071">
        <f t="shared" si="104"/>
        <v>1779936.2827272865</v>
      </c>
    </row>
    <row r="241" spans="1:12">
      <c r="A241" s="1402" t="s">
        <v>244</v>
      </c>
      <c r="B241" s="456">
        <f t="shared" ref="B241:L241" si="105">B231*(1+B$163)</f>
        <v>0</v>
      </c>
      <c r="C241" s="1071">
        <f t="shared" si="105"/>
        <v>771996.07310462475</v>
      </c>
      <c r="D241" s="1071">
        <f t="shared" si="105"/>
        <v>1583175.0787072463</v>
      </c>
      <c r="E241" s="1071">
        <f t="shared" si="105"/>
        <v>2023221.9200719015</v>
      </c>
      <c r="F241" s="1071">
        <f t="shared" si="105"/>
        <v>2475923.2070309413</v>
      </c>
      <c r="G241" s="1071">
        <f t="shared" si="105"/>
        <v>3362473.7846347634</v>
      </c>
      <c r="H241" s="1071">
        <f t="shared" si="105"/>
        <v>4275295.4848412648</v>
      </c>
      <c r="I241" s="1071">
        <f t="shared" si="105"/>
        <v>4354534.1799293933</v>
      </c>
      <c r="J241" s="1071">
        <f t="shared" si="105"/>
        <v>4440231.8594626058</v>
      </c>
      <c r="K241" s="1071">
        <f t="shared" si="105"/>
        <v>4531820.1192506207</v>
      </c>
      <c r="L241" s="1071">
        <f t="shared" si="105"/>
        <v>4628725.0168915167</v>
      </c>
    </row>
    <row r="242" spans="1:12">
      <c r="A242" s="1392" t="s">
        <v>760</v>
      </c>
      <c r="B242" s="455">
        <f t="shared" ref="B242:L242" si="106">SUM(B238:B241)</f>
        <v>0</v>
      </c>
      <c r="C242" s="1074">
        <f t="shared" si="106"/>
        <v>3090309.2269442324</v>
      </c>
      <c r="D242" s="1074">
        <f t="shared" si="106"/>
        <v>7025170.640098582</v>
      </c>
      <c r="E242" s="1074">
        <f t="shared" si="106"/>
        <v>9258125.3398780841</v>
      </c>
      <c r="F242" s="1074">
        <f t="shared" si="106"/>
        <v>11755280.389370345</v>
      </c>
      <c r="G242" s="1074">
        <f t="shared" si="106"/>
        <v>16636493.037618093</v>
      </c>
      <c r="H242" s="1074">
        <f t="shared" si="106"/>
        <v>22155108.8894784</v>
      </c>
      <c r="I242" s="1074">
        <f t="shared" si="106"/>
        <v>23714562.612932697</v>
      </c>
      <c r="J242" s="1074">
        <f t="shared" si="106"/>
        <v>25504668.67861937</v>
      </c>
      <c r="K242" s="1074">
        <f t="shared" si="106"/>
        <v>27563554.705675587</v>
      </c>
      <c r="L242" s="1074">
        <f t="shared" si="106"/>
        <v>29936888.293879244</v>
      </c>
    </row>
    <row r="243" spans="1:12">
      <c r="A243" s="1392"/>
      <c r="B243" s="455"/>
      <c r="C243" s="455"/>
      <c r="D243" s="455"/>
      <c r="E243" s="455"/>
      <c r="F243" s="455"/>
      <c r="G243" s="455"/>
      <c r="H243" s="455"/>
      <c r="I243" s="455"/>
      <c r="J243" s="455"/>
      <c r="K243" s="455"/>
      <c r="L243" s="455"/>
    </row>
    <row r="244" spans="1:12" ht="30">
      <c r="A244" s="40" t="s">
        <v>246</v>
      </c>
      <c r="B244" s="455"/>
      <c r="C244" s="455"/>
      <c r="D244" s="455"/>
      <c r="E244" s="455"/>
      <c r="F244" s="455"/>
      <c r="G244" s="455"/>
      <c r="H244" s="455"/>
      <c r="I244" s="455"/>
      <c r="J244" s="455"/>
      <c r="K244" s="455"/>
      <c r="L244" s="455"/>
    </row>
    <row r="245" spans="1:12">
      <c r="A245" s="1392" t="s">
        <v>1062</v>
      </c>
      <c r="B245" s="455"/>
      <c r="C245" s="455"/>
      <c r="D245" s="455"/>
      <c r="E245" s="455"/>
      <c r="F245" s="455"/>
      <c r="G245" s="455"/>
      <c r="H245" s="455"/>
      <c r="I245" s="455"/>
      <c r="J245" s="455"/>
      <c r="K245" s="455"/>
      <c r="L245" s="455"/>
    </row>
    <row r="246" spans="1:12">
      <c r="A246" s="1392"/>
      <c r="B246" s="455">
        <v>2010</v>
      </c>
      <c r="C246" s="455">
        <v>2011</v>
      </c>
      <c r="D246" s="455">
        <v>2012</v>
      </c>
      <c r="E246" s="455">
        <v>2013</v>
      </c>
      <c r="F246" s="455">
        <v>2014</v>
      </c>
      <c r="G246" s="455">
        <v>2015</v>
      </c>
      <c r="H246" s="455">
        <v>2016</v>
      </c>
      <c r="I246" s="455">
        <v>2017</v>
      </c>
      <c r="J246" s="455">
        <v>2018</v>
      </c>
      <c r="K246" s="455">
        <v>2019</v>
      </c>
      <c r="L246" s="455">
        <v>2020</v>
      </c>
    </row>
    <row r="247" spans="1:12">
      <c r="A247" s="1402" t="s">
        <v>242</v>
      </c>
      <c r="B247" s="460">
        <f>B238/B$8*100</f>
        <v>0</v>
      </c>
      <c r="C247" s="460">
        <f t="shared" ref="C247:L247" si="107">C238/C$8*100</f>
        <v>7.1643766053422861E-2</v>
      </c>
      <c r="D247" s="460">
        <f t="shared" si="107"/>
        <v>0.15253645820907732</v>
      </c>
      <c r="E247" s="460">
        <f t="shared" si="107"/>
        <v>0.17714266168305193</v>
      </c>
      <c r="F247" s="460">
        <f t="shared" si="107"/>
        <v>0.19897933506569906</v>
      </c>
      <c r="G247" s="460">
        <f t="shared" si="107"/>
        <v>0.2504007512994938</v>
      </c>
      <c r="H247" s="460">
        <f t="shared" si="107"/>
        <v>0.2978975095438402</v>
      </c>
      <c r="I247" s="460">
        <f t="shared" si="107"/>
        <v>0.28536219029491616</v>
      </c>
      <c r="J247" s="460">
        <f t="shared" si="107"/>
        <v>0.27465664601810375</v>
      </c>
      <c r="K247" s="460">
        <f t="shared" si="107"/>
        <v>0.26555454018419189</v>
      </c>
      <c r="L247" s="460">
        <f t="shared" si="107"/>
        <v>0.25793814856366898</v>
      </c>
    </row>
    <row r="248" spans="1:12">
      <c r="A248" s="1402" t="s">
        <v>243</v>
      </c>
      <c r="B248" s="460">
        <f t="shared" ref="B248:L248" si="108">B239/B$8*100</f>
        <v>0</v>
      </c>
      <c r="C248" s="460">
        <f t="shared" si="108"/>
        <v>1.6427512077379004E-2</v>
      </c>
      <c r="D248" s="460">
        <f t="shared" si="108"/>
        <v>3.0029116249931067E-2</v>
      </c>
      <c r="E248" s="460">
        <f t="shared" si="108"/>
        <v>3.4400756308037905E-2</v>
      </c>
      <c r="F248" s="460">
        <f t="shared" si="108"/>
        <v>3.8132065576938871E-2</v>
      </c>
      <c r="G248" s="460">
        <f t="shared" si="108"/>
        <v>4.7371953827564796E-2</v>
      </c>
      <c r="H248" s="460">
        <f t="shared" si="108"/>
        <v>5.5659573143769181E-2</v>
      </c>
      <c r="I248" s="460">
        <f t="shared" si="108"/>
        <v>5.2679055025684679E-2</v>
      </c>
      <c r="J248" s="460">
        <f t="shared" si="108"/>
        <v>5.01110172164057E-2</v>
      </c>
      <c r="K248" s="460">
        <f t="shared" si="108"/>
        <v>4.7892032576563361E-2</v>
      </c>
      <c r="L248" s="460">
        <f t="shared" si="108"/>
        <v>4.5984106598756028E-2</v>
      </c>
    </row>
    <row r="249" spans="1:12">
      <c r="A249" s="1402" t="s">
        <v>1133</v>
      </c>
      <c r="B249" s="460">
        <f t="shared" ref="B249:L249" si="109">B240/B$8*100</f>
        <v>0</v>
      </c>
      <c r="C249" s="460">
        <f t="shared" si="109"/>
        <v>8.2137560386895021E-3</v>
      </c>
      <c r="D249" s="460">
        <f t="shared" si="109"/>
        <v>1.5014558124965533E-2</v>
      </c>
      <c r="E249" s="460">
        <f t="shared" si="109"/>
        <v>1.7200378154018953E-2</v>
      </c>
      <c r="F249" s="460">
        <f t="shared" si="109"/>
        <v>1.9066032788469436E-2</v>
      </c>
      <c r="G249" s="460">
        <f t="shared" si="109"/>
        <v>2.3685976913782398E-2</v>
      </c>
      <c r="H249" s="460">
        <f t="shared" si="109"/>
        <v>2.782978657188459E-2</v>
      </c>
      <c r="I249" s="460">
        <f t="shared" si="109"/>
        <v>2.633952751284234E-2</v>
      </c>
      <c r="J249" s="460">
        <f t="shared" si="109"/>
        <v>2.505550860820285E-2</v>
      </c>
      <c r="K249" s="460">
        <f t="shared" si="109"/>
        <v>2.394601628828168E-2</v>
      </c>
      <c r="L249" s="460">
        <f t="shared" si="109"/>
        <v>2.2992053299378014E-2</v>
      </c>
    </row>
    <row r="250" spans="1:12">
      <c r="A250" s="1402" t="s">
        <v>244</v>
      </c>
      <c r="B250" s="460">
        <f t="shared" ref="B250:L250" si="110">B241/B$8*100</f>
        <v>0</v>
      </c>
      <c r="C250" s="460">
        <f t="shared" si="110"/>
        <v>3.2062824711356727E-2</v>
      </c>
      <c r="D250" s="460">
        <f t="shared" si="110"/>
        <v>5.7479639302507553E-2</v>
      </c>
      <c r="E250" s="460">
        <f t="shared" si="110"/>
        <v>6.396760752524884E-2</v>
      </c>
      <c r="F250" s="460">
        <f t="shared" si="110"/>
        <v>6.8353404237619458E-2</v>
      </c>
      <c r="G250" s="460">
        <f t="shared" si="110"/>
        <v>8.1429472912858597E-2</v>
      </c>
      <c r="H250" s="460">
        <f t="shared" si="110"/>
        <v>9.1194551264163579E-2</v>
      </c>
      <c r="I250" s="460">
        <f t="shared" si="110"/>
        <v>8.1957964850270182E-2</v>
      </c>
      <c r="J250" s="460">
        <f t="shared" si="110"/>
        <v>7.3740209915398716E-2</v>
      </c>
      <c r="K250" s="460">
        <f t="shared" si="110"/>
        <v>6.6386772450898482E-2</v>
      </c>
      <c r="L250" s="460">
        <f t="shared" si="110"/>
        <v>5.979084382361563E-2</v>
      </c>
    </row>
    <row r="251" spans="1:12">
      <c r="A251" s="171" t="s">
        <v>760</v>
      </c>
      <c r="B251" s="461">
        <f t="shared" ref="B251:L251" si="111">SUM(B247:B250)</f>
        <v>0</v>
      </c>
      <c r="C251" s="461">
        <f t="shared" si="111"/>
        <v>0.1283478588808481</v>
      </c>
      <c r="D251" s="461">
        <f t="shared" si="111"/>
        <v>0.25505977188648149</v>
      </c>
      <c r="E251" s="461">
        <f t="shared" si="111"/>
        <v>0.29271140367035764</v>
      </c>
      <c r="F251" s="461">
        <f t="shared" si="111"/>
        <v>0.32453083766872681</v>
      </c>
      <c r="G251" s="461">
        <f t="shared" si="111"/>
        <v>0.40288815495369956</v>
      </c>
      <c r="H251" s="461">
        <f t="shared" si="111"/>
        <v>0.47258142052365754</v>
      </c>
      <c r="I251" s="461">
        <f t="shared" si="111"/>
        <v>0.4463387376837134</v>
      </c>
      <c r="J251" s="461">
        <f t="shared" si="111"/>
        <v>0.42356338175811098</v>
      </c>
      <c r="K251" s="461">
        <f t="shared" si="111"/>
        <v>0.40377936149993543</v>
      </c>
      <c r="L251" s="461">
        <f t="shared" si="111"/>
        <v>0.38670515228541869</v>
      </c>
    </row>
    <row r="252" spans="1:12" ht="30">
      <c r="A252" s="1392" t="s">
        <v>252</v>
      </c>
      <c r="B252" s="462"/>
      <c r="C252" s="462"/>
      <c r="D252" s="462"/>
      <c r="E252" s="462"/>
      <c r="F252" s="462"/>
      <c r="G252" s="462"/>
      <c r="H252" s="462"/>
      <c r="I252" s="462"/>
      <c r="J252" s="462"/>
      <c r="K252" s="462"/>
      <c r="L252" s="462"/>
    </row>
    <row r="253" spans="1:12">
      <c r="A253" s="1392" t="s">
        <v>1062</v>
      </c>
      <c r="B253" s="462"/>
      <c r="C253" s="462"/>
      <c r="D253" s="462"/>
      <c r="E253" s="462"/>
      <c r="F253" s="462"/>
      <c r="G253" s="462"/>
      <c r="H253" s="462"/>
      <c r="I253" s="462"/>
      <c r="J253" s="462"/>
      <c r="K253" s="462"/>
      <c r="L253" s="462"/>
    </row>
    <row r="254" spans="1:12">
      <c r="A254" s="1401"/>
      <c r="B254" s="455">
        <v>2010</v>
      </c>
      <c r="C254" s="455">
        <v>2011</v>
      </c>
      <c r="D254" s="455">
        <v>2012</v>
      </c>
      <c r="E254" s="455">
        <v>2013</v>
      </c>
      <c r="F254" s="455">
        <v>2014</v>
      </c>
      <c r="G254" s="455">
        <v>2015</v>
      </c>
      <c r="H254" s="455">
        <v>2016</v>
      </c>
      <c r="I254" s="455">
        <v>2017</v>
      </c>
      <c r="J254" s="455">
        <v>2018</v>
      </c>
      <c r="K254" s="455">
        <v>2019</v>
      </c>
      <c r="L254" s="455">
        <v>2020</v>
      </c>
    </row>
    <row r="255" spans="1:12">
      <c r="A255" s="1402" t="s">
        <v>242</v>
      </c>
      <c r="B255" s="460">
        <f>B238/B$9*100</f>
        <v>0</v>
      </c>
      <c r="C255" s="460">
        <f t="shared" ref="C255:L255" si="112">C238/C$9*100</f>
        <v>0.22584505868159227</v>
      </c>
      <c r="D255" s="460">
        <f t="shared" si="112"/>
        <v>0.47885525091440329</v>
      </c>
      <c r="E255" s="460">
        <f t="shared" si="112"/>
        <v>0.55894655271104843</v>
      </c>
      <c r="F255" s="460">
        <f t="shared" si="112"/>
        <v>0.62965449027119935</v>
      </c>
      <c r="G255" s="460">
        <f t="shared" si="112"/>
        <v>0.79485022204169931</v>
      </c>
      <c r="H255" s="460">
        <f t="shared" si="112"/>
        <v>0.95011828175008761</v>
      </c>
      <c r="I255" s="460">
        <f t="shared" si="112"/>
        <v>0.91241180244619369</v>
      </c>
      <c r="J255" s="460">
        <f t="shared" si="112"/>
        <v>0.8825006460457131</v>
      </c>
      <c r="K255" s="460">
        <f t="shared" si="112"/>
        <v>0.8572663484734554</v>
      </c>
      <c r="L255" s="460">
        <f t="shared" si="112"/>
        <v>0.83654522535260845</v>
      </c>
    </row>
    <row r="256" spans="1:12">
      <c r="A256" s="1402" t="s">
        <v>243</v>
      </c>
      <c r="B256" s="460">
        <f t="shared" ref="B256:L256" si="113">B239/B$9*100</f>
        <v>0</v>
      </c>
      <c r="C256" s="460">
        <f t="shared" si="113"/>
        <v>5.1785000056274594E-2</v>
      </c>
      <c r="D256" s="460">
        <f t="shared" si="113"/>
        <v>9.4269921862803613E-2</v>
      </c>
      <c r="E256" s="460">
        <f t="shared" si="113"/>
        <v>0.10854632061154297</v>
      </c>
      <c r="F256" s="460">
        <f t="shared" si="113"/>
        <v>0.12066592898155859</v>
      </c>
      <c r="G256" s="460">
        <f t="shared" si="113"/>
        <v>0.15037338275935569</v>
      </c>
      <c r="H256" s="460">
        <f t="shared" si="113"/>
        <v>0.17752138337537438</v>
      </c>
      <c r="I256" s="460">
        <f t="shared" si="113"/>
        <v>0.16843503863449097</v>
      </c>
      <c r="J256" s="460">
        <f t="shared" si="113"/>
        <v>0.16101196060105882</v>
      </c>
      <c r="K256" s="460">
        <f t="shared" si="113"/>
        <v>0.15460563340173034</v>
      </c>
      <c r="L256" s="460">
        <f t="shared" si="113"/>
        <v>0.14913569408597738</v>
      </c>
    </row>
    <row r="257" spans="1:13">
      <c r="A257" s="1402" t="s">
        <v>1133</v>
      </c>
      <c r="B257" s="460">
        <f t="shared" ref="B257:L257" si="114">B240/B$9*100</f>
        <v>0</v>
      </c>
      <c r="C257" s="460">
        <f t="shared" si="114"/>
        <v>2.5892500028137297E-2</v>
      </c>
      <c r="D257" s="460">
        <f t="shared" si="114"/>
        <v>4.7134960931401806E-2</v>
      </c>
      <c r="E257" s="460">
        <f t="shared" si="114"/>
        <v>5.4273160305771485E-2</v>
      </c>
      <c r="F257" s="460">
        <f t="shared" si="114"/>
        <v>6.0332964490779295E-2</v>
      </c>
      <c r="G257" s="460">
        <f t="shared" si="114"/>
        <v>7.5186691379677845E-2</v>
      </c>
      <c r="H257" s="460">
        <f t="shared" si="114"/>
        <v>8.8760691687687188E-2</v>
      </c>
      <c r="I257" s="460">
        <f t="shared" si="114"/>
        <v>8.4217519317245484E-2</v>
      </c>
      <c r="J257" s="460">
        <f t="shared" si="114"/>
        <v>8.0505980300529412E-2</v>
      </c>
      <c r="K257" s="460">
        <f t="shared" si="114"/>
        <v>7.7302816700865168E-2</v>
      </c>
      <c r="L257" s="460">
        <f t="shared" si="114"/>
        <v>7.4567847042988689E-2</v>
      </c>
    </row>
    <row r="258" spans="1:13">
      <c r="A258" s="1402" t="s">
        <v>244</v>
      </c>
      <c r="B258" s="460">
        <f t="shared" ref="B258:L258" si="115">B241/B$9*100</f>
        <v>0</v>
      </c>
      <c r="C258" s="460">
        <f t="shared" si="115"/>
        <v>0.10107272310384094</v>
      </c>
      <c r="D258" s="460">
        <f t="shared" si="115"/>
        <v>0.18044490755740974</v>
      </c>
      <c r="E258" s="460">
        <f t="shared" si="115"/>
        <v>0.20183999366219277</v>
      </c>
      <c r="F258" s="460">
        <f t="shared" si="115"/>
        <v>0.21629898345639206</v>
      </c>
      <c r="G258" s="460">
        <f t="shared" si="115"/>
        <v>0.2584825895674342</v>
      </c>
      <c r="H258" s="460">
        <f t="shared" si="115"/>
        <v>0.29085711553867877</v>
      </c>
      <c r="I258" s="460">
        <f t="shared" si="115"/>
        <v>0.26205088472503579</v>
      </c>
      <c r="J258" s="460">
        <f t="shared" si="115"/>
        <v>0.2369350381042534</v>
      </c>
      <c r="K258" s="460">
        <f t="shared" si="115"/>
        <v>0.21431057426638478</v>
      </c>
      <c r="L258" s="460">
        <f t="shared" si="115"/>
        <v>0.19391371613300878</v>
      </c>
    </row>
    <row r="259" spans="1:13">
      <c r="A259" s="171" t="s">
        <v>760</v>
      </c>
      <c r="B259" s="461">
        <f t="shared" ref="B259:L259" si="116">SUM(B255:B258)</f>
        <v>0</v>
      </c>
      <c r="C259" s="461">
        <f t="shared" si="116"/>
        <v>0.40459528186984506</v>
      </c>
      <c r="D259" s="461">
        <f t="shared" si="116"/>
        <v>0.80070504126601838</v>
      </c>
      <c r="E259" s="461">
        <f t="shared" si="116"/>
        <v>0.92360602729055563</v>
      </c>
      <c r="F259" s="461">
        <f t="shared" si="116"/>
        <v>1.0269523671999292</v>
      </c>
      <c r="G259" s="461">
        <f t="shared" si="116"/>
        <v>1.2788928857481672</v>
      </c>
      <c r="H259" s="461">
        <f t="shared" si="116"/>
        <v>1.5072574723518282</v>
      </c>
      <c r="I259" s="461">
        <f t="shared" si="116"/>
        <v>1.4271152451229658</v>
      </c>
      <c r="J259" s="461">
        <f t="shared" si="116"/>
        <v>1.3609536250515548</v>
      </c>
      <c r="K259" s="461">
        <f t="shared" si="116"/>
        <v>1.3034853728424358</v>
      </c>
      <c r="L259" s="461">
        <f t="shared" si="116"/>
        <v>1.2541624826145834</v>
      </c>
    </row>
    <row r="260" spans="1:13">
      <c r="A260" s="173"/>
      <c r="B260" s="173"/>
      <c r="C260" s="173"/>
      <c r="D260" s="173"/>
      <c r="E260" s="173"/>
      <c r="F260" s="173"/>
      <c r="G260" s="173"/>
      <c r="H260" s="173"/>
      <c r="I260" s="173"/>
      <c r="J260" s="173"/>
      <c r="K260" s="173"/>
      <c r="L260" s="173"/>
      <c r="M260" s="932"/>
    </row>
    <row r="261" spans="1:13" hidden="1"/>
    <row r="262" spans="1:13" hidden="1">
      <c r="A262" s="40" t="s">
        <v>342</v>
      </c>
      <c r="B262" s="40"/>
      <c r="C262" s="40"/>
      <c r="D262" s="40"/>
      <c r="E262" s="40"/>
      <c r="F262" s="40"/>
      <c r="G262" s="40"/>
      <c r="H262" s="40"/>
      <c r="I262" s="40"/>
      <c r="J262" s="40"/>
      <c r="K262" s="40"/>
      <c r="L262" s="40"/>
    </row>
    <row r="263" spans="1:13" hidden="1">
      <c r="A263" s="172" t="s">
        <v>245</v>
      </c>
      <c r="B263" s="172"/>
      <c r="C263" s="172"/>
      <c r="D263" s="172"/>
      <c r="E263" s="172"/>
      <c r="F263" s="172"/>
      <c r="G263" s="172"/>
      <c r="H263" s="172"/>
      <c r="I263" s="172"/>
      <c r="J263" s="172"/>
      <c r="K263" s="172"/>
      <c r="L263" s="172"/>
      <c r="M263" s="933"/>
    </row>
    <row r="264" spans="1:13" hidden="1">
      <c r="A264" s="40" t="s">
        <v>342</v>
      </c>
      <c r="B264" s="40"/>
      <c r="C264" s="40"/>
      <c r="D264" s="40"/>
      <c r="E264" s="40"/>
      <c r="F264" s="40"/>
      <c r="G264" s="40"/>
      <c r="H264" s="40"/>
      <c r="I264" s="40"/>
      <c r="J264" s="40"/>
      <c r="K264" s="40"/>
      <c r="L264" s="40"/>
    </row>
    <row r="265" spans="1:13" hidden="1">
      <c r="A265" s="166" t="s">
        <v>242</v>
      </c>
      <c r="B265" s="456">
        <f>B95*12/1000</f>
        <v>0</v>
      </c>
      <c r="C265" s="1071">
        <f t="shared" ref="C265:L265" si="117">C95*12/1000</f>
        <v>1500009.0428057092</v>
      </c>
      <c r="D265" s="1071">
        <f t="shared" si="117"/>
        <v>3653345.3548495569</v>
      </c>
      <c r="E265" s="1071">
        <f t="shared" si="117"/>
        <v>4872016.3758775936</v>
      </c>
      <c r="F265" s="1071">
        <f t="shared" si="117"/>
        <v>6267396.2958756573</v>
      </c>
      <c r="G265" s="1071">
        <f t="shared" si="117"/>
        <v>8991146.4301984347</v>
      </c>
      <c r="H265" s="1071">
        <f t="shared" si="117"/>
        <v>12144126.364943204</v>
      </c>
      <c r="I265" s="1071">
        <f t="shared" si="117"/>
        <v>13184058.687824668</v>
      </c>
      <c r="J265" s="1071">
        <f t="shared" si="117"/>
        <v>14381147.845127843</v>
      </c>
      <c r="K265" s="1071">
        <f t="shared" si="117"/>
        <v>15763294.84265429</v>
      </c>
      <c r="L265" s="1071">
        <f t="shared" si="117"/>
        <v>17363786.459831193</v>
      </c>
    </row>
    <row r="266" spans="1:13" hidden="1">
      <c r="A266" s="166" t="s">
        <v>243</v>
      </c>
      <c r="B266" s="456">
        <f>B68*B75*12/1000</f>
        <v>0</v>
      </c>
      <c r="C266" s="1071">
        <f t="shared" ref="C266:L266" si="118">C68*C75*12/1000</f>
        <v>343943.6258626334</v>
      </c>
      <c r="D266" s="1071">
        <f t="shared" si="118"/>
        <v>719216.46568947576</v>
      </c>
      <c r="E266" s="1071">
        <f t="shared" si="118"/>
        <v>946135.99278084177</v>
      </c>
      <c r="F266" s="1071">
        <f t="shared" si="118"/>
        <v>1201073.2997579118</v>
      </c>
      <c r="G266" s="1071">
        <f t="shared" si="118"/>
        <v>1700986.0047855831</v>
      </c>
      <c r="H266" s="1071">
        <f t="shared" si="118"/>
        <v>2269024.976784029</v>
      </c>
      <c r="I266" s="1071">
        <f t="shared" si="118"/>
        <v>2433832.4301477894</v>
      </c>
      <c r="J266" s="1071">
        <f t="shared" si="118"/>
        <v>2623835.8244984024</v>
      </c>
      <c r="K266" s="1071">
        <f t="shared" si="118"/>
        <v>2842866.9665927733</v>
      </c>
      <c r="L266" s="1071">
        <f t="shared" si="118"/>
        <v>3095541.3612648463</v>
      </c>
      <c r="M266" s="929" t="s">
        <v>247</v>
      </c>
    </row>
    <row r="267" spans="1:13" hidden="1">
      <c r="A267" s="166" t="s">
        <v>1133</v>
      </c>
      <c r="B267" s="456">
        <f>B69*B75*12/1000</f>
        <v>0</v>
      </c>
      <c r="C267" s="1071">
        <f t="shared" ref="C267:L267" si="119">C69*C75*12/1000</f>
        <v>171971.8129313167</v>
      </c>
      <c r="D267" s="1071">
        <f t="shared" si="119"/>
        <v>359608.23284473788</v>
      </c>
      <c r="E267" s="1071">
        <f t="shared" si="119"/>
        <v>473067.99639042089</v>
      </c>
      <c r="F267" s="1071">
        <f t="shared" si="119"/>
        <v>600536.64987895591</v>
      </c>
      <c r="G267" s="1071">
        <f t="shared" si="119"/>
        <v>850493.00239279156</v>
      </c>
      <c r="H267" s="1071">
        <f t="shared" si="119"/>
        <v>1134512.4883920145</v>
      </c>
      <c r="I267" s="1071">
        <f t="shared" si="119"/>
        <v>1216916.2150738947</v>
      </c>
      <c r="J267" s="1071">
        <f t="shared" si="119"/>
        <v>1311917.9122492012</v>
      </c>
      <c r="K267" s="1071">
        <f t="shared" si="119"/>
        <v>1421433.4832963867</v>
      </c>
      <c r="L267" s="1071">
        <f t="shared" si="119"/>
        <v>1547770.6806324231</v>
      </c>
    </row>
    <row r="268" spans="1:13" hidden="1">
      <c r="A268" s="166" t="s">
        <v>244</v>
      </c>
      <c r="B268" s="456">
        <f>B107*12/1000</f>
        <v>0</v>
      </c>
      <c r="C268" s="1071">
        <f t="shared" ref="C268:L268" si="120">C107*12/1000</f>
        <v>1371773.0072148019</v>
      </c>
      <c r="D268" s="1071">
        <f t="shared" si="120"/>
        <v>2806460.1739378008</v>
      </c>
      <c r="E268" s="1071">
        <f t="shared" si="120"/>
        <v>3577966.2313349894</v>
      </c>
      <c r="F268" s="1071">
        <f t="shared" si="120"/>
        <v>4368100.9169506105</v>
      </c>
      <c r="G268" s="1071">
        <f t="shared" si="120"/>
        <v>5918030.199304685</v>
      </c>
      <c r="H268" s="1071">
        <f t="shared" si="120"/>
        <v>7506667.5601698738</v>
      </c>
      <c r="I268" s="1071">
        <f t="shared" si="120"/>
        <v>7627558.1612057732</v>
      </c>
      <c r="J268" s="1071">
        <f t="shared" si="120"/>
        <v>7759116.0913834861</v>
      </c>
      <c r="K268" s="1071">
        <f t="shared" si="120"/>
        <v>7900271.9533740487</v>
      </c>
      <c r="L268" s="1071">
        <f t="shared" si="120"/>
        <v>8049956.5511156823</v>
      </c>
    </row>
    <row r="269" spans="1:13" hidden="1">
      <c r="A269" s="40" t="s">
        <v>760</v>
      </c>
      <c r="B269" s="455">
        <f t="shared" ref="B269:L269" si="121">SUM(B265:B268)</f>
        <v>0</v>
      </c>
      <c r="C269" s="1074">
        <f t="shared" si="121"/>
        <v>3387697.488814461</v>
      </c>
      <c r="D269" s="1074">
        <f t="shared" si="121"/>
        <v>7538630.2273215726</v>
      </c>
      <c r="E269" s="1074">
        <f t="shared" si="121"/>
        <v>9869186.5963838454</v>
      </c>
      <c r="F269" s="1074">
        <f t="shared" si="121"/>
        <v>12437107.162463136</v>
      </c>
      <c r="G269" s="1074">
        <f t="shared" si="121"/>
        <v>17460655.636681493</v>
      </c>
      <c r="H269" s="1074">
        <f t="shared" si="121"/>
        <v>23054331.39028912</v>
      </c>
      <c r="I269" s="1074">
        <f t="shared" si="121"/>
        <v>24462365.494252127</v>
      </c>
      <c r="J269" s="1074">
        <f t="shared" si="121"/>
        <v>26076017.673258934</v>
      </c>
      <c r="K269" s="1074">
        <f t="shared" si="121"/>
        <v>27927867.245917499</v>
      </c>
      <c r="L269" s="1074">
        <f t="shared" si="121"/>
        <v>30057055.052844144</v>
      </c>
    </row>
    <row r="270" spans="1:13" hidden="1">
      <c r="A270" s="40"/>
      <c r="B270" s="40"/>
      <c r="C270" s="40"/>
      <c r="D270" s="40"/>
      <c r="E270" s="40"/>
      <c r="F270" s="40"/>
      <c r="G270" s="40"/>
      <c r="H270" s="40"/>
      <c r="I270" s="40"/>
      <c r="J270" s="40"/>
      <c r="K270" s="40"/>
      <c r="L270" s="40"/>
    </row>
    <row r="271" spans="1:13" hidden="1">
      <c r="A271" s="40" t="s">
        <v>477</v>
      </c>
      <c r="B271" s="40"/>
      <c r="C271" s="40"/>
      <c r="D271" s="40"/>
      <c r="E271" s="40"/>
      <c r="F271" s="40"/>
      <c r="G271" s="40"/>
      <c r="H271" s="40"/>
      <c r="I271" s="40"/>
      <c r="J271" s="40"/>
      <c r="K271" s="40"/>
      <c r="L271" s="40"/>
    </row>
    <row r="272" spans="1:13" ht="30" hidden="1">
      <c r="A272" s="40" t="s">
        <v>486</v>
      </c>
      <c r="B272" s="40">
        <v>0.15</v>
      </c>
      <c r="C272" s="40">
        <v>0.15</v>
      </c>
      <c r="D272" s="40">
        <v>0.15</v>
      </c>
      <c r="E272" s="40">
        <v>0.15</v>
      </c>
      <c r="F272" s="40">
        <v>0.15</v>
      </c>
      <c r="G272" s="40">
        <v>0.15</v>
      </c>
      <c r="H272" s="40">
        <v>0.15</v>
      </c>
      <c r="I272" s="40">
        <v>0.15</v>
      </c>
      <c r="J272" s="40">
        <v>0.15</v>
      </c>
      <c r="K272" s="40">
        <v>0.15</v>
      </c>
      <c r="L272" s="40">
        <v>0.15</v>
      </c>
    </row>
    <row r="273" spans="1:13" hidden="1">
      <c r="A273" s="172" t="s">
        <v>245</v>
      </c>
      <c r="B273" s="172"/>
      <c r="C273" s="172"/>
      <c r="D273" s="172"/>
      <c r="E273" s="172"/>
      <c r="F273" s="172"/>
      <c r="G273" s="172"/>
      <c r="H273" s="172"/>
      <c r="I273" s="172"/>
      <c r="J273" s="172"/>
      <c r="K273" s="172"/>
      <c r="L273" s="172"/>
      <c r="M273" s="933"/>
    </row>
    <row r="274" spans="1:13" hidden="1">
      <c r="A274" s="40" t="s">
        <v>342</v>
      </c>
      <c r="B274" s="40"/>
      <c r="C274" s="40"/>
      <c r="D274" s="40"/>
      <c r="E274" s="40"/>
      <c r="F274" s="40"/>
      <c r="G274" s="40"/>
      <c r="H274" s="40"/>
      <c r="I274" s="40"/>
      <c r="J274" s="40"/>
      <c r="K274" s="40"/>
      <c r="L274" s="40"/>
    </row>
    <row r="275" spans="1:13" hidden="1">
      <c r="A275" s="166" t="s">
        <v>242</v>
      </c>
      <c r="B275" s="456">
        <f>B265*(1+B$163)</f>
        <v>0</v>
      </c>
      <c r="C275" s="1071">
        <f t="shared" ref="C275:L275" si="122">C265*(1+C$163)</f>
        <v>1725010.3992265654</v>
      </c>
      <c r="D275" s="1071">
        <f t="shared" si="122"/>
        <v>4201347.1580769904</v>
      </c>
      <c r="E275" s="1071">
        <f t="shared" si="122"/>
        <v>5602818.8322592322</v>
      </c>
      <c r="F275" s="1071">
        <f t="shared" si="122"/>
        <v>7207505.7402570052</v>
      </c>
      <c r="G275" s="1071">
        <f t="shared" si="122"/>
        <v>10339818.394728199</v>
      </c>
      <c r="H275" s="1071">
        <f t="shared" si="122"/>
        <v>13965745.319684684</v>
      </c>
      <c r="I275" s="1071">
        <f t="shared" si="122"/>
        <v>15161667.490998367</v>
      </c>
      <c r="J275" s="1071">
        <f t="shared" si="122"/>
        <v>16538320.021897018</v>
      </c>
      <c r="K275" s="1071">
        <f t="shared" si="122"/>
        <v>18127789.069052432</v>
      </c>
      <c r="L275" s="1071">
        <f t="shared" si="122"/>
        <v>19968354.428805869</v>
      </c>
    </row>
    <row r="276" spans="1:13" hidden="1">
      <c r="A276" s="166" t="s">
        <v>243</v>
      </c>
      <c r="B276" s="456">
        <f t="shared" ref="B276:L276" si="123">B266*(1+B$163)</f>
        <v>0</v>
      </c>
      <c r="C276" s="1071">
        <f t="shared" si="123"/>
        <v>395535.1697420284</v>
      </c>
      <c r="D276" s="1071">
        <f t="shared" si="123"/>
        <v>827098.93554289709</v>
      </c>
      <c r="E276" s="1071">
        <f t="shared" si="123"/>
        <v>1088056.3916979679</v>
      </c>
      <c r="F276" s="1071">
        <f t="shared" si="123"/>
        <v>1381234.2947215985</v>
      </c>
      <c r="G276" s="1071">
        <f t="shared" si="123"/>
        <v>1956133.9055034204</v>
      </c>
      <c r="H276" s="1071">
        <f t="shared" si="123"/>
        <v>2609378.7233016333</v>
      </c>
      <c r="I276" s="1071">
        <f t="shared" si="123"/>
        <v>2798907.2946699578</v>
      </c>
      <c r="J276" s="1071">
        <f t="shared" si="123"/>
        <v>3017411.1981731625</v>
      </c>
      <c r="K276" s="1071">
        <f t="shared" si="123"/>
        <v>3269297.0115816891</v>
      </c>
      <c r="L276" s="1071">
        <f t="shared" si="123"/>
        <v>3559872.5654545729</v>
      </c>
      <c r="M276" s="929" t="s">
        <v>247</v>
      </c>
    </row>
    <row r="277" spans="1:13" hidden="1">
      <c r="A277" s="166" t="s">
        <v>1133</v>
      </c>
      <c r="B277" s="456">
        <f t="shared" ref="B277:L278" si="124">B267*(1+B$163)</f>
        <v>0</v>
      </c>
      <c r="C277" s="1071">
        <f t="shared" si="124"/>
        <v>197767.5848710142</v>
      </c>
      <c r="D277" s="1071">
        <f t="shared" si="124"/>
        <v>413549.46777144854</v>
      </c>
      <c r="E277" s="1071">
        <f t="shared" si="124"/>
        <v>544028.19584898395</v>
      </c>
      <c r="F277" s="1071">
        <f t="shared" si="124"/>
        <v>690617.14736079925</v>
      </c>
      <c r="G277" s="1071">
        <f t="shared" si="124"/>
        <v>978066.9527517102</v>
      </c>
      <c r="H277" s="1071">
        <f t="shared" si="124"/>
        <v>1304689.3616508166</v>
      </c>
      <c r="I277" s="1071">
        <f t="shared" si="124"/>
        <v>1399453.6473349789</v>
      </c>
      <c r="J277" s="1071">
        <f t="shared" si="124"/>
        <v>1508705.5990865813</v>
      </c>
      <c r="K277" s="1071">
        <f t="shared" si="124"/>
        <v>1634648.5057908446</v>
      </c>
      <c r="L277" s="1071">
        <f t="shared" si="124"/>
        <v>1779936.2827272865</v>
      </c>
    </row>
    <row r="278" spans="1:13" hidden="1">
      <c r="A278" s="166" t="s">
        <v>244</v>
      </c>
      <c r="B278" s="456">
        <f t="shared" si="124"/>
        <v>0</v>
      </c>
      <c r="C278" s="1071">
        <f t="shared" ref="C278:L278" si="125">C268*(1+C$163)</f>
        <v>1577538.9582970219</v>
      </c>
      <c r="D278" s="1071">
        <f t="shared" si="125"/>
        <v>3227429.2000284707</v>
      </c>
      <c r="E278" s="1071">
        <f t="shared" si="125"/>
        <v>4114661.1660352377</v>
      </c>
      <c r="F278" s="1071">
        <f t="shared" si="125"/>
        <v>5023316.0544932019</v>
      </c>
      <c r="G278" s="1071">
        <f t="shared" si="125"/>
        <v>6805734.7292003874</v>
      </c>
      <c r="H278" s="1071">
        <f t="shared" si="125"/>
        <v>8632667.6941953544</v>
      </c>
      <c r="I278" s="1071">
        <f t="shared" si="125"/>
        <v>8771691.8853866383</v>
      </c>
      <c r="J278" s="1071">
        <f t="shared" si="125"/>
        <v>8922983.5050910078</v>
      </c>
      <c r="K278" s="1071">
        <f t="shared" si="125"/>
        <v>9085312.7463801559</v>
      </c>
      <c r="L278" s="1071">
        <f t="shared" si="125"/>
        <v>9257450.0337830335</v>
      </c>
    </row>
    <row r="279" spans="1:13" hidden="1">
      <c r="A279" s="40" t="s">
        <v>760</v>
      </c>
      <c r="B279" s="455">
        <f t="shared" ref="B279:L279" si="126">SUM(B275:B278)</f>
        <v>0</v>
      </c>
      <c r="C279" s="1074">
        <f t="shared" si="126"/>
        <v>3895852.1121366294</v>
      </c>
      <c r="D279" s="1074">
        <f t="shared" si="126"/>
        <v>8669424.7614198066</v>
      </c>
      <c r="E279" s="1074">
        <f t="shared" si="126"/>
        <v>11349564.585841421</v>
      </c>
      <c r="F279" s="1074">
        <f t="shared" si="126"/>
        <v>14302673.236832606</v>
      </c>
      <c r="G279" s="1074">
        <f t="shared" si="126"/>
        <v>20079753.982183717</v>
      </c>
      <c r="H279" s="1074">
        <f t="shared" si="126"/>
        <v>26512481.098832488</v>
      </c>
      <c r="I279" s="1074">
        <f t="shared" si="126"/>
        <v>28131720.318389941</v>
      </c>
      <c r="J279" s="1074">
        <f t="shared" si="126"/>
        <v>29987420.32424777</v>
      </c>
      <c r="K279" s="1074">
        <f t="shared" si="126"/>
        <v>32117047.332805119</v>
      </c>
      <c r="L279" s="1074">
        <f t="shared" si="126"/>
        <v>34565613.310770765</v>
      </c>
    </row>
    <row r="280" spans="1:13" hidden="1">
      <c r="A280" s="40"/>
      <c r="B280" s="455"/>
      <c r="C280" s="455"/>
      <c r="D280" s="455"/>
      <c r="E280" s="455"/>
      <c r="F280" s="455"/>
      <c r="G280" s="455"/>
      <c r="H280" s="455"/>
      <c r="I280" s="455"/>
      <c r="J280" s="455"/>
      <c r="K280" s="455"/>
      <c r="L280" s="455"/>
    </row>
    <row r="281" spans="1:13" ht="30" hidden="1">
      <c r="A281" s="40" t="s">
        <v>246</v>
      </c>
      <c r="B281" s="455"/>
      <c r="C281" s="455"/>
      <c r="D281" s="455"/>
      <c r="E281" s="455"/>
      <c r="F281" s="455"/>
      <c r="G281" s="455"/>
      <c r="H281" s="455"/>
      <c r="I281" s="455"/>
      <c r="J281" s="455"/>
      <c r="K281" s="455"/>
      <c r="L281" s="455"/>
    </row>
    <row r="282" spans="1:13" hidden="1">
      <c r="A282" s="40" t="s">
        <v>342</v>
      </c>
      <c r="B282" s="455"/>
      <c r="C282" s="455"/>
      <c r="D282" s="455"/>
      <c r="E282" s="455"/>
      <c r="F282" s="455"/>
      <c r="G282" s="455"/>
      <c r="H282" s="455"/>
      <c r="I282" s="455"/>
      <c r="J282" s="455"/>
      <c r="K282" s="455"/>
      <c r="L282" s="455"/>
    </row>
    <row r="283" spans="1:13" hidden="1">
      <c r="A283" s="40"/>
      <c r="B283" s="455">
        <v>2010</v>
      </c>
      <c r="C283" s="455">
        <v>2011</v>
      </c>
      <c r="D283" s="455">
        <v>2012</v>
      </c>
      <c r="E283" s="455">
        <v>2013</v>
      </c>
      <c r="F283" s="455">
        <v>2014</v>
      </c>
      <c r="G283" s="455">
        <v>2015</v>
      </c>
      <c r="H283" s="455">
        <v>2016</v>
      </c>
      <c r="I283" s="455">
        <v>2017</v>
      </c>
      <c r="J283" s="455">
        <v>2018</v>
      </c>
      <c r="K283" s="455">
        <v>2019</v>
      </c>
      <c r="L283" s="455">
        <v>2020</v>
      </c>
    </row>
    <row r="284" spans="1:13" hidden="1">
      <c r="A284" s="166" t="s">
        <v>242</v>
      </c>
      <c r="B284" s="460">
        <f>B275/B$8*100</f>
        <v>0</v>
      </c>
      <c r="C284" s="460">
        <f t="shared" ref="C284:L284" si="127">C275/C$8*100</f>
        <v>7.1643766053422861E-2</v>
      </c>
      <c r="D284" s="460">
        <f t="shared" si="127"/>
        <v>0.15253645820907732</v>
      </c>
      <c r="E284" s="460">
        <f t="shared" si="127"/>
        <v>0.17714266168305193</v>
      </c>
      <c r="F284" s="460">
        <f t="shared" si="127"/>
        <v>0.19897933506569906</v>
      </c>
      <c r="G284" s="460">
        <f t="shared" si="127"/>
        <v>0.2504007512994938</v>
      </c>
      <c r="H284" s="460">
        <f t="shared" si="127"/>
        <v>0.2978975095438402</v>
      </c>
      <c r="I284" s="460">
        <f t="shared" si="127"/>
        <v>0.28536219029491616</v>
      </c>
      <c r="J284" s="460">
        <f t="shared" si="127"/>
        <v>0.27465664601810375</v>
      </c>
      <c r="K284" s="460">
        <f t="shared" si="127"/>
        <v>0.26555454018419189</v>
      </c>
      <c r="L284" s="460">
        <f t="shared" si="127"/>
        <v>0.25793814856366898</v>
      </c>
    </row>
    <row r="285" spans="1:13" hidden="1">
      <c r="A285" s="166" t="s">
        <v>243</v>
      </c>
      <c r="B285" s="460">
        <f t="shared" ref="B285:L285" si="128">B276/B$8*100</f>
        <v>0</v>
      </c>
      <c r="C285" s="460">
        <f t="shared" si="128"/>
        <v>1.6427512077379004E-2</v>
      </c>
      <c r="D285" s="460">
        <f t="shared" si="128"/>
        <v>3.0029116249931067E-2</v>
      </c>
      <c r="E285" s="460">
        <f t="shared" si="128"/>
        <v>3.4400756308037905E-2</v>
      </c>
      <c r="F285" s="460">
        <f t="shared" si="128"/>
        <v>3.8132065576938871E-2</v>
      </c>
      <c r="G285" s="460">
        <f t="shared" si="128"/>
        <v>4.7371953827564796E-2</v>
      </c>
      <c r="H285" s="460">
        <f t="shared" si="128"/>
        <v>5.5659573143769181E-2</v>
      </c>
      <c r="I285" s="460">
        <f t="shared" si="128"/>
        <v>5.2679055025684679E-2</v>
      </c>
      <c r="J285" s="460">
        <f t="shared" si="128"/>
        <v>5.01110172164057E-2</v>
      </c>
      <c r="K285" s="460">
        <f t="shared" si="128"/>
        <v>4.7892032576563361E-2</v>
      </c>
      <c r="L285" s="460">
        <f t="shared" si="128"/>
        <v>4.5984106598756028E-2</v>
      </c>
    </row>
    <row r="286" spans="1:13" hidden="1">
      <c r="A286" s="166" t="s">
        <v>1133</v>
      </c>
      <c r="B286" s="460">
        <f t="shared" ref="B286:L286" si="129">B277/B$8*100</f>
        <v>0</v>
      </c>
      <c r="C286" s="460">
        <f t="shared" si="129"/>
        <v>8.2137560386895021E-3</v>
      </c>
      <c r="D286" s="460">
        <f t="shared" si="129"/>
        <v>1.5014558124965533E-2</v>
      </c>
      <c r="E286" s="460">
        <f t="shared" si="129"/>
        <v>1.7200378154018953E-2</v>
      </c>
      <c r="F286" s="460">
        <f t="shared" si="129"/>
        <v>1.9066032788469436E-2</v>
      </c>
      <c r="G286" s="460">
        <f t="shared" si="129"/>
        <v>2.3685976913782398E-2</v>
      </c>
      <c r="H286" s="460">
        <f t="shared" si="129"/>
        <v>2.782978657188459E-2</v>
      </c>
      <c r="I286" s="460">
        <f t="shared" si="129"/>
        <v>2.633952751284234E-2</v>
      </c>
      <c r="J286" s="460">
        <f t="shared" si="129"/>
        <v>2.505550860820285E-2</v>
      </c>
      <c r="K286" s="460">
        <f t="shared" si="129"/>
        <v>2.394601628828168E-2</v>
      </c>
      <c r="L286" s="460">
        <f t="shared" si="129"/>
        <v>2.2992053299378014E-2</v>
      </c>
    </row>
    <row r="287" spans="1:13" hidden="1">
      <c r="A287" s="166" t="s">
        <v>244</v>
      </c>
      <c r="B287" s="460">
        <f t="shared" ref="B287:L287" si="130">B278/B$8*100</f>
        <v>0</v>
      </c>
      <c r="C287" s="460">
        <f t="shared" si="130"/>
        <v>6.551892795490788E-2</v>
      </c>
      <c r="D287" s="460">
        <f t="shared" si="130"/>
        <v>0.11717684846548861</v>
      </c>
      <c r="E287" s="460">
        <f t="shared" si="130"/>
        <v>0.1300920220155439</v>
      </c>
      <c r="F287" s="460">
        <f t="shared" si="130"/>
        <v>0.13867988793474989</v>
      </c>
      <c r="G287" s="460">
        <f t="shared" si="130"/>
        <v>0.16481537917587677</v>
      </c>
      <c r="H287" s="460">
        <f t="shared" si="130"/>
        <v>0.18413984702954783</v>
      </c>
      <c r="I287" s="460">
        <f t="shared" si="130"/>
        <v>0.16509458544003783</v>
      </c>
      <c r="J287" s="460">
        <f t="shared" si="130"/>
        <v>0.14818655817146581</v>
      </c>
      <c r="K287" s="460">
        <f t="shared" si="130"/>
        <v>0.13309102613696028</v>
      </c>
      <c r="L287" s="460">
        <f t="shared" si="130"/>
        <v>0.11958168764723126</v>
      </c>
    </row>
    <row r="288" spans="1:13" hidden="1">
      <c r="A288" s="171" t="s">
        <v>760</v>
      </c>
      <c r="B288" s="461">
        <f t="shared" ref="B288:L288" si="131">SUM(B284:B287)</f>
        <v>0</v>
      </c>
      <c r="C288" s="461">
        <f t="shared" si="131"/>
        <v>0.16180396212439924</v>
      </c>
      <c r="D288" s="461">
        <f t="shared" si="131"/>
        <v>0.31475698104946254</v>
      </c>
      <c r="E288" s="461">
        <f t="shared" si="131"/>
        <v>0.35883581816065269</v>
      </c>
      <c r="F288" s="461">
        <f t="shared" si="131"/>
        <v>0.39485732136585727</v>
      </c>
      <c r="G288" s="461">
        <f t="shared" si="131"/>
        <v>0.48627406121671779</v>
      </c>
      <c r="H288" s="461">
        <f t="shared" si="131"/>
        <v>0.56552671628904183</v>
      </c>
      <c r="I288" s="461">
        <f t="shared" si="131"/>
        <v>0.52947535827348102</v>
      </c>
      <c r="J288" s="461">
        <f t="shared" si="131"/>
        <v>0.49800973001417809</v>
      </c>
      <c r="K288" s="461">
        <f t="shared" si="131"/>
        <v>0.47048361518599724</v>
      </c>
      <c r="L288" s="461">
        <f t="shared" si="131"/>
        <v>0.44649599610903429</v>
      </c>
    </row>
    <row r="289" spans="1:13" ht="30" hidden="1">
      <c r="A289" s="40" t="s">
        <v>252</v>
      </c>
      <c r="B289" s="462"/>
      <c r="C289" s="462"/>
      <c r="D289" s="462"/>
      <c r="E289" s="462"/>
      <c r="F289" s="462"/>
      <c r="G289" s="462"/>
      <c r="H289" s="462"/>
      <c r="I289" s="462"/>
      <c r="J289" s="462"/>
      <c r="K289" s="462"/>
      <c r="L289" s="462"/>
    </row>
    <row r="290" spans="1:13" hidden="1">
      <c r="A290" s="40" t="s">
        <v>342</v>
      </c>
      <c r="B290" s="462"/>
      <c r="C290" s="462"/>
      <c r="D290" s="462"/>
      <c r="E290" s="462"/>
      <c r="F290" s="462"/>
      <c r="G290" s="462"/>
      <c r="H290" s="462"/>
      <c r="I290" s="462"/>
      <c r="J290" s="462"/>
      <c r="K290" s="462"/>
      <c r="L290" s="462"/>
    </row>
    <row r="291" spans="1:13" hidden="1">
      <c r="B291" s="455">
        <v>2010</v>
      </c>
      <c r="C291" s="455">
        <v>2011</v>
      </c>
      <c r="D291" s="455">
        <v>2012</v>
      </c>
      <c r="E291" s="455">
        <v>2013</v>
      </c>
      <c r="F291" s="455">
        <v>2014</v>
      </c>
      <c r="G291" s="455">
        <v>2015</v>
      </c>
      <c r="H291" s="455">
        <v>2016</v>
      </c>
      <c r="I291" s="455">
        <v>2017</v>
      </c>
      <c r="J291" s="455">
        <v>2018</v>
      </c>
      <c r="K291" s="455">
        <v>2019</v>
      </c>
      <c r="L291" s="455">
        <v>2020</v>
      </c>
    </row>
    <row r="292" spans="1:13" hidden="1">
      <c r="A292" s="166" t="s">
        <v>242</v>
      </c>
      <c r="B292" s="460">
        <f>B275/B$9*100</f>
        <v>0</v>
      </c>
      <c r="C292" s="460">
        <f t="shared" ref="C292:L292" si="132">C275/C$9*100</f>
        <v>0.22584505868159227</v>
      </c>
      <c r="D292" s="460">
        <f t="shared" si="132"/>
        <v>0.47885525091440329</v>
      </c>
      <c r="E292" s="460">
        <f t="shared" si="132"/>
        <v>0.55894655271104843</v>
      </c>
      <c r="F292" s="460">
        <f t="shared" si="132"/>
        <v>0.62965449027119935</v>
      </c>
      <c r="G292" s="460">
        <f t="shared" si="132"/>
        <v>0.79485022204169931</v>
      </c>
      <c r="H292" s="460">
        <f t="shared" si="132"/>
        <v>0.95011828175008761</v>
      </c>
      <c r="I292" s="460">
        <f t="shared" si="132"/>
        <v>0.91241180244619369</v>
      </c>
      <c r="J292" s="460">
        <f t="shared" si="132"/>
        <v>0.8825006460457131</v>
      </c>
      <c r="K292" s="460">
        <f t="shared" si="132"/>
        <v>0.8572663484734554</v>
      </c>
      <c r="L292" s="460">
        <f t="shared" si="132"/>
        <v>0.83654522535260845</v>
      </c>
    </row>
    <row r="293" spans="1:13" hidden="1">
      <c r="A293" s="166" t="s">
        <v>243</v>
      </c>
      <c r="B293" s="460">
        <f t="shared" ref="B293:L293" si="133">B276/B$9*100</f>
        <v>0</v>
      </c>
      <c r="C293" s="460">
        <f t="shared" si="133"/>
        <v>5.1785000056274594E-2</v>
      </c>
      <c r="D293" s="460">
        <f t="shared" si="133"/>
        <v>9.4269921862803613E-2</v>
      </c>
      <c r="E293" s="460">
        <f t="shared" si="133"/>
        <v>0.10854632061154297</v>
      </c>
      <c r="F293" s="460">
        <f t="shared" si="133"/>
        <v>0.12066592898155859</v>
      </c>
      <c r="G293" s="460">
        <f t="shared" si="133"/>
        <v>0.15037338275935569</v>
      </c>
      <c r="H293" s="460">
        <f t="shared" si="133"/>
        <v>0.17752138337537438</v>
      </c>
      <c r="I293" s="460">
        <f t="shared" si="133"/>
        <v>0.16843503863449097</v>
      </c>
      <c r="J293" s="460">
        <f t="shared" si="133"/>
        <v>0.16101196060105882</v>
      </c>
      <c r="K293" s="460">
        <f t="shared" si="133"/>
        <v>0.15460563340173034</v>
      </c>
      <c r="L293" s="460">
        <f t="shared" si="133"/>
        <v>0.14913569408597738</v>
      </c>
    </row>
    <row r="294" spans="1:13" hidden="1">
      <c r="A294" s="166" t="s">
        <v>1133</v>
      </c>
      <c r="B294" s="460">
        <f t="shared" ref="B294:L294" si="134">B277/B$9*100</f>
        <v>0</v>
      </c>
      <c r="C294" s="460">
        <f t="shared" si="134"/>
        <v>2.5892500028137297E-2</v>
      </c>
      <c r="D294" s="460">
        <f t="shared" si="134"/>
        <v>4.7134960931401806E-2</v>
      </c>
      <c r="E294" s="460">
        <f t="shared" si="134"/>
        <v>5.4273160305771485E-2</v>
      </c>
      <c r="F294" s="460">
        <f t="shared" si="134"/>
        <v>6.0332964490779295E-2</v>
      </c>
      <c r="G294" s="460">
        <f t="shared" si="134"/>
        <v>7.5186691379677845E-2</v>
      </c>
      <c r="H294" s="460">
        <f t="shared" si="134"/>
        <v>8.8760691687687188E-2</v>
      </c>
      <c r="I294" s="460">
        <f t="shared" si="134"/>
        <v>8.4217519317245484E-2</v>
      </c>
      <c r="J294" s="460">
        <f t="shared" si="134"/>
        <v>8.0505980300529412E-2</v>
      </c>
      <c r="K294" s="460">
        <f t="shared" si="134"/>
        <v>7.7302816700865168E-2</v>
      </c>
      <c r="L294" s="460">
        <f t="shared" si="134"/>
        <v>7.4567847042988689E-2</v>
      </c>
    </row>
    <row r="295" spans="1:13" hidden="1">
      <c r="A295" s="166" t="s">
        <v>244</v>
      </c>
      <c r="B295" s="460">
        <f t="shared" ref="B295:L295" si="135">B278/B$9*100</f>
        <v>0</v>
      </c>
      <c r="C295" s="460">
        <f t="shared" si="135"/>
        <v>0.20653752508902676</v>
      </c>
      <c r="D295" s="460">
        <f t="shared" si="135"/>
        <v>0.36785139652574844</v>
      </c>
      <c r="E295" s="460">
        <f t="shared" si="135"/>
        <v>0.41048546154793963</v>
      </c>
      <c r="F295" s="460">
        <f t="shared" si="135"/>
        <v>0.43884162201864096</v>
      </c>
      <c r="G295" s="460">
        <f t="shared" si="135"/>
        <v>0.52317550987354966</v>
      </c>
      <c r="H295" s="460">
        <f t="shared" si="135"/>
        <v>0.58729807889075591</v>
      </c>
      <c r="I295" s="460">
        <f t="shared" si="135"/>
        <v>0.52787038156587773</v>
      </c>
      <c r="J295" s="460">
        <f t="shared" si="135"/>
        <v>0.47613897285044865</v>
      </c>
      <c r="K295" s="460">
        <f t="shared" si="135"/>
        <v>0.42964604526015571</v>
      </c>
      <c r="L295" s="460">
        <f t="shared" si="135"/>
        <v>0.38782743226601757</v>
      </c>
    </row>
    <row r="296" spans="1:13" hidden="1">
      <c r="A296" s="171" t="s">
        <v>760</v>
      </c>
      <c r="B296" s="461">
        <f t="shared" ref="B296:L296" si="136">SUM(B292:B295)</f>
        <v>0</v>
      </c>
      <c r="C296" s="461">
        <f t="shared" si="136"/>
        <v>0.51006008385503088</v>
      </c>
      <c r="D296" s="461">
        <f t="shared" si="136"/>
        <v>0.98811153023435705</v>
      </c>
      <c r="E296" s="461">
        <f t="shared" si="136"/>
        <v>1.1322514951763025</v>
      </c>
      <c r="F296" s="461">
        <f t="shared" si="136"/>
        <v>1.2494950057621783</v>
      </c>
      <c r="G296" s="461">
        <f t="shared" si="136"/>
        <v>1.5435858060542826</v>
      </c>
      <c r="H296" s="461">
        <f t="shared" si="136"/>
        <v>1.8036984357039052</v>
      </c>
      <c r="I296" s="461">
        <f t="shared" si="136"/>
        <v>1.6929347419638079</v>
      </c>
      <c r="J296" s="461">
        <f t="shared" si="136"/>
        <v>1.60015755979775</v>
      </c>
      <c r="K296" s="461">
        <f t="shared" si="136"/>
        <v>1.5188208438362065</v>
      </c>
      <c r="L296" s="461">
        <f t="shared" si="136"/>
        <v>1.4480761987475921</v>
      </c>
    </row>
    <row r="297" spans="1:13" hidden="1">
      <c r="A297" s="173"/>
      <c r="B297" s="173"/>
      <c r="C297" s="173"/>
      <c r="D297" s="173"/>
      <c r="E297" s="173"/>
      <c r="F297" s="173"/>
      <c r="G297" s="173"/>
      <c r="H297" s="173"/>
      <c r="I297" s="173"/>
      <c r="J297" s="173"/>
      <c r="K297" s="173"/>
      <c r="L297" s="173"/>
      <c r="M297" s="932"/>
    </row>
  </sheetData>
  <mergeCells count="2">
    <mergeCell ref="C5:L5"/>
    <mergeCell ref="M5:M6"/>
  </mergeCells>
  <phoneticPr fontId="24" type="noConversion"/>
  <pageMargins left="0.31" right="0.23" top="0.56999999999999995" bottom="0.5" header="0.31496062992125984" footer="0.31496062992125984"/>
  <pageSetup paperSize="9" scale="50" orientation="landscape"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sheetPr codeName="Sheet15">
    <tabColor theme="6" tint="-0.249977111117893"/>
  </sheetPr>
  <dimension ref="A1:IV415"/>
  <sheetViews>
    <sheetView zoomScale="75" zoomScaleNormal="75" workbookViewId="0">
      <pane xSplit="1" ySplit="7" topLeftCell="B149" activePane="bottomRight" state="frozen"/>
      <selection pane="topRight" activeCell="B1" sqref="B1"/>
      <selection pane="bottomLeft" activeCell="A8" sqref="A8"/>
      <selection pane="bottomRight" activeCell="L256" sqref="L256"/>
    </sheetView>
  </sheetViews>
  <sheetFormatPr defaultColWidth="8.85546875" defaultRowHeight="15"/>
  <cols>
    <col min="1" max="1" width="57.140625" style="35" customWidth="1"/>
    <col min="2" max="4" width="14.5703125" style="17" bestFit="1" customWidth="1"/>
    <col min="5" max="9" width="14.42578125" style="17" bestFit="1" customWidth="1"/>
    <col min="10" max="10" width="14.85546875" style="17" bestFit="1" customWidth="1"/>
    <col min="11" max="12" width="14.42578125" style="17" bestFit="1" customWidth="1"/>
    <col min="13" max="13" width="64" style="17" customWidth="1"/>
    <col min="14" max="16384" width="8.85546875" style="17"/>
  </cols>
  <sheetData>
    <row r="1" spans="1:13" ht="21">
      <c r="A1" s="1314" t="s">
        <v>771</v>
      </c>
    </row>
    <row r="2" spans="1:13">
      <c r="J2" s="146"/>
      <c r="K2" s="147"/>
      <c r="L2" s="148"/>
    </row>
    <row r="3" spans="1:13">
      <c r="J3" s="146"/>
      <c r="K3" s="147"/>
      <c r="L3" s="148"/>
    </row>
    <row r="4" spans="1:13" ht="15" customHeight="1">
      <c r="A4" s="183" t="s">
        <v>797</v>
      </c>
    </row>
    <row r="5" spans="1:13" ht="9.9499999999999993" customHeight="1">
      <c r="A5" s="184"/>
    </row>
    <row r="6" spans="1:13" s="75" customFormat="1" ht="15.75">
      <c r="A6" s="28"/>
      <c r="B6" s="179">
        <v>2010</v>
      </c>
      <c r="C6" s="179">
        <v>2011</v>
      </c>
      <c r="D6" s="179">
        <v>2012</v>
      </c>
      <c r="E6" s="179">
        <v>2013</v>
      </c>
      <c r="F6" s="179">
        <v>2014</v>
      </c>
      <c r="G6" s="179">
        <v>2015</v>
      </c>
      <c r="H6" s="179">
        <v>2016</v>
      </c>
      <c r="I6" s="179">
        <v>2017</v>
      </c>
      <c r="J6" s="179">
        <v>2018</v>
      </c>
      <c r="K6" s="179">
        <v>2019</v>
      </c>
      <c r="L6" s="179">
        <v>2020</v>
      </c>
      <c r="M6" s="1491" t="s">
        <v>744</v>
      </c>
    </row>
    <row r="7" spans="1:13" s="75" customFormat="1">
      <c r="A7" s="32"/>
      <c r="B7" s="174"/>
      <c r="C7" s="174"/>
      <c r="D7" s="174"/>
      <c r="E7" s="174"/>
      <c r="F7" s="174"/>
      <c r="G7" s="174"/>
      <c r="H7" s="174"/>
      <c r="I7" s="174"/>
      <c r="J7" s="174"/>
      <c r="K7" s="174"/>
      <c r="L7" s="174"/>
      <c r="M7" s="1492"/>
    </row>
    <row r="8" spans="1:13" s="75" customFormat="1" ht="37.5" hidden="1">
      <c r="A8" s="185" t="s">
        <v>475</v>
      </c>
      <c r="B8" s="91"/>
      <c r="C8" s="91"/>
      <c r="D8" s="91"/>
      <c r="E8" s="91"/>
      <c r="F8" s="91"/>
      <c r="G8" s="91"/>
      <c r="H8" s="91"/>
      <c r="I8" s="91"/>
      <c r="J8" s="91"/>
      <c r="K8" s="91"/>
      <c r="L8" s="91"/>
      <c r="M8" s="154"/>
    </row>
    <row r="9" spans="1:13" s="75" customFormat="1" ht="18.75">
      <c r="A9" s="185"/>
      <c r="B9" s="91"/>
      <c r="C9" s="91"/>
      <c r="D9" s="91"/>
      <c r="E9" s="91"/>
      <c r="F9" s="91"/>
      <c r="G9" s="91"/>
      <c r="H9" s="91"/>
      <c r="I9" s="91"/>
      <c r="J9" s="91"/>
      <c r="K9" s="91"/>
      <c r="L9" s="91"/>
      <c r="M9" s="154"/>
    </row>
    <row r="10" spans="1:13" s="75" customFormat="1" ht="18.75">
      <c r="A10" s="1253" t="s">
        <v>974</v>
      </c>
      <c r="B10" s="1254">
        <v>80</v>
      </c>
      <c r="C10" s="1254">
        <v>80</v>
      </c>
      <c r="D10" s="1254">
        <v>78</v>
      </c>
      <c r="E10" s="1254">
        <v>76</v>
      </c>
      <c r="F10" s="1254">
        <v>76</v>
      </c>
      <c r="G10" s="1254">
        <v>74</v>
      </c>
      <c r="H10" s="1254">
        <v>72</v>
      </c>
      <c r="I10" s="1254">
        <v>70</v>
      </c>
      <c r="J10" s="1254">
        <v>68</v>
      </c>
      <c r="K10" s="1254">
        <v>66</v>
      </c>
      <c r="L10" s="1254">
        <v>65</v>
      </c>
      <c r="M10" s="154"/>
    </row>
    <row r="11" spans="1:13" s="75" customFormat="1" ht="18.75">
      <c r="A11" s="1083"/>
      <c r="B11" s="91"/>
      <c r="C11" s="91"/>
      <c r="D11" s="91"/>
      <c r="E11" s="91"/>
      <c r="F11" s="91"/>
      <c r="G11" s="91"/>
      <c r="H11" s="91"/>
      <c r="I11" s="91"/>
      <c r="J11" s="91"/>
      <c r="K11" s="91"/>
      <c r="L11" s="91"/>
      <c r="M11" s="154"/>
    </row>
    <row r="12" spans="1:13" s="75" customFormat="1" ht="17.25">
      <c r="A12" s="342" t="s">
        <v>644</v>
      </c>
      <c r="B12" s="91"/>
      <c r="C12" s="91"/>
      <c r="D12" s="91"/>
      <c r="E12" s="91"/>
      <c r="F12" s="91"/>
      <c r="G12" s="91"/>
      <c r="H12" s="91"/>
      <c r="I12" s="91"/>
      <c r="J12" s="91"/>
      <c r="K12" s="91"/>
      <c r="L12" s="91"/>
      <c r="M12" s="154"/>
    </row>
    <row r="13" spans="1:13" s="75" customFormat="1" ht="17.25">
      <c r="A13" s="344" t="s">
        <v>442</v>
      </c>
      <c r="B13" s="807">
        <f>ECO!G$64</f>
        <v>1980913600</v>
      </c>
      <c r="C13" s="807">
        <f>ECO!H$64</f>
        <v>2407760638.8534503</v>
      </c>
      <c r="D13" s="807">
        <f>ECO!I$64</f>
        <v>2754323266.3225503</v>
      </c>
      <c r="E13" s="807">
        <f>ECO!J$64</f>
        <v>3162885088.7901502</v>
      </c>
      <c r="F13" s="807">
        <f>ECO!K$64</f>
        <v>3622238328.3556705</v>
      </c>
      <c r="G13" s="807">
        <f>ECO!L$64</f>
        <v>4129308055.61409</v>
      </c>
      <c r="H13" s="807">
        <f>ECO!M$64</f>
        <v>4688104086.8955002</v>
      </c>
      <c r="I13" s="807">
        <f>ECO!N$64</f>
        <v>5313131173.8703308</v>
      </c>
      <c r="J13" s="807">
        <f>ECO!O$64</f>
        <v>6021452698.0013103</v>
      </c>
      <c r="K13" s="807">
        <f>ECO!P$64</f>
        <v>6826390185.7896204</v>
      </c>
      <c r="L13" s="807">
        <f>ECO!Q$64</f>
        <v>7741528168.671381</v>
      </c>
      <c r="M13" s="154"/>
    </row>
    <row r="14" spans="1:13" s="75" customFormat="1" ht="17.25">
      <c r="A14" s="344" t="s">
        <v>645</v>
      </c>
      <c r="B14" s="807">
        <f>'GGO(SQ) (SQ and Post SPF)'!H$190</f>
        <v>685042000</v>
      </c>
      <c r="C14" s="807">
        <f>'GGO(SQ) (SQ and Post SPF)'!I$190</f>
        <v>763802586.29371738</v>
      </c>
      <c r="D14" s="807">
        <f>'GGO(SQ) (SQ and Post SPF)'!J$190</f>
        <v>877373099.71108425</v>
      </c>
      <c r="E14" s="807">
        <f>'GGO(SQ) (SQ and Post SPF)'!K$190</f>
        <v>1002389012.8821763</v>
      </c>
      <c r="F14" s="807">
        <f>'GGO(SQ) (SQ and Post SPF)'!L$190</f>
        <v>1144676302.8963153</v>
      </c>
      <c r="G14" s="807">
        <f>'GGO(SQ) (SQ and Post SPF)'!M$190</f>
        <v>1300851167.6789532</v>
      </c>
      <c r="H14" s="807">
        <f>'GGO(SQ) (SQ and Post SPF)'!N$190</f>
        <v>1469895442.276958</v>
      </c>
      <c r="I14" s="807">
        <f>'GGO(SQ) (SQ and Post SPF)'!O$190</f>
        <v>1661713214.4005201</v>
      </c>
      <c r="J14" s="807">
        <f>'GGO(SQ) (SQ and Post SPF)'!P$190</f>
        <v>1874029225.4743962</v>
      </c>
      <c r="K14" s="807">
        <f>'GGO(SQ) (SQ and Post SPF)'!Q$190</f>
        <v>2114604066.9078875</v>
      </c>
      <c r="L14" s="807">
        <f>'GGO(SQ) (SQ and Post SPF)'!R$190</f>
        <v>2387002378.7881999</v>
      </c>
      <c r="M14" s="154"/>
    </row>
    <row r="15" spans="1:13" s="75" customFormat="1" ht="17.25">
      <c r="A15" s="342"/>
      <c r="B15" s="91"/>
      <c r="C15" s="91"/>
      <c r="D15" s="91"/>
      <c r="E15" s="91"/>
      <c r="F15" s="91"/>
      <c r="G15" s="91"/>
      <c r="H15" s="91"/>
      <c r="I15" s="91"/>
      <c r="J15" s="91"/>
      <c r="K15" s="91"/>
      <c r="L15" s="91"/>
      <c r="M15" s="154"/>
    </row>
    <row r="16" spans="1:13" s="75" customFormat="1" ht="17.25">
      <c r="A16" s="342" t="s">
        <v>555</v>
      </c>
      <c r="B16" s="343"/>
      <c r="C16" s="343"/>
      <c r="D16" s="343"/>
      <c r="E16" s="343"/>
      <c r="F16" s="343"/>
      <c r="G16" s="343"/>
      <c r="H16" s="343"/>
      <c r="I16" s="343"/>
      <c r="J16" s="343"/>
      <c r="K16" s="343"/>
      <c r="L16" s="343"/>
      <c r="M16" s="154"/>
    </row>
    <row r="17" spans="1:256" s="75" customFormat="1" ht="17.25">
      <c r="A17" s="344" t="s">
        <v>587</v>
      </c>
      <c r="B17" s="156">
        <v>0</v>
      </c>
      <c r="C17" s="156">
        <v>50</v>
      </c>
      <c r="D17" s="156">
        <v>100</v>
      </c>
      <c r="E17" s="156">
        <v>100</v>
      </c>
      <c r="F17" s="156">
        <v>100</v>
      </c>
      <c r="G17" s="156">
        <v>100</v>
      </c>
      <c r="H17" s="156">
        <v>100</v>
      </c>
      <c r="I17" s="156">
        <v>100</v>
      </c>
      <c r="J17" s="156">
        <v>100</v>
      </c>
      <c r="K17" s="156">
        <v>100</v>
      </c>
      <c r="L17" s="156">
        <v>100</v>
      </c>
      <c r="M17" s="154"/>
    </row>
    <row r="18" spans="1:256" s="75" customFormat="1" ht="17.25">
      <c r="A18" s="344" t="s">
        <v>215</v>
      </c>
      <c r="B18" s="156">
        <v>0</v>
      </c>
      <c r="C18" s="156">
        <v>10</v>
      </c>
      <c r="D18" s="156">
        <v>25</v>
      </c>
      <c r="E18" s="156">
        <v>50</v>
      </c>
      <c r="F18" s="156">
        <v>100</v>
      </c>
      <c r="G18" s="156">
        <v>100</v>
      </c>
      <c r="H18" s="156">
        <v>100</v>
      </c>
      <c r="I18" s="156">
        <v>100</v>
      </c>
      <c r="J18" s="156">
        <v>100</v>
      </c>
      <c r="K18" s="156">
        <v>100</v>
      </c>
      <c r="L18" s="156">
        <v>100</v>
      </c>
      <c r="M18" s="154"/>
    </row>
    <row r="19" spans="1:256" s="75" customFormat="1" ht="33" customHeight="1">
      <c r="A19" s="273" t="s">
        <v>556</v>
      </c>
      <c r="B19" s="1309">
        <v>0.5</v>
      </c>
      <c r="C19" s="274">
        <f>B19</f>
        <v>0.5</v>
      </c>
      <c r="D19" s="274">
        <f t="shared" ref="D19:L19" si="0">C19</f>
        <v>0.5</v>
      </c>
      <c r="E19" s="274">
        <f t="shared" si="0"/>
        <v>0.5</v>
      </c>
      <c r="F19" s="274">
        <f t="shared" si="0"/>
        <v>0.5</v>
      </c>
      <c r="G19" s="274">
        <f t="shared" si="0"/>
        <v>0.5</v>
      </c>
      <c r="H19" s="274">
        <f t="shared" si="0"/>
        <v>0.5</v>
      </c>
      <c r="I19" s="274">
        <f t="shared" si="0"/>
        <v>0.5</v>
      </c>
      <c r="J19" s="274">
        <f t="shared" si="0"/>
        <v>0.5</v>
      </c>
      <c r="K19" s="274">
        <f t="shared" si="0"/>
        <v>0.5</v>
      </c>
      <c r="L19" s="274">
        <f t="shared" si="0"/>
        <v>0.5</v>
      </c>
      <c r="M19" s="154"/>
    </row>
    <row r="20" spans="1:256" s="75" customFormat="1" ht="26.25">
      <c r="A20" s="273" t="s">
        <v>996</v>
      </c>
      <c r="B20" s="1309">
        <v>0.2</v>
      </c>
      <c r="C20" s="1257">
        <f>B20*POWER($L20/$B20,1/10)</f>
        <v>0.20827594879848213</v>
      </c>
      <c r="D20" s="1257">
        <f t="shared" ref="D20:K20" si="1">C20*POWER($L20/$B20,1/10)</f>
        <v>0.21689435423953973</v>
      </c>
      <c r="E20" s="1257">
        <f t="shared" si="1"/>
        <v>0.22586938709137111</v>
      </c>
      <c r="F20" s="1257">
        <f t="shared" si="1"/>
        <v>0.23521580450493473</v>
      </c>
      <c r="G20" s="1257">
        <f t="shared" si="1"/>
        <v>0.24494897427831783</v>
      </c>
      <c r="H20" s="1257">
        <f t="shared" si="1"/>
        <v>0.25508490012515822</v>
      </c>
      <c r="I20" s="1257">
        <f t="shared" si="1"/>
        <v>0.26564024798866692</v>
      </c>
      <c r="J20" s="1257">
        <f t="shared" si="1"/>
        <v>0.27663237344451841</v>
      </c>
      <c r="K20" s="1257">
        <f t="shared" si="1"/>
        <v>0.28807935023766551</v>
      </c>
      <c r="L20" s="274">
        <v>0.3</v>
      </c>
      <c r="M20" s="154" t="s">
        <v>1045</v>
      </c>
    </row>
    <row r="21" spans="1:256" s="75" customFormat="1" ht="17.25" hidden="1">
      <c r="A21" s="186" t="s">
        <v>82</v>
      </c>
      <c r="B21" s="91"/>
      <c r="C21" s="91"/>
      <c r="D21" s="91"/>
      <c r="E21" s="91"/>
      <c r="F21" s="91"/>
      <c r="G21" s="91"/>
      <c r="H21" s="91"/>
      <c r="I21" s="91"/>
      <c r="J21" s="91"/>
      <c r="K21" s="91"/>
      <c r="L21" s="91"/>
      <c r="M21" s="154"/>
    </row>
    <row r="22" spans="1:256" s="19" customFormat="1" ht="17.25" hidden="1">
      <c r="A22" s="35" t="s">
        <v>213</v>
      </c>
      <c r="B22" s="176">
        <f>SUM(POP!G$341:G$381)</f>
        <v>8589.5646549508292</v>
      </c>
      <c r="C22" s="176">
        <f>SUM(POP!H341:H381)</f>
        <v>8870.2373408961666</v>
      </c>
      <c r="D22" s="176">
        <f>SUM(POP!I341:I381)</f>
        <v>9207.8814239593648</v>
      </c>
      <c r="E22" s="176">
        <f>SUM(POP!J341:J381)</f>
        <v>9597.8494053979721</v>
      </c>
      <c r="F22" s="176">
        <f>SUM(POP!K341:K381)</f>
        <v>10030.610883428246</v>
      </c>
      <c r="G22" s="176">
        <f>SUM(POP!L341:L381)</f>
        <v>10498.975672615927</v>
      </c>
      <c r="H22" s="176">
        <f>SUM(POP!M341:M381)</f>
        <v>11001.341747674689</v>
      </c>
      <c r="I22" s="176">
        <f>SUM(POP!N341:N381)</f>
        <v>11540.311997064146</v>
      </c>
      <c r="J22" s="176">
        <f>SUM(POP!O341:O381)</f>
        <v>12117.325283830118</v>
      </c>
      <c r="K22" s="176">
        <f>SUM(POP!P341:P381)</f>
        <v>12734.786798730946</v>
      </c>
      <c r="L22" s="176">
        <f>SUM(POP!Q341:Q381)</f>
        <v>13393.103914128531</v>
      </c>
      <c r="M22" s="154"/>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hidden="1">
      <c r="A23" s="35" t="s">
        <v>214</v>
      </c>
      <c r="B23" s="176">
        <f>SUM(POP!G$361:G$381)</f>
        <v>1716.6341858408505</v>
      </c>
      <c r="C23" s="176">
        <f>SUM(POP!H361:H381)</f>
        <v>1801.9271167661336</v>
      </c>
      <c r="D23" s="176">
        <f>SUM(POP!I361:I381)</f>
        <v>1892.6351874871725</v>
      </c>
      <c r="E23" s="176">
        <f>SUM(POP!J361:J381)</f>
        <v>1984.0496149257222</v>
      </c>
      <c r="F23" s="176">
        <f>SUM(POP!K361:K381)</f>
        <v>2069.6005672417396</v>
      </c>
      <c r="G23" s="176">
        <f>SUM(POP!L361:L381)</f>
        <v>2144.716875512242</v>
      </c>
      <c r="H23" s="176">
        <f>SUM(POP!M361:M381)</f>
        <v>2207.5533986197543</v>
      </c>
      <c r="I23" s="176">
        <f>SUM(POP!N361:N381)</f>
        <v>2260.1197914950194</v>
      </c>
      <c r="J23" s="176">
        <f>SUM(POP!O361:O381)</f>
        <v>2306.5203761755433</v>
      </c>
      <c r="K23" s="176">
        <f>SUM(POP!P361:P381)</f>
        <v>2352.8479829237617</v>
      </c>
      <c r="L23" s="176">
        <f>SUM(POP!Q361:Q381)</f>
        <v>2403.5591788746024</v>
      </c>
    </row>
    <row r="24" spans="1:256" hidden="1">
      <c r="A24" s="35" t="s">
        <v>215</v>
      </c>
      <c r="B24" s="176">
        <f>B22-B23</f>
        <v>6872.9304691099787</v>
      </c>
      <c r="C24" s="176">
        <f t="shared" ref="C24:L24" si="2">C22-C23</f>
        <v>7068.310224130033</v>
      </c>
      <c r="D24" s="176">
        <f t="shared" si="2"/>
        <v>7315.2462364721923</v>
      </c>
      <c r="E24" s="176">
        <f t="shared" si="2"/>
        <v>7613.7997904722497</v>
      </c>
      <c r="F24" s="176">
        <f t="shared" si="2"/>
        <v>7961.0103161865063</v>
      </c>
      <c r="G24" s="176">
        <f t="shared" si="2"/>
        <v>8354.2587971036846</v>
      </c>
      <c r="H24" s="176">
        <f t="shared" si="2"/>
        <v>8793.7883490549357</v>
      </c>
      <c r="I24" s="176">
        <f t="shared" si="2"/>
        <v>9280.1922055691266</v>
      </c>
      <c r="J24" s="176">
        <f t="shared" si="2"/>
        <v>9810.804907654574</v>
      </c>
      <c r="K24" s="176">
        <f t="shared" si="2"/>
        <v>10381.938815807183</v>
      </c>
      <c r="L24" s="176">
        <f t="shared" si="2"/>
        <v>10989.544735253929</v>
      </c>
    </row>
    <row r="25" spans="1:256" s="75" customFormat="1" ht="17.25" hidden="1">
      <c r="A25" s="35"/>
      <c r="B25" s="17"/>
      <c r="C25" s="17"/>
      <c r="D25" s="17"/>
      <c r="E25" s="17"/>
      <c r="F25" s="17"/>
      <c r="G25" s="17"/>
      <c r="H25" s="17"/>
      <c r="I25" s="17"/>
      <c r="J25" s="17"/>
      <c r="K25" s="17"/>
      <c r="L25" s="17"/>
      <c r="M25" s="154"/>
    </row>
    <row r="26" spans="1:256" s="75" customFormat="1" ht="17.25" hidden="1">
      <c r="A26" s="187" t="s">
        <v>216</v>
      </c>
      <c r="B26" s="177"/>
      <c r="C26" s="177"/>
      <c r="D26" s="177"/>
      <c r="E26" s="177"/>
      <c r="F26" s="177"/>
      <c r="G26" s="177"/>
      <c r="H26" s="177"/>
      <c r="I26" s="177"/>
      <c r="J26" s="177"/>
      <c r="K26" s="177"/>
      <c r="L26" s="177"/>
      <c r="M26" s="154"/>
    </row>
    <row r="27" spans="1:256" s="75" customFormat="1" ht="17.25" hidden="1">
      <c r="A27" s="35" t="s">
        <v>217</v>
      </c>
      <c r="B27" s="176">
        <f>B23*B$20</f>
        <v>343.32683716817013</v>
      </c>
      <c r="C27" s="176">
        <f t="shared" ref="C27:L27" si="3">C23*C$20</f>
        <v>375.29807991017975</v>
      </c>
      <c r="D27" s="176">
        <f t="shared" si="3"/>
        <v>410.50188680106049</v>
      </c>
      <c r="E27" s="176">
        <f t="shared" si="3"/>
        <v>448.13607048214374</v>
      </c>
      <c r="F27" s="176">
        <f t="shared" si="3"/>
        <v>486.80276242763506</v>
      </c>
      <c r="G27" s="176">
        <f t="shared" si="3"/>
        <v>525.3461987741224</v>
      </c>
      <c r="H27" s="176">
        <f t="shared" si="3"/>
        <v>563.1135382078736</v>
      </c>
      <c r="I27" s="176">
        <f t="shared" si="3"/>
        <v>600.37878189683113</v>
      </c>
      <c r="J27" s="176">
        <f t="shared" si="3"/>
        <v>638.05820605958399</v>
      </c>
      <c r="K27" s="176">
        <f t="shared" si="3"/>
        <v>677.80691812867917</v>
      </c>
      <c r="L27" s="176">
        <f t="shared" si="3"/>
        <v>721.06775366238071</v>
      </c>
      <c r="M27" s="154"/>
    </row>
    <row r="28" spans="1:256" hidden="1">
      <c r="A28" s="35" t="s">
        <v>218</v>
      </c>
      <c r="B28" s="176">
        <f>B24*B$20</f>
        <v>1374.5860938219957</v>
      </c>
      <c r="C28" s="176">
        <f t="shared" ref="C28:L28" si="4">C24*C$20</f>
        <v>1472.1590183326946</v>
      </c>
      <c r="D28" s="176">
        <f t="shared" si="4"/>
        <v>1586.6356085628595</v>
      </c>
      <c r="E28" s="176">
        <f t="shared" si="4"/>
        <v>1719.7242921103768</v>
      </c>
      <c r="F28" s="176">
        <f t="shared" si="4"/>
        <v>1872.5554461938939</v>
      </c>
      <c r="G28" s="176">
        <f t="shared" si="4"/>
        <v>2046.3671232061608</v>
      </c>
      <c r="H28" s="176">
        <f t="shared" si="4"/>
        <v>2243.1626227404581</v>
      </c>
      <c r="I28" s="176">
        <f t="shared" si="4"/>
        <v>2465.1925588698768</v>
      </c>
      <c r="J28" s="176">
        <f t="shared" si="4"/>
        <v>2713.9862470056141</v>
      </c>
      <c r="K28" s="176">
        <f t="shared" si="4"/>
        <v>2990.8221882649318</v>
      </c>
      <c r="L28" s="176">
        <f t="shared" si="4"/>
        <v>3296.8634205761787</v>
      </c>
    </row>
    <row r="29" spans="1:256" hidden="1">
      <c r="A29" s="35" t="s">
        <v>219</v>
      </c>
      <c r="B29" s="176">
        <f>B27+B28</f>
        <v>1717.9129309901659</v>
      </c>
      <c r="C29" s="176">
        <f>C27+C28</f>
        <v>1847.4570982428743</v>
      </c>
      <c r="D29" s="176">
        <f>D27+D28</f>
        <v>1997.1374953639199</v>
      </c>
      <c r="E29" s="176">
        <f t="shared" ref="E29:L29" si="5">E27+E28</f>
        <v>2167.8603625925207</v>
      </c>
      <c r="F29" s="176">
        <f t="shared" si="5"/>
        <v>2359.3582086215288</v>
      </c>
      <c r="G29" s="176">
        <f t="shared" si="5"/>
        <v>2571.7133219802831</v>
      </c>
      <c r="H29" s="176">
        <f t="shared" si="5"/>
        <v>2806.2761609483318</v>
      </c>
      <c r="I29" s="176">
        <f t="shared" si="5"/>
        <v>3065.5713407667081</v>
      </c>
      <c r="J29" s="176">
        <f t="shared" si="5"/>
        <v>3352.044453065198</v>
      </c>
      <c r="K29" s="176">
        <f t="shared" si="5"/>
        <v>3668.629106393611</v>
      </c>
      <c r="L29" s="176">
        <f t="shared" si="5"/>
        <v>4017.9311742385594</v>
      </c>
    </row>
    <row r="30" spans="1:256" hidden="1">
      <c r="A30" s="35" t="s">
        <v>220</v>
      </c>
      <c r="B30" s="1310">
        <f>(B23-B27)*0.7</f>
        <v>961.31514407087616</v>
      </c>
      <c r="C30" s="176">
        <f t="shared" ref="C30:L30" si="6">(C23-C27)*0.7</f>
        <v>998.64032579916773</v>
      </c>
      <c r="D30" s="176">
        <f t="shared" si="6"/>
        <v>1037.4933104802783</v>
      </c>
      <c r="E30" s="176">
        <f t="shared" si="6"/>
        <v>1075.1394811105047</v>
      </c>
      <c r="F30" s="176">
        <f t="shared" si="6"/>
        <v>1107.958463369873</v>
      </c>
      <c r="G30" s="176">
        <f t="shared" si="6"/>
        <v>1133.5594737166837</v>
      </c>
      <c r="H30" s="176">
        <f t="shared" si="6"/>
        <v>1151.1079022883164</v>
      </c>
      <c r="I30" s="176">
        <f t="shared" si="6"/>
        <v>1161.8187067187316</v>
      </c>
      <c r="J30" s="176">
        <f t="shared" si="6"/>
        <v>1167.9235190811714</v>
      </c>
      <c r="K30" s="176">
        <f t="shared" si="6"/>
        <v>1172.5287453565577</v>
      </c>
      <c r="L30" s="176">
        <f t="shared" si="6"/>
        <v>1177.743997648555</v>
      </c>
    </row>
    <row r="31" spans="1:256" s="75" customFormat="1" ht="17.25" hidden="1">
      <c r="A31" s="35"/>
      <c r="B31" s="17"/>
      <c r="C31" s="17"/>
      <c r="D31" s="17"/>
      <c r="E31" s="17"/>
      <c r="F31" s="17"/>
      <c r="G31" s="17"/>
      <c r="H31" s="17"/>
      <c r="I31" s="17"/>
      <c r="J31" s="17"/>
      <c r="K31" s="17"/>
      <c r="L31" s="17"/>
      <c r="M31" s="154"/>
    </row>
    <row r="32" spans="1:256" hidden="1">
      <c r="A32" s="188" t="s">
        <v>221</v>
      </c>
      <c r="B32" s="142"/>
      <c r="C32" s="142"/>
      <c r="D32" s="142"/>
      <c r="E32" s="142"/>
      <c r="F32" s="142"/>
      <c r="G32" s="142"/>
      <c r="H32" s="142"/>
      <c r="I32" s="142"/>
      <c r="J32" s="142"/>
      <c r="K32" s="142"/>
      <c r="L32" s="142"/>
    </row>
    <row r="33" spans="1:13" hidden="1">
      <c r="A33" s="35" t="s">
        <v>222</v>
      </c>
      <c r="B33" s="275">
        <f>(B24-B28)*B$18/100</f>
        <v>0</v>
      </c>
      <c r="C33" s="275">
        <f t="shared" ref="C33:L33" si="7">(C24-C28)*C18/100</f>
        <v>559.6151205797338</v>
      </c>
      <c r="D33" s="275">
        <f t="shared" si="7"/>
        <v>1432.1526569773332</v>
      </c>
      <c r="E33" s="275">
        <f t="shared" si="7"/>
        <v>2947.0377491809363</v>
      </c>
      <c r="F33" s="275">
        <f t="shared" si="7"/>
        <v>6088.4548699926127</v>
      </c>
      <c r="G33" s="275">
        <f t="shared" si="7"/>
        <v>6307.8916738975231</v>
      </c>
      <c r="H33" s="275">
        <f t="shared" si="7"/>
        <v>6550.625726314478</v>
      </c>
      <c r="I33" s="275">
        <f t="shared" si="7"/>
        <v>6814.9996466992488</v>
      </c>
      <c r="J33" s="275">
        <f t="shared" si="7"/>
        <v>7096.8186606489598</v>
      </c>
      <c r="K33" s="275">
        <f t="shared" si="7"/>
        <v>7391.1166275422511</v>
      </c>
      <c r="L33" s="275">
        <f t="shared" si="7"/>
        <v>7692.6813146777495</v>
      </c>
    </row>
    <row r="34" spans="1:13" hidden="1">
      <c r="A34" s="35" t="s">
        <v>223</v>
      </c>
      <c r="B34" s="275">
        <f>(B23-B27-B30)*B$17/100</f>
        <v>0</v>
      </c>
      <c r="C34" s="275">
        <f t="shared" ref="C34:L34" si="8">(C23-C27-C30)*C17/100</f>
        <v>213.9943555283931</v>
      </c>
      <c r="D34" s="275">
        <f t="shared" si="8"/>
        <v>444.63999020583373</v>
      </c>
      <c r="E34" s="275">
        <f t="shared" si="8"/>
        <v>460.77406333307363</v>
      </c>
      <c r="F34" s="275">
        <f t="shared" si="8"/>
        <v>474.83934144423142</v>
      </c>
      <c r="G34" s="275">
        <f t="shared" si="8"/>
        <v>485.81120302143586</v>
      </c>
      <c r="H34" s="275">
        <f t="shared" si="8"/>
        <v>493.33195812356416</v>
      </c>
      <c r="I34" s="275">
        <f t="shared" si="8"/>
        <v>497.92230287945654</v>
      </c>
      <c r="J34" s="275">
        <f t="shared" si="8"/>
        <v>500.53865103478807</v>
      </c>
      <c r="K34" s="275">
        <f t="shared" si="8"/>
        <v>502.51231943852486</v>
      </c>
      <c r="L34" s="275">
        <f t="shared" si="8"/>
        <v>504.74742756366663</v>
      </c>
    </row>
    <row r="35" spans="1:13" hidden="1">
      <c r="A35" s="35" t="s">
        <v>224</v>
      </c>
      <c r="B35" s="275">
        <f>B30*B$17/100</f>
        <v>0</v>
      </c>
      <c r="C35" s="275">
        <f t="shared" ref="C35:L35" si="9">C30*C17/100</f>
        <v>499.32016289958386</v>
      </c>
      <c r="D35" s="275">
        <f t="shared" si="9"/>
        <v>1037.4933104802783</v>
      </c>
      <c r="E35" s="275">
        <f t="shared" si="9"/>
        <v>1075.1394811105047</v>
      </c>
      <c r="F35" s="275">
        <f t="shared" si="9"/>
        <v>1107.958463369873</v>
      </c>
      <c r="G35" s="275">
        <f t="shared" si="9"/>
        <v>1133.5594737166837</v>
      </c>
      <c r="H35" s="275">
        <f t="shared" si="9"/>
        <v>1151.1079022883164</v>
      </c>
      <c r="I35" s="275">
        <f t="shared" si="9"/>
        <v>1161.8187067187316</v>
      </c>
      <c r="J35" s="275">
        <f t="shared" si="9"/>
        <v>1167.9235190811714</v>
      </c>
      <c r="K35" s="275">
        <f t="shared" si="9"/>
        <v>1172.5287453565577</v>
      </c>
      <c r="L35" s="275">
        <f t="shared" si="9"/>
        <v>1177.743997648555</v>
      </c>
    </row>
    <row r="36" spans="1:13" hidden="1"/>
    <row r="37" spans="1:13" hidden="1">
      <c r="A37" s="188" t="s">
        <v>225</v>
      </c>
    </row>
    <row r="38" spans="1:13" hidden="1">
      <c r="A38" s="35" t="s">
        <v>222</v>
      </c>
      <c r="B38" s="806">
        <f>ECO!G$25</f>
        <v>344597.85213533521</v>
      </c>
      <c r="C38" s="806">
        <f>ECO!H25</f>
        <v>414304.81605006225</v>
      </c>
      <c r="D38" s="806">
        <f>ECO!I25</f>
        <v>442350.21550896659</v>
      </c>
      <c r="E38" s="806">
        <f>ECO!J25</f>
        <v>469233.51323826663</v>
      </c>
      <c r="F38" s="806">
        <f>ECO!K25</f>
        <v>495401.1870190092</v>
      </c>
      <c r="G38" s="806">
        <f>ECO!L25</f>
        <v>521787.12866346852</v>
      </c>
      <c r="H38" s="806">
        <f>ECO!M25</f>
        <v>548271.32893728022</v>
      </c>
      <c r="I38" s="806">
        <f>ECO!N25</f>
        <v>576098.01196940849</v>
      </c>
      <c r="J38" s="806">
        <f>ECO!O25</f>
        <v>605335.14753131359</v>
      </c>
      <c r="K38" s="806">
        <f>ECO!P25</f>
        <v>636054.14301760378</v>
      </c>
      <c r="L38" s="806">
        <f>ECO!Q25</f>
        <v>668330.01713827392</v>
      </c>
    </row>
    <row r="39" spans="1:13" hidden="1">
      <c r="A39" s="35" t="s">
        <v>223</v>
      </c>
      <c r="B39" s="806">
        <f>ECO!G$25</f>
        <v>344597.85213533521</v>
      </c>
      <c r="C39" s="806">
        <f>ECO!H25</f>
        <v>414304.81605006225</v>
      </c>
      <c r="D39" s="806">
        <f>ECO!I25</f>
        <v>442350.21550896659</v>
      </c>
      <c r="E39" s="806">
        <f>ECO!J25</f>
        <v>469233.51323826663</v>
      </c>
      <c r="F39" s="806">
        <f>ECO!K25</f>
        <v>495401.1870190092</v>
      </c>
      <c r="G39" s="806">
        <f>ECO!L25</f>
        <v>521787.12866346852</v>
      </c>
      <c r="H39" s="806">
        <f>ECO!M25</f>
        <v>548271.32893728022</v>
      </c>
      <c r="I39" s="806">
        <f>ECO!N25</f>
        <v>576098.01196940849</v>
      </c>
      <c r="J39" s="806">
        <f>ECO!O25</f>
        <v>605335.14753131359</v>
      </c>
      <c r="K39" s="806">
        <f>ECO!P25</f>
        <v>636054.14301760378</v>
      </c>
      <c r="L39" s="806">
        <f>ECO!Q25</f>
        <v>668330.01713827392</v>
      </c>
    </row>
    <row r="40" spans="1:13" hidden="1">
      <c r="A40" s="35" t="s">
        <v>224</v>
      </c>
      <c r="B40" s="806">
        <f>ECO!G$25 - 270000</f>
        <v>74597.852135335212</v>
      </c>
      <c r="C40" s="806">
        <f>B40*C39/B39</f>
        <v>89687.875925941262</v>
      </c>
      <c r="D40" s="806">
        <f t="shared" ref="D40:L40" si="10">C40*D39/C39</f>
        <v>95759.087771713617</v>
      </c>
      <c r="E40" s="806">
        <f t="shared" si="10"/>
        <v>101578.73016499502</v>
      </c>
      <c r="F40" s="806">
        <f t="shared" si="10"/>
        <v>107243.45572066936</v>
      </c>
      <c r="G40" s="806">
        <f t="shared" si="10"/>
        <v>112955.43146586909</v>
      </c>
      <c r="H40" s="806">
        <f t="shared" si="10"/>
        <v>118688.67804214924</v>
      </c>
      <c r="I40" s="806">
        <f t="shared" si="10"/>
        <v>124712.54259436447</v>
      </c>
      <c r="J40" s="806">
        <f t="shared" si="10"/>
        <v>131041.73908236573</v>
      </c>
      <c r="K40" s="806">
        <f t="shared" si="10"/>
        <v>137691.72563577097</v>
      </c>
      <c r="L40" s="806">
        <f t="shared" si="10"/>
        <v>144678.74215451253</v>
      </c>
    </row>
    <row r="41" spans="1:13" hidden="1"/>
    <row r="42" spans="1:13" hidden="1">
      <c r="A42" s="189" t="s">
        <v>226</v>
      </c>
      <c r="B42" s="19"/>
      <c r="C42" s="19"/>
      <c r="D42" s="19"/>
      <c r="E42" s="19"/>
      <c r="F42" s="19"/>
      <c r="G42" s="19"/>
      <c r="H42" s="19"/>
      <c r="I42" s="19"/>
      <c r="J42" s="19"/>
      <c r="K42" s="19"/>
      <c r="L42" s="19"/>
      <c r="M42" s="19"/>
    </row>
    <row r="43" spans="1:13" hidden="1">
      <c r="A43" s="32" t="s">
        <v>234</v>
      </c>
      <c r="B43" s="155">
        <f>B33*B38*12/1000</f>
        <v>0</v>
      </c>
      <c r="C43" s="804">
        <f t="shared" ref="C43:L43" si="11">C33*C38*12/1000</f>
        <v>2782214.87508744</v>
      </c>
      <c r="D43" s="804">
        <f t="shared" si="11"/>
        <v>7602156.4374679495</v>
      </c>
      <c r="E43" s="804">
        <f t="shared" si="11"/>
        <v>16594186.520327574</v>
      </c>
      <c r="F43" s="804">
        <f t="shared" si="11"/>
        <v>36194733.236472093</v>
      </c>
      <c r="G43" s="804">
        <f t="shared" si="11"/>
        <v>39496520.213318266</v>
      </c>
      <c r="H43" s="804">
        <f t="shared" si="11"/>
        <v>43098243.268046103</v>
      </c>
      <c r="I43" s="804">
        <f t="shared" si="11"/>
        <v>47113292.976427905</v>
      </c>
      <c r="J43" s="804">
        <f t="shared" si="11"/>
        <v>51551445.251363009</v>
      </c>
      <c r="K43" s="804">
        <f t="shared" si="11"/>
        <v>56413804.229694583</v>
      </c>
      <c r="L43" s="804">
        <f t="shared" si="11"/>
        <v>61694998.018534318</v>
      </c>
      <c r="M43" s="75"/>
    </row>
    <row r="44" spans="1:13" hidden="1">
      <c r="A44" s="32" t="s">
        <v>223</v>
      </c>
      <c r="B44" s="155">
        <f t="shared" ref="B44:L45" si="12">B34*B39*12/1000</f>
        <v>0</v>
      </c>
      <c r="C44" s="804">
        <f t="shared" si="12"/>
        <v>1063906.7052353104</v>
      </c>
      <c r="D44" s="804">
        <f t="shared" si="12"/>
        <v>2360239.1458974644</v>
      </c>
      <c r="E44" s="804">
        <f t="shared" si="12"/>
        <v>2594527.5905621964</v>
      </c>
      <c r="F44" s="804">
        <f t="shared" si="12"/>
        <v>2822831.680737562</v>
      </c>
      <c r="G44" s="804">
        <f t="shared" si="12"/>
        <v>3041880.3923652042</v>
      </c>
      <c r="H44" s="804">
        <f t="shared" si="12"/>
        <v>3245757.2194516459</v>
      </c>
      <c r="I44" s="804">
        <f t="shared" si="12"/>
        <v>3442224.5856490154</v>
      </c>
      <c r="J44" s="804">
        <f t="shared" si="12"/>
        <v>3635923.6580312178</v>
      </c>
      <c r="K44" s="804">
        <f t="shared" si="12"/>
        <v>3835500.5123551111</v>
      </c>
      <c r="L44" s="804">
        <f t="shared" si="12"/>
        <v>4048054.2829695004</v>
      </c>
      <c r="M44" s="75"/>
    </row>
    <row r="45" spans="1:13" hidden="1">
      <c r="A45" s="32" t="s">
        <v>224</v>
      </c>
      <c r="B45" s="155">
        <f t="shared" si="12"/>
        <v>0</v>
      </c>
      <c r="C45" s="804">
        <f t="shared" si="12"/>
        <v>537395.57780950388</v>
      </c>
      <c r="D45" s="804">
        <f t="shared" si="12"/>
        <v>1192192.9557701605</v>
      </c>
      <c r="E45" s="804">
        <f t="shared" si="12"/>
        <v>1310535.6388974804</v>
      </c>
      <c r="F45" s="804">
        <f t="shared" si="12"/>
        <v>1425855.532880974</v>
      </c>
      <c r="G45" s="804">
        <f t="shared" si="12"/>
        <v>1536500.3933506978</v>
      </c>
      <c r="H45" s="804">
        <f t="shared" si="12"/>
        <v>1639481.7024776612</v>
      </c>
      <c r="I45" s="804">
        <f t="shared" si="12"/>
        <v>1738720.3793830711</v>
      </c>
      <c r="J45" s="804">
        <f t="shared" si="12"/>
        <v>1836560.7486671191</v>
      </c>
      <c r="K45" s="804">
        <f t="shared" si="12"/>
        <v>1937370.0756682786</v>
      </c>
      <c r="L45" s="804">
        <f t="shared" si="12"/>
        <v>2044734.2419178414</v>
      </c>
      <c r="M45" s="75"/>
    </row>
    <row r="46" spans="1:13" hidden="1">
      <c r="A46" s="40" t="s">
        <v>227</v>
      </c>
      <c r="B46" s="157">
        <f>B43+B44+B45</f>
        <v>0</v>
      </c>
      <c r="C46" s="805">
        <f t="shared" ref="C46:L46" si="13">C43+C44+C45</f>
        <v>4383517.1581322541</v>
      </c>
      <c r="D46" s="805">
        <f t="shared" si="13"/>
        <v>11154588.539135575</v>
      </c>
      <c r="E46" s="805">
        <f t="shared" si="13"/>
        <v>20499249.749787249</v>
      </c>
      <c r="F46" s="805">
        <f t="shared" si="13"/>
        <v>40443420.450090632</v>
      </c>
      <c r="G46" s="805">
        <f t="shared" si="13"/>
        <v>44074900.999034166</v>
      </c>
      <c r="H46" s="805">
        <f t="shared" si="13"/>
        <v>47983482.189975411</v>
      </c>
      <c r="I46" s="805">
        <f t="shared" si="13"/>
        <v>52294237.941459991</v>
      </c>
      <c r="J46" s="805">
        <f t="shared" si="13"/>
        <v>57023929.658061348</v>
      </c>
      <c r="K46" s="805">
        <f t="shared" si="13"/>
        <v>62186674.817717969</v>
      </c>
      <c r="L46" s="805">
        <f t="shared" si="13"/>
        <v>67787786.543421656</v>
      </c>
      <c r="M46" s="75"/>
    </row>
    <row r="47" spans="1:13" hidden="1"/>
    <row r="48" spans="1:13" hidden="1">
      <c r="A48" s="28" t="s">
        <v>478</v>
      </c>
      <c r="B48" s="19">
        <v>0.15</v>
      </c>
      <c r="C48" s="19">
        <f>B48</f>
        <v>0.15</v>
      </c>
      <c r="D48" s="19">
        <f t="shared" ref="D48:L48" si="14">C48</f>
        <v>0.15</v>
      </c>
      <c r="E48" s="19">
        <f t="shared" si="14"/>
        <v>0.15</v>
      </c>
      <c r="F48" s="19">
        <f t="shared" si="14"/>
        <v>0.15</v>
      </c>
      <c r="G48" s="19">
        <f t="shared" si="14"/>
        <v>0.15</v>
      </c>
      <c r="H48" s="19">
        <f t="shared" si="14"/>
        <v>0.15</v>
      </c>
      <c r="I48" s="19">
        <f t="shared" si="14"/>
        <v>0.15</v>
      </c>
      <c r="J48" s="19">
        <f t="shared" si="14"/>
        <v>0.15</v>
      </c>
      <c r="K48" s="19">
        <f t="shared" si="14"/>
        <v>0.15</v>
      </c>
      <c r="L48" s="19">
        <f t="shared" si="14"/>
        <v>0.15</v>
      </c>
      <c r="M48" s="19"/>
    </row>
    <row r="49" spans="1:13" hidden="1"/>
    <row r="50" spans="1:13" hidden="1">
      <c r="A50" s="46" t="s">
        <v>477</v>
      </c>
    </row>
    <row r="51" spans="1:13" hidden="1">
      <c r="A51" s="189" t="s">
        <v>226</v>
      </c>
      <c r="B51" s="19"/>
      <c r="C51" s="19"/>
      <c r="D51" s="19"/>
      <c r="E51" s="19"/>
      <c r="F51" s="19"/>
      <c r="G51" s="19"/>
      <c r="H51" s="19"/>
      <c r="I51" s="19"/>
      <c r="J51" s="19"/>
      <c r="K51" s="19"/>
      <c r="L51" s="19"/>
      <c r="M51" s="19"/>
    </row>
    <row r="52" spans="1:13" hidden="1">
      <c r="A52" s="32" t="s">
        <v>222</v>
      </c>
      <c r="B52" s="155">
        <f>B43*(1+B48)</f>
        <v>0</v>
      </c>
      <c r="C52" s="804">
        <f t="shared" ref="C52:L52" si="15">C43*(1+C48)</f>
        <v>3199547.1063505556</v>
      </c>
      <c r="D52" s="804">
        <f t="shared" si="15"/>
        <v>8742479.9030881412</v>
      </c>
      <c r="E52" s="804">
        <f t="shared" si="15"/>
        <v>19083314.498376708</v>
      </c>
      <c r="F52" s="804">
        <f t="shared" si="15"/>
        <v>41623943.221942902</v>
      </c>
      <c r="G52" s="804">
        <f t="shared" si="15"/>
        <v>45420998.245315999</v>
      </c>
      <c r="H52" s="804">
        <f t="shared" si="15"/>
        <v>49562979.758253016</v>
      </c>
      <c r="I52" s="804">
        <f t="shared" si="15"/>
        <v>54180286.922892086</v>
      </c>
      <c r="J52" s="804">
        <f t="shared" si="15"/>
        <v>59284162.039067455</v>
      </c>
      <c r="K52" s="804">
        <f t="shared" si="15"/>
        <v>64875874.864148766</v>
      </c>
      <c r="L52" s="804">
        <f t="shared" si="15"/>
        <v>70949247.72131446</v>
      </c>
      <c r="M52" s="75"/>
    </row>
    <row r="53" spans="1:13" hidden="1">
      <c r="A53" s="32" t="s">
        <v>223</v>
      </c>
      <c r="B53" s="155">
        <f t="shared" ref="B53:L54" si="16">B44*(1+B49)</f>
        <v>0</v>
      </c>
      <c r="C53" s="804">
        <f t="shared" si="16"/>
        <v>1063906.7052353104</v>
      </c>
      <c r="D53" s="804">
        <f t="shared" si="16"/>
        <v>2360239.1458974644</v>
      </c>
      <c r="E53" s="804">
        <f t="shared" si="16"/>
        <v>2594527.5905621964</v>
      </c>
      <c r="F53" s="804">
        <f t="shared" si="16"/>
        <v>2822831.680737562</v>
      </c>
      <c r="G53" s="804">
        <f t="shared" si="16"/>
        <v>3041880.3923652042</v>
      </c>
      <c r="H53" s="804">
        <f t="shared" si="16"/>
        <v>3245757.2194516459</v>
      </c>
      <c r="I53" s="804">
        <f t="shared" si="16"/>
        <v>3442224.5856490154</v>
      </c>
      <c r="J53" s="804">
        <f t="shared" si="16"/>
        <v>3635923.6580312178</v>
      </c>
      <c r="K53" s="804">
        <f t="shared" si="16"/>
        <v>3835500.5123551111</v>
      </c>
      <c r="L53" s="804">
        <f t="shared" si="16"/>
        <v>4048054.2829695004</v>
      </c>
      <c r="M53" s="75"/>
    </row>
    <row r="54" spans="1:13" hidden="1">
      <c r="A54" s="32" t="s">
        <v>224</v>
      </c>
      <c r="B54" s="155">
        <f t="shared" si="16"/>
        <v>0</v>
      </c>
      <c r="C54" s="804">
        <f t="shared" si="16"/>
        <v>537395.57780950388</v>
      </c>
      <c r="D54" s="804">
        <f t="shared" si="16"/>
        <v>1192192.9557701605</v>
      </c>
      <c r="E54" s="804">
        <f t="shared" si="16"/>
        <v>1310535.6388974804</v>
      </c>
      <c r="F54" s="804">
        <f t="shared" si="16"/>
        <v>1425855.532880974</v>
      </c>
      <c r="G54" s="804">
        <f t="shared" si="16"/>
        <v>1536500.3933506978</v>
      </c>
      <c r="H54" s="804">
        <f t="shared" si="16"/>
        <v>1639481.7024776612</v>
      </c>
      <c r="I54" s="804">
        <f t="shared" si="16"/>
        <v>1738720.3793830711</v>
      </c>
      <c r="J54" s="804">
        <f t="shared" si="16"/>
        <v>1836560.7486671191</v>
      </c>
      <c r="K54" s="804">
        <f t="shared" si="16"/>
        <v>1937370.0756682786</v>
      </c>
      <c r="L54" s="804">
        <f t="shared" si="16"/>
        <v>2044734.2419178414</v>
      </c>
      <c r="M54" s="75"/>
    </row>
    <row r="55" spans="1:13" hidden="1">
      <c r="A55" s="40" t="s">
        <v>227</v>
      </c>
      <c r="B55" s="157">
        <f>B52+B53+B54</f>
        <v>0</v>
      </c>
      <c r="C55" s="805">
        <f t="shared" ref="C55:L55" si="17">C52+C53+C54</f>
        <v>4800849.3893953701</v>
      </c>
      <c r="D55" s="805">
        <f t="shared" si="17"/>
        <v>12294912.004755767</v>
      </c>
      <c r="E55" s="805">
        <f t="shared" si="17"/>
        <v>22988377.727836385</v>
      </c>
      <c r="F55" s="805">
        <f t="shared" si="17"/>
        <v>45872630.435561441</v>
      </c>
      <c r="G55" s="805">
        <f t="shared" si="17"/>
        <v>49999379.031031899</v>
      </c>
      <c r="H55" s="805">
        <f t="shared" si="17"/>
        <v>54448218.680182323</v>
      </c>
      <c r="I55" s="805">
        <f t="shared" si="17"/>
        <v>59361231.887924172</v>
      </c>
      <c r="J55" s="805">
        <f t="shared" si="17"/>
        <v>64756646.445765793</v>
      </c>
      <c r="K55" s="805">
        <f t="shared" si="17"/>
        <v>70648745.452172145</v>
      </c>
      <c r="L55" s="805">
        <f t="shared" si="17"/>
        <v>77042036.246201813</v>
      </c>
      <c r="M55" s="75"/>
    </row>
    <row r="56" spans="1:13" hidden="1">
      <c r="A56" s="32"/>
      <c r="B56" s="75"/>
      <c r="C56" s="75"/>
      <c r="D56" s="75"/>
      <c r="E56" s="75"/>
      <c r="F56" s="75"/>
      <c r="G56" s="75"/>
      <c r="H56" s="75"/>
      <c r="I56" s="75"/>
      <c r="J56" s="75"/>
      <c r="K56" s="75"/>
      <c r="L56" s="75"/>
      <c r="M56" s="75"/>
    </row>
    <row r="57" spans="1:13" hidden="1">
      <c r="A57" s="169" t="s">
        <v>228</v>
      </c>
      <c r="B57" s="75"/>
      <c r="C57" s="75"/>
      <c r="D57" s="75"/>
      <c r="E57" s="75"/>
      <c r="F57" s="75"/>
      <c r="G57" s="75"/>
      <c r="H57" s="75"/>
      <c r="I57" s="75"/>
      <c r="J57" s="75"/>
      <c r="K57" s="75"/>
      <c r="L57" s="75"/>
      <c r="M57" s="75"/>
    </row>
    <row r="58" spans="1:13" hidden="1">
      <c r="A58" s="32" t="s">
        <v>222</v>
      </c>
      <c r="B58" s="137">
        <f>B52/B$13*100</f>
        <v>0</v>
      </c>
      <c r="C58" s="137">
        <f t="shared" ref="C58:L58" si="18">C52/C$13*100</f>
        <v>0.13288476664666077</v>
      </c>
      <c r="D58" s="137">
        <f t="shared" si="18"/>
        <v>0.31740936185608709</v>
      </c>
      <c r="E58" s="137">
        <f t="shared" si="18"/>
        <v>0.60335149594942616</v>
      </c>
      <c r="F58" s="137">
        <f t="shared" si="18"/>
        <v>1.1491221573164199</v>
      </c>
      <c r="G58" s="137">
        <f t="shared" si="18"/>
        <v>1.0999663293118298</v>
      </c>
      <c r="H58" s="137">
        <f t="shared" si="18"/>
        <v>1.0572073238901574</v>
      </c>
      <c r="I58" s="137">
        <f t="shared" si="18"/>
        <v>1.0197430695735044</v>
      </c>
      <c r="J58" s="137">
        <f t="shared" si="18"/>
        <v>0.98454916134682147</v>
      </c>
      <c r="K58" s="137">
        <f t="shared" si="18"/>
        <v>0.95036868825927601</v>
      </c>
      <c r="L58" s="137">
        <f t="shared" si="18"/>
        <v>0.91647600028678755</v>
      </c>
      <c r="M58" s="75"/>
    </row>
    <row r="59" spans="1:13" hidden="1">
      <c r="A59" s="32" t="s">
        <v>223</v>
      </c>
      <c r="B59" s="137">
        <f t="shared" ref="B59:L60" si="19">B53/B$13*100</f>
        <v>0</v>
      </c>
      <c r="C59" s="137">
        <f t="shared" si="19"/>
        <v>4.418656439794328E-2</v>
      </c>
      <c r="D59" s="137">
        <f t="shared" si="19"/>
        <v>8.5692161655692309E-2</v>
      </c>
      <c r="E59" s="137">
        <f t="shared" si="19"/>
        <v>8.2030409506740606E-2</v>
      </c>
      <c r="F59" s="137">
        <f t="shared" si="19"/>
        <v>7.7930589454587265E-2</v>
      </c>
      <c r="G59" s="137">
        <f t="shared" si="19"/>
        <v>7.3665620278185587E-2</v>
      </c>
      <c r="H59" s="137">
        <f t="shared" si="19"/>
        <v>6.9233898379611539E-2</v>
      </c>
      <c r="I59" s="137">
        <f t="shared" si="19"/>
        <v>6.4787118424210477E-2</v>
      </c>
      <c r="J59" s="137">
        <f t="shared" si="19"/>
        <v>6.0382831857802077E-2</v>
      </c>
      <c r="K59" s="137">
        <f t="shared" si="19"/>
        <v>5.618636509145649E-2</v>
      </c>
      <c r="L59" s="137">
        <f t="shared" si="19"/>
        <v>5.2290118885716545E-2</v>
      </c>
      <c r="M59" s="75"/>
    </row>
    <row r="60" spans="1:13" hidden="1">
      <c r="A60" s="32" t="s">
        <v>224</v>
      </c>
      <c r="B60" s="137">
        <f t="shared" si="19"/>
        <v>0</v>
      </c>
      <c r="C60" s="137">
        <f t="shared" si="19"/>
        <v>2.2319310696324278E-2</v>
      </c>
      <c r="D60" s="137">
        <f t="shared" si="19"/>
        <v>4.3284423812820036E-2</v>
      </c>
      <c r="E60" s="137">
        <f t="shared" si="19"/>
        <v>4.1434816697649285E-2</v>
      </c>
      <c r="F60" s="137">
        <f t="shared" si="19"/>
        <v>3.9363934772570497E-2</v>
      </c>
      <c r="G60" s="137">
        <f t="shared" si="19"/>
        <v>3.7209633494447461E-2</v>
      </c>
      <c r="H60" s="137">
        <f t="shared" si="19"/>
        <v>3.4971102861398685E-2</v>
      </c>
      <c r="I60" s="137">
        <f t="shared" si="19"/>
        <v>3.272496617312963E-2</v>
      </c>
      <c r="J60" s="137">
        <f t="shared" si="19"/>
        <v>3.0500293546717145E-2</v>
      </c>
      <c r="K60" s="137">
        <f t="shared" si="19"/>
        <v>2.8380593885495568E-2</v>
      </c>
      <c r="L60" s="137">
        <f t="shared" si="19"/>
        <v>2.6412540229363572E-2</v>
      </c>
      <c r="M60" s="75"/>
    </row>
    <row r="61" spans="1:13" s="178" customFormat="1" hidden="1">
      <c r="A61" s="44" t="s">
        <v>479</v>
      </c>
      <c r="B61" s="1312">
        <f>SUM(B58:B60)</f>
        <v>0</v>
      </c>
      <c r="C61" s="1312">
        <f t="shared" ref="C61:L61" si="20">SUM(C58:C60)</f>
        <v>0.19939064174092833</v>
      </c>
      <c r="D61" s="1312">
        <f t="shared" si="20"/>
        <v>0.44638594732459946</v>
      </c>
      <c r="E61" s="1312">
        <f t="shared" si="20"/>
        <v>0.72681672215381599</v>
      </c>
      <c r="F61" s="1312">
        <f t="shared" si="20"/>
        <v>1.2664166815435776</v>
      </c>
      <c r="G61" s="1312">
        <f t="shared" si="20"/>
        <v>1.2108415830844628</v>
      </c>
      <c r="H61" s="1312">
        <f t="shared" si="20"/>
        <v>1.1614123251311674</v>
      </c>
      <c r="I61" s="1312">
        <f t="shared" si="20"/>
        <v>1.1172551541708444</v>
      </c>
      <c r="J61" s="1312">
        <f t="shared" si="20"/>
        <v>1.0754322867513406</v>
      </c>
      <c r="K61" s="1312">
        <f t="shared" si="20"/>
        <v>1.0349356472362281</v>
      </c>
      <c r="L61" s="1312">
        <f t="shared" si="20"/>
        <v>0.99517865940186767</v>
      </c>
      <c r="M61" s="160"/>
    </row>
    <row r="62" spans="1:13" hidden="1">
      <c r="A62" s="32"/>
      <c r="B62" s="75"/>
      <c r="C62" s="75"/>
      <c r="D62" s="75"/>
      <c r="E62" s="75"/>
      <c r="F62" s="75"/>
      <c r="G62" s="75"/>
      <c r="H62" s="75"/>
      <c r="I62" s="75"/>
      <c r="J62" s="75"/>
      <c r="K62" s="75"/>
      <c r="L62" s="75"/>
      <c r="M62" s="75"/>
    </row>
    <row r="63" spans="1:13" hidden="1">
      <c r="A63" s="169" t="s">
        <v>229</v>
      </c>
      <c r="B63" s="75"/>
      <c r="C63" s="75"/>
      <c r="D63" s="75"/>
      <c r="E63" s="75"/>
      <c r="F63" s="75"/>
      <c r="G63" s="75"/>
      <c r="H63" s="75"/>
      <c r="I63" s="75"/>
      <c r="J63" s="75"/>
      <c r="K63" s="75"/>
      <c r="L63" s="75"/>
      <c r="M63" s="75"/>
    </row>
    <row r="64" spans="1:13" hidden="1">
      <c r="A64" s="32" t="s">
        <v>222</v>
      </c>
      <c r="B64" s="145">
        <f>B52/B$14*100</f>
        <v>0</v>
      </c>
      <c r="C64" s="145">
        <f t="shared" ref="C64:L64" si="21">C52/C$14*100</f>
        <v>0.41889712914904714</v>
      </c>
      <c r="D64" s="145">
        <f t="shared" si="21"/>
        <v>0.99643810665804633</v>
      </c>
      <c r="E64" s="145">
        <f t="shared" si="21"/>
        <v>1.9037832870400604</v>
      </c>
      <c r="F64" s="145">
        <f t="shared" si="21"/>
        <v>3.6363068857653462</v>
      </c>
      <c r="G64" s="145">
        <f t="shared" si="21"/>
        <v>3.4916368124078732</v>
      </c>
      <c r="H64" s="145">
        <f t="shared" si="21"/>
        <v>3.3718711095176221</v>
      </c>
      <c r="I64" s="145">
        <f t="shared" si="21"/>
        <v>3.2605076768579573</v>
      </c>
      <c r="J64" s="145">
        <f t="shared" si="21"/>
        <v>3.1634598454066327</v>
      </c>
      <c r="K64" s="145">
        <f t="shared" si="21"/>
        <v>3.0679915866715661</v>
      </c>
      <c r="L64" s="145">
        <f t="shared" si="21"/>
        <v>2.9723157526693789</v>
      </c>
      <c r="M64" s="75"/>
    </row>
    <row r="65" spans="1:13" hidden="1">
      <c r="A65" s="32" t="s">
        <v>223</v>
      </c>
      <c r="B65" s="145">
        <f t="shared" ref="B65:L66" si="22">B53/B$14*100</f>
        <v>0</v>
      </c>
      <c r="C65" s="145">
        <f t="shared" si="22"/>
        <v>0.13929079638206268</v>
      </c>
      <c r="D65" s="145">
        <f t="shared" si="22"/>
        <v>0.26901202540568919</v>
      </c>
      <c r="E65" s="145">
        <f t="shared" si="22"/>
        <v>0.25883440033945831</v>
      </c>
      <c r="F65" s="145">
        <f t="shared" si="22"/>
        <v>0.24660523447502988</v>
      </c>
      <c r="G65" s="145">
        <f t="shared" si="22"/>
        <v>0.23383769549845482</v>
      </c>
      <c r="H65" s="145">
        <f t="shared" si="22"/>
        <v>0.22081551694750268</v>
      </c>
      <c r="I65" s="145">
        <f t="shared" si="22"/>
        <v>0.20714913715666833</v>
      </c>
      <c r="J65" s="145">
        <f t="shared" si="22"/>
        <v>0.19401637971311847</v>
      </c>
      <c r="K65" s="145">
        <f t="shared" si="22"/>
        <v>0.18138149700826176</v>
      </c>
      <c r="L65" s="145">
        <f t="shared" si="22"/>
        <v>0.16958735856076357</v>
      </c>
      <c r="M65" s="75"/>
    </row>
    <row r="66" spans="1:13" s="158" customFormat="1" hidden="1">
      <c r="A66" s="32" t="s">
        <v>224</v>
      </c>
      <c r="B66" s="145">
        <f t="shared" si="22"/>
        <v>0</v>
      </c>
      <c r="C66" s="145">
        <f t="shared" si="22"/>
        <v>7.035791544215203E-2</v>
      </c>
      <c r="D66" s="145">
        <f t="shared" si="22"/>
        <v>0.13588209578829635</v>
      </c>
      <c r="E66" s="145">
        <f t="shared" si="22"/>
        <v>0.13074122142752623</v>
      </c>
      <c r="F66" s="145">
        <f t="shared" si="22"/>
        <v>0.12456408237623208</v>
      </c>
      <c r="G66" s="145">
        <f t="shared" si="22"/>
        <v>0.11811500281713259</v>
      </c>
      <c r="H66" s="145">
        <f t="shared" si="22"/>
        <v>0.1115373009074716</v>
      </c>
      <c r="I66" s="145">
        <f t="shared" si="22"/>
        <v>0.10463420308120569</v>
      </c>
      <c r="J66" s="145">
        <f t="shared" si="22"/>
        <v>9.80006460786228E-2</v>
      </c>
      <c r="K66" s="145">
        <f t="shared" si="22"/>
        <v>9.1618573234904813E-2</v>
      </c>
      <c r="L66" s="145">
        <f t="shared" si="22"/>
        <v>8.5661173197317197E-2</v>
      </c>
      <c r="M66" s="159"/>
    </row>
    <row r="67" spans="1:13" s="182" customFormat="1" hidden="1">
      <c r="A67" s="190" t="s">
        <v>480</v>
      </c>
      <c r="B67" s="180">
        <f>B64+B65+B66</f>
        <v>0</v>
      </c>
      <c r="C67" s="180">
        <f t="shared" ref="C67:L67" si="23">C64+C65+C66</f>
        <v>0.62854584097326183</v>
      </c>
      <c r="D67" s="180">
        <f t="shared" si="23"/>
        <v>1.4013322278520319</v>
      </c>
      <c r="E67" s="180">
        <f t="shared" si="23"/>
        <v>2.2933589088070447</v>
      </c>
      <c r="F67" s="180">
        <f t="shared" si="23"/>
        <v>4.0074762026166084</v>
      </c>
      <c r="G67" s="180">
        <f t="shared" si="23"/>
        <v>3.8435895107234606</v>
      </c>
      <c r="H67" s="180">
        <f t="shared" si="23"/>
        <v>3.7042239273725963</v>
      </c>
      <c r="I67" s="180">
        <f t="shared" si="23"/>
        <v>3.5722910170958313</v>
      </c>
      <c r="J67" s="180">
        <f t="shared" si="23"/>
        <v>3.4554768711983743</v>
      </c>
      <c r="K67" s="180">
        <f t="shared" si="23"/>
        <v>3.3409916569147327</v>
      </c>
      <c r="L67" s="180">
        <f t="shared" si="23"/>
        <v>3.2275642844274599</v>
      </c>
      <c r="M67" s="181"/>
    </row>
    <row r="68" spans="1:13" s="158" customFormat="1">
      <c r="A68" s="32"/>
      <c r="B68" s="75"/>
      <c r="C68" s="75"/>
      <c r="D68" s="75"/>
      <c r="E68" s="75"/>
      <c r="F68" s="75"/>
      <c r="G68" s="75"/>
      <c r="H68" s="75"/>
      <c r="I68" s="75"/>
      <c r="J68" s="75"/>
      <c r="K68" s="75"/>
      <c r="L68" s="75"/>
      <c r="M68" s="159"/>
    </row>
    <row r="69" spans="1:13" ht="37.5">
      <c r="A69" s="1449" t="s">
        <v>997</v>
      </c>
      <c r="B69" s="1349"/>
      <c r="C69" s="1349"/>
      <c r="D69" s="1349"/>
      <c r="E69" s="1349"/>
      <c r="F69" s="1349"/>
      <c r="G69" s="1349"/>
      <c r="H69" s="1349"/>
      <c r="I69" s="1349"/>
      <c r="J69" s="1349"/>
      <c r="K69" s="1349"/>
      <c r="L69" s="1349"/>
      <c r="M69" s="75" t="s">
        <v>1044</v>
      </c>
    </row>
    <row r="70" spans="1:13" ht="15.75">
      <c r="B70" s="80">
        <v>2010</v>
      </c>
      <c r="C70" s="80">
        <v>2011</v>
      </c>
      <c r="D70" s="80">
        <v>2012</v>
      </c>
      <c r="E70" s="80">
        <v>2013</v>
      </c>
      <c r="F70" s="80">
        <v>2014</v>
      </c>
      <c r="G70" s="80">
        <v>2015</v>
      </c>
      <c r="H70" s="80">
        <v>2016</v>
      </c>
      <c r="I70" s="80">
        <v>2017</v>
      </c>
      <c r="J70" s="80">
        <v>2018</v>
      </c>
      <c r="K70" s="80">
        <v>2019</v>
      </c>
      <c r="L70" s="80">
        <v>2020</v>
      </c>
    </row>
    <row r="71" spans="1:13">
      <c r="A71" s="188" t="s">
        <v>82</v>
      </c>
      <c r="B71" s="142"/>
      <c r="C71" s="142"/>
      <c r="D71" s="142"/>
      <c r="E71" s="142"/>
      <c r="F71" s="142"/>
      <c r="G71" s="142"/>
      <c r="H71" s="142"/>
      <c r="I71" s="142"/>
      <c r="J71" s="142"/>
      <c r="K71" s="142"/>
      <c r="L71" s="142"/>
    </row>
    <row r="72" spans="1:13">
      <c r="A72" s="35" t="s">
        <v>230</v>
      </c>
      <c r="B72" s="479">
        <f>SUM(POP!G$346:G$381)</f>
        <v>6266.0305708736087</v>
      </c>
      <c r="C72" s="479">
        <f>SUM(POP!H$346:H$381)</f>
        <v>6378.2420222139399</v>
      </c>
      <c r="D72" s="479">
        <f>SUM(POP!I$346:I$381)</f>
        <v>6494.388621808268</v>
      </c>
      <c r="E72" s="479">
        <f>SUM(POP!J$346:J$381)</f>
        <v>6624.4452765007127</v>
      </c>
      <c r="F72" s="479">
        <f>SUM(POP!K$346:K$381)</f>
        <v>6780.7732062872346</v>
      </c>
      <c r="G72" s="479">
        <f>SUM(POP!L$346:L$381)</f>
        <v>6972.8988427545573</v>
      </c>
      <c r="H72" s="479">
        <f>SUM(POP!M$346:M$381)</f>
        <v>7204.7054696045288</v>
      </c>
      <c r="I72" s="479">
        <f>SUM(POP!N$346:N$381)</f>
        <v>7476.6064397786995</v>
      </c>
      <c r="J72" s="479">
        <f>SUM(POP!O$346:O$381)</f>
        <v>7790.1440600045871</v>
      </c>
      <c r="K72" s="479">
        <f>SUM(POP!P$346:P$381)</f>
        <v>8145.6665099886859</v>
      </c>
      <c r="L72" s="479">
        <f>SUM(POP!Q$346:Q$381)</f>
        <v>8542.9307131586502</v>
      </c>
    </row>
    <row r="73" spans="1:13">
      <c r="A73" s="35" t="s">
        <v>214</v>
      </c>
      <c r="B73" s="479">
        <f>SUM(POP!G$361:G$381)</f>
        <v>1716.6341858408505</v>
      </c>
      <c r="C73" s="479">
        <f>SUM(POP!H$361:H$381)</f>
        <v>1801.9271167661336</v>
      </c>
      <c r="D73" s="479">
        <f>SUM(POP!I$361:I$381)</f>
        <v>1892.6351874871725</v>
      </c>
      <c r="E73" s="479">
        <f>SUM(POP!J$361:J$381)</f>
        <v>1984.0496149257222</v>
      </c>
      <c r="F73" s="479">
        <f>SUM(POP!K$361:K$381)</f>
        <v>2069.6005672417396</v>
      </c>
      <c r="G73" s="479">
        <f>SUM(POP!L$361:L$381)</f>
        <v>2144.716875512242</v>
      </c>
      <c r="H73" s="479">
        <f>SUM(POP!M$361:M$381)</f>
        <v>2207.5533986197543</v>
      </c>
      <c r="I73" s="479">
        <f>SUM(POP!N$361:N$381)</f>
        <v>2260.1197914950194</v>
      </c>
      <c r="J73" s="479">
        <f>SUM(POP!O$361:O$381)</f>
        <v>2306.5203761755433</v>
      </c>
      <c r="K73" s="479">
        <f>SUM(POP!P$361:P$381)</f>
        <v>2352.8479829237617</v>
      </c>
      <c r="L73" s="479">
        <f>SUM(POP!Q$361:Q$381)</f>
        <v>2403.5591788746024</v>
      </c>
    </row>
    <row r="74" spans="1:13">
      <c r="A74" s="35" t="s">
        <v>231</v>
      </c>
      <c r="B74" s="479">
        <f>B72-B73</f>
        <v>4549.3963850327582</v>
      </c>
      <c r="C74" s="479">
        <f t="shared" ref="C74:L74" si="24">C72-C73</f>
        <v>4576.3149054478063</v>
      </c>
      <c r="D74" s="479">
        <f t="shared" si="24"/>
        <v>4601.7534343210955</v>
      </c>
      <c r="E74" s="479">
        <f t="shared" si="24"/>
        <v>4640.3956615749903</v>
      </c>
      <c r="F74" s="479">
        <f t="shared" si="24"/>
        <v>4711.1726390454951</v>
      </c>
      <c r="G74" s="479">
        <f t="shared" si="24"/>
        <v>4828.1819672423153</v>
      </c>
      <c r="H74" s="479">
        <f t="shared" si="24"/>
        <v>4997.1520709847746</v>
      </c>
      <c r="I74" s="479">
        <f t="shared" si="24"/>
        <v>5216.4866482836806</v>
      </c>
      <c r="J74" s="479">
        <f t="shared" si="24"/>
        <v>5483.6236838290442</v>
      </c>
      <c r="K74" s="479">
        <f t="shared" si="24"/>
        <v>5792.8185270649246</v>
      </c>
      <c r="L74" s="479">
        <f t="shared" si="24"/>
        <v>6139.3715342840478</v>
      </c>
    </row>
    <row r="75" spans="1:13">
      <c r="A75" s="35" t="s">
        <v>1078</v>
      </c>
      <c r="B75" s="479">
        <f>SUM(POP!G$359:G$381)</f>
        <v>2264.1219572830305</v>
      </c>
      <c r="C75" s="479">
        <f>SUM(POP!H$359:H$381)</f>
        <v>2355.0493970103653</v>
      </c>
      <c r="D75" s="479">
        <f>SUM(POP!I$359:I$381)</f>
        <v>2444.485326078322</v>
      </c>
      <c r="E75" s="479">
        <f>SUM(POP!J$359:J$381)</f>
        <v>2530.8213074222094</v>
      </c>
      <c r="F75" s="479">
        <f>SUM(POP!K$359:K$381)</f>
        <v>2611.9699867672571</v>
      </c>
      <c r="G75" s="479">
        <f>SUM(POP!L$359:L$381)</f>
        <v>2686.569821453465</v>
      </c>
      <c r="H75" s="479">
        <f>SUM(POP!M$359:M$381)</f>
        <v>2754.6084212517317</v>
      </c>
      <c r="I75" s="479">
        <f>SUM(POP!N$359:N$381)</f>
        <v>2817.1847495550983</v>
      </c>
      <c r="J75" s="479">
        <f>SUM(POP!O$359:O$381)</f>
        <v>2875.6803886712423</v>
      </c>
      <c r="K75" s="479">
        <f>SUM(POP!P$359:P$381)</f>
        <v>2932.0764570043098</v>
      </c>
      <c r="L75" s="479">
        <f>SUM(POP!Q$359:Q$381)</f>
        <v>2988.3187929586211</v>
      </c>
    </row>
    <row r="76" spans="1:13">
      <c r="A76" s="35" t="s">
        <v>975</v>
      </c>
      <c r="B76" s="479">
        <f>SUM(POP!G$358:G$381)</f>
        <v>2460.9597751115061</v>
      </c>
      <c r="C76" s="479">
        <f>SUM(POP!H$358:H$381)</f>
        <v>2551.7400203195984</v>
      </c>
      <c r="D76" s="479">
        <f>SUM(POP!I$358:I$381)</f>
        <v>2637.495096915884</v>
      </c>
      <c r="E76" s="479">
        <f>SUM(POP!J$358:J$381)</f>
        <v>2718.476385028207</v>
      </c>
      <c r="F76" s="479">
        <f>SUM(POP!K$358:K$381)</f>
        <v>2795.2588757852986</v>
      </c>
      <c r="G76" s="479">
        <f>SUM(POP!L$358:L$381)</f>
        <v>2868.3621821525016</v>
      </c>
      <c r="H76" s="479">
        <f>SUM(POP!M$358:M$381)</f>
        <v>2938.7872482485363</v>
      </c>
      <c r="I76" s="479">
        <f>SUM(POP!N$358:N$381)</f>
        <v>3007.0169580745646</v>
      </c>
      <c r="J76" s="479">
        <f>SUM(POP!O$358:O$381)</f>
        <v>3072.7328054528648</v>
      </c>
      <c r="K76" s="479">
        <f>SUM(POP!P$358:P$381)</f>
        <v>3135.3872871183335</v>
      </c>
      <c r="L76" s="479">
        <f>SUM(POP!Q$358:Q$381)</f>
        <v>3195.2979666109063</v>
      </c>
    </row>
    <row r="77" spans="1:13">
      <c r="A77" s="35" t="s">
        <v>1079</v>
      </c>
      <c r="B77" s="479">
        <f>SUM(POP!G$357:G$381)</f>
        <v>2733.6561995657298</v>
      </c>
      <c r="C77" s="479">
        <f>SUM(POP!H$357:H$381)</f>
        <v>2824.1993555957438</v>
      </c>
      <c r="D77" s="479">
        <f>SUM(POP!I$357:I$381)</f>
        <v>2906.3016374953663</v>
      </c>
      <c r="E77" s="479">
        <f>SUM(POP!J$357:J$381)</f>
        <v>2982.0034315758121</v>
      </c>
      <c r="F77" s="479">
        <f>SUM(POP!K$357:K$381)</f>
        <v>3054.4227526340401</v>
      </c>
      <c r="G77" s="479">
        <f>SUM(POP!L$357:L$381)</f>
        <v>3125.9172091602654</v>
      </c>
      <c r="H77" s="479">
        <f>SUM(POP!M$357:M$381)</f>
        <v>3198.496225613987</v>
      </c>
      <c r="I77" s="479">
        <f>SUM(POP!N$357:N$381)</f>
        <v>3272.2090369116604</v>
      </c>
      <c r="J77" s="479">
        <f>SUM(POP!O$357:O$381)</f>
        <v>3345.4346575871614</v>
      </c>
      <c r="K77" s="479">
        <f>SUM(POP!P$357:P$381)</f>
        <v>3415.6136519827746</v>
      </c>
      <c r="L77" s="479">
        <f>SUM(POP!Q$357:Q$381)</f>
        <v>3481.8114323051705</v>
      </c>
    </row>
    <row r="78" spans="1:13">
      <c r="A78" s="35" t="s">
        <v>1080</v>
      </c>
      <c r="B78" s="479">
        <f>SUM(POP!G$355:G$381)</f>
        <v>3219.2463595153104</v>
      </c>
      <c r="C78" s="479">
        <f>SUM(POP!H$355:H$381)</f>
        <v>3310.9714537830282</v>
      </c>
      <c r="D78" s="479">
        <f>SUM(POP!I$355:I$381)</f>
        <v>3394.6922392203396</v>
      </c>
      <c r="E78" s="479">
        <f>SUM(POP!J$355:J$381)</f>
        <v>3472.1881897256617</v>
      </c>
      <c r="F78" s="479">
        <f>SUM(POP!K$355:K$381)</f>
        <v>3546.0283249177523</v>
      </c>
      <c r="G78" s="479">
        <f>SUM(POP!L$355:L$381)</f>
        <v>3618.4210726562324</v>
      </c>
      <c r="H78" s="479">
        <f>SUM(POP!M$355:M$381)</f>
        <v>3691.4110295384808</v>
      </c>
      <c r="I78" s="479">
        <f>SUM(POP!N$355:N$381)</f>
        <v>3766.0475431425461</v>
      </c>
      <c r="J78" s="479">
        <f>SUM(POP!O$355:O$381)</f>
        <v>3842.6770419563718</v>
      </c>
      <c r="K78" s="479">
        <f>SUM(POP!P$355:P$381)</f>
        <v>3921.2882931910149</v>
      </c>
      <c r="L78" s="479">
        <f>SUM(POP!Q$355:Q$381)</f>
        <v>4002.8599821234989</v>
      </c>
    </row>
    <row r="79" spans="1:13">
      <c r="A79" s="35" t="s">
        <v>1081</v>
      </c>
      <c r="B79" s="479">
        <f>SUM(POP!G$353:G$381)</f>
        <v>3826.7137158955647</v>
      </c>
      <c r="C79" s="479">
        <f>SUM(POP!H$353:H$381)</f>
        <v>3923.7570755451816</v>
      </c>
      <c r="D79" s="479">
        <f>SUM(POP!I$353:I$381)</f>
        <v>4022.9476256434878</v>
      </c>
      <c r="E79" s="479">
        <f>SUM(POP!J$353:J$381)</f>
        <v>4120.8196018555809</v>
      </c>
      <c r="F79" s="479">
        <f>SUM(POP!K$353:K$381)</f>
        <v>4212.0538055564284</v>
      </c>
      <c r="G79" s="479">
        <f>SUM(POP!L$353:L$381)</f>
        <v>4293.7659254805412</v>
      </c>
      <c r="H79" s="479">
        <f>SUM(POP!M$353:M$381)</f>
        <v>4365.5874460762479</v>
      </c>
      <c r="I79" s="479">
        <f>SUM(POP!N$353:N$381)</f>
        <v>4432.2054861055594</v>
      </c>
      <c r="J79" s="479">
        <f>SUM(POP!O$353:O$381)</f>
        <v>4502.1828142644126</v>
      </c>
      <c r="K79" s="479">
        <f>SUM(POP!P$353:P$381)</f>
        <v>4586.9485496095986</v>
      </c>
      <c r="L79" s="479">
        <f>SUM(POP!Q$353:Q$381)</f>
        <v>4695.4540214635235</v>
      </c>
    </row>
    <row r="80" spans="1:13">
      <c r="A80" s="35" t="s">
        <v>976</v>
      </c>
      <c r="B80" s="479">
        <f>SUM(POP!G$351:G$381)</f>
        <v>4455.0806425735227</v>
      </c>
      <c r="C80" s="479">
        <f>SUM(POP!H$351:H$381)</f>
        <v>4554.2109820288551</v>
      </c>
      <c r="D80" s="479">
        <f>SUM(POP!I$351:I$381)</f>
        <v>4661.5464343494923</v>
      </c>
      <c r="E80" s="479">
        <f>SUM(POP!J$351:J$381)</f>
        <v>4772.1905401176855</v>
      </c>
      <c r="F80" s="479">
        <f>SUM(POP!K$351:K$381)</f>
        <v>4878.340501215258</v>
      </c>
      <c r="G80" s="479">
        <f>SUM(POP!L$351:L$381)</f>
        <v>4975.677758851225</v>
      </c>
      <c r="H80" s="479">
        <f>SUM(POP!M$351:M$381)</f>
        <v>5062.8180727084873</v>
      </c>
      <c r="I80" s="479">
        <f>SUM(POP!N$351:N$381)</f>
        <v>5146.1804558174308</v>
      </c>
      <c r="J80" s="479">
        <f>SUM(POP!O$351:O$381)</f>
        <v>5238.8212080788817</v>
      </c>
      <c r="K80" s="479">
        <f>SUM(POP!P$351:P$381)</f>
        <v>5358.233636915128</v>
      </c>
      <c r="L80" s="479">
        <f>SUM(POP!Q$351:Q$381)</f>
        <v>5517.3644975232401</v>
      </c>
    </row>
    <row r="81" spans="1:12">
      <c r="A81" s="35" t="s">
        <v>1082</v>
      </c>
      <c r="B81" s="479">
        <f>SUM(POP!G$349:G$381)</f>
        <v>5157.3392254686751</v>
      </c>
      <c r="C81" s="479">
        <f>SUM(POP!H$349:H$381)</f>
        <v>5253.8684684644049</v>
      </c>
      <c r="D81" s="479">
        <f>SUM(POP!I$349:I$381)</f>
        <v>5355.7249285688895</v>
      </c>
      <c r="E81" s="479">
        <f>SUM(POP!J$349:J$381)</f>
        <v>5463.6406677413834</v>
      </c>
      <c r="F81" s="479">
        <f>SUM(POP!K$349:K$381)</f>
        <v>5577.4199714011356</v>
      </c>
      <c r="G81" s="479">
        <f>SUM(POP!L$349:L$381)</f>
        <v>5698.1398832296691</v>
      </c>
      <c r="H81" s="479">
        <f>SUM(POP!M$349:M$381)</f>
        <v>5826.2844055293353</v>
      </c>
      <c r="I81" s="479">
        <f>SUM(POP!N$349:N$381)</f>
        <v>5966.5153310592004</v>
      </c>
      <c r="J81" s="479">
        <f>SUM(POP!O$349:O$381)</f>
        <v>6129.0897690555103</v>
      </c>
      <c r="K81" s="479">
        <f>SUM(POP!P$349:P$381)</f>
        <v>6327.0474291502333</v>
      </c>
      <c r="L81" s="479">
        <f>SUM(POP!Q$349:Q$381)</f>
        <v>6569.7774266495726</v>
      </c>
    </row>
    <row r="82" spans="1:12">
      <c r="A82" s="35" t="s">
        <v>1083</v>
      </c>
      <c r="B82" s="479">
        <f>SUM(POP!G$347:G$381)</f>
        <v>5856.65632921817</v>
      </c>
      <c r="C82" s="479">
        <f>SUM(POP!H$347:H$381)</f>
        <v>5956.573434280288</v>
      </c>
      <c r="D82" s="479">
        <f>SUM(POP!I$347:I$381)</f>
        <v>6057.2815905824082</v>
      </c>
      <c r="E82" s="479">
        <f>SUM(POP!J$347:J$381)</f>
        <v>6167.2341237559585</v>
      </c>
      <c r="F82" s="479">
        <f>SUM(POP!K$347:K$381)</f>
        <v>6296.8794591177411</v>
      </c>
      <c r="G82" s="479">
        <f>SUM(POP!L$347:L$381)</f>
        <v>6454.5831728062312</v>
      </c>
      <c r="H82" s="479">
        <f>SUM(POP!M$347:M$381)</f>
        <v>6643.6711115778726</v>
      </c>
      <c r="I82" s="479">
        <f>SUM(POP!N$347:N$381)</f>
        <v>6865.5108648547857</v>
      </c>
      <c r="J82" s="479">
        <f>SUM(POP!O$347:O$381)</f>
        <v>7123.9482095520934</v>
      </c>
      <c r="K82" s="479">
        <f>SUM(POP!P$347:P$381)</f>
        <v>7422.5431699154169</v>
      </c>
      <c r="L82" s="479">
        <f>SUM(POP!Q$347:Q$381)</f>
        <v>7763.5561567873392</v>
      </c>
    </row>
    <row r="83" spans="1:12">
      <c r="A83" s="35" t="s">
        <v>1084</v>
      </c>
      <c r="B83" s="479">
        <f>B75-B$73</f>
        <v>547.48777144218002</v>
      </c>
      <c r="C83" s="479">
        <f t="shared" ref="C83:L83" si="25">C75-C$73</f>
        <v>553.12228024423166</v>
      </c>
      <c r="D83" s="479">
        <f t="shared" si="25"/>
        <v>551.85013859114952</v>
      </c>
      <c r="E83" s="479">
        <f t="shared" si="25"/>
        <v>546.77169249648728</v>
      </c>
      <c r="F83" s="479">
        <f t="shared" si="25"/>
        <v>542.36941952551751</v>
      </c>
      <c r="G83" s="479">
        <f t="shared" si="25"/>
        <v>541.85294594122297</v>
      </c>
      <c r="H83" s="479">
        <f t="shared" si="25"/>
        <v>547.05502263197741</v>
      </c>
      <c r="I83" s="479">
        <f t="shared" si="25"/>
        <v>557.06495806007888</v>
      </c>
      <c r="J83" s="479">
        <f t="shared" si="25"/>
        <v>569.16001249569899</v>
      </c>
      <c r="K83" s="479">
        <f t="shared" si="25"/>
        <v>579.22847408054804</v>
      </c>
      <c r="L83" s="479">
        <f t="shared" si="25"/>
        <v>584.75961408401872</v>
      </c>
    </row>
    <row r="84" spans="1:12">
      <c r="A84" s="35" t="s">
        <v>978</v>
      </c>
      <c r="B84" s="479">
        <f t="shared" ref="B84:L90" si="26">B76-B$73</f>
        <v>744.32558927065566</v>
      </c>
      <c r="C84" s="479">
        <f t="shared" si="26"/>
        <v>749.81290355346482</v>
      </c>
      <c r="D84" s="479">
        <f t="shared" si="26"/>
        <v>744.85990942871149</v>
      </c>
      <c r="E84" s="479">
        <f t="shared" si="26"/>
        <v>734.42677010248485</v>
      </c>
      <c r="F84" s="479">
        <f t="shared" si="26"/>
        <v>725.65830854355909</v>
      </c>
      <c r="G84" s="479">
        <f t="shared" si="26"/>
        <v>723.64530664025961</v>
      </c>
      <c r="H84" s="479">
        <f t="shared" si="26"/>
        <v>731.23384962878208</v>
      </c>
      <c r="I84" s="479">
        <f t="shared" si="26"/>
        <v>746.89716657954523</v>
      </c>
      <c r="J84" s="479">
        <f t="shared" si="26"/>
        <v>766.21242927732146</v>
      </c>
      <c r="K84" s="479">
        <f t="shared" si="26"/>
        <v>782.53930419457174</v>
      </c>
      <c r="L84" s="479">
        <f t="shared" si="26"/>
        <v>791.73878773630395</v>
      </c>
    </row>
    <row r="85" spans="1:12">
      <c r="A85" s="35" t="s">
        <v>1085</v>
      </c>
      <c r="B85" s="479">
        <f t="shared" si="26"/>
        <v>1017.0220137248793</v>
      </c>
      <c r="C85" s="479">
        <f t="shared" si="26"/>
        <v>1022.2722388296102</v>
      </c>
      <c r="D85" s="479">
        <f t="shared" si="26"/>
        <v>1013.6664500081938</v>
      </c>
      <c r="E85" s="479">
        <f t="shared" si="26"/>
        <v>997.95381665008995</v>
      </c>
      <c r="F85" s="479">
        <f t="shared" si="26"/>
        <v>984.82218539230053</v>
      </c>
      <c r="G85" s="479">
        <f t="shared" si="26"/>
        <v>981.20033364802339</v>
      </c>
      <c r="H85" s="479">
        <f t="shared" si="26"/>
        <v>990.94282699423275</v>
      </c>
      <c r="I85" s="479">
        <f t="shared" si="26"/>
        <v>1012.089245416641</v>
      </c>
      <c r="J85" s="479">
        <f t="shared" si="26"/>
        <v>1038.914281411618</v>
      </c>
      <c r="K85" s="479">
        <f t="shared" si="26"/>
        <v>1062.7656690590129</v>
      </c>
      <c r="L85" s="479">
        <f t="shared" si="26"/>
        <v>1078.2522534305681</v>
      </c>
    </row>
    <row r="86" spans="1:12">
      <c r="A86" s="35" t="s">
        <v>1086</v>
      </c>
      <c r="B86" s="479">
        <f t="shared" si="26"/>
        <v>1502.6121736744599</v>
      </c>
      <c r="C86" s="479">
        <f t="shared" si="26"/>
        <v>1509.0443370168946</v>
      </c>
      <c r="D86" s="479">
        <f t="shared" si="26"/>
        <v>1502.0570517331671</v>
      </c>
      <c r="E86" s="479">
        <f t="shared" si="26"/>
        <v>1488.1385747999395</v>
      </c>
      <c r="F86" s="479">
        <f t="shared" si="26"/>
        <v>1476.4277576760128</v>
      </c>
      <c r="G86" s="479">
        <f t="shared" si="26"/>
        <v>1473.7041971439903</v>
      </c>
      <c r="H86" s="479">
        <f t="shared" si="26"/>
        <v>1483.8576309187265</v>
      </c>
      <c r="I86" s="479">
        <f t="shared" si="26"/>
        <v>1505.9277516475267</v>
      </c>
      <c r="J86" s="479">
        <f t="shared" si="26"/>
        <v>1536.1566657808285</v>
      </c>
      <c r="K86" s="479">
        <f t="shared" si="26"/>
        <v>1568.4403102672532</v>
      </c>
      <c r="L86" s="479">
        <f t="shared" si="26"/>
        <v>1599.3008032488965</v>
      </c>
    </row>
    <row r="87" spans="1:12">
      <c r="A87" s="35" t="s">
        <v>1087</v>
      </c>
      <c r="B87" s="479">
        <f t="shared" si="26"/>
        <v>2110.0795300547143</v>
      </c>
      <c r="C87" s="479">
        <f t="shared" si="26"/>
        <v>2121.829958779048</v>
      </c>
      <c r="D87" s="479">
        <f t="shared" si="26"/>
        <v>2130.3124381563152</v>
      </c>
      <c r="E87" s="479">
        <f t="shared" si="26"/>
        <v>2136.7699869298585</v>
      </c>
      <c r="F87" s="479">
        <f t="shared" si="26"/>
        <v>2142.4532383146889</v>
      </c>
      <c r="G87" s="479">
        <f t="shared" si="26"/>
        <v>2149.0490499682992</v>
      </c>
      <c r="H87" s="479">
        <f t="shared" si="26"/>
        <v>2158.0340474564937</v>
      </c>
      <c r="I87" s="479">
        <f t="shared" si="26"/>
        <v>2172.08569461054</v>
      </c>
      <c r="J87" s="479">
        <f t="shared" si="26"/>
        <v>2195.6624380888693</v>
      </c>
      <c r="K87" s="479">
        <f t="shared" si="26"/>
        <v>2234.1005666858368</v>
      </c>
      <c r="L87" s="479">
        <f t="shared" si="26"/>
        <v>2291.8948425889212</v>
      </c>
    </row>
    <row r="88" spans="1:12">
      <c r="A88" s="35" t="s">
        <v>980</v>
      </c>
      <c r="B88" s="479">
        <f t="shared" si="26"/>
        <v>2738.4464567326722</v>
      </c>
      <c r="C88" s="479">
        <f t="shared" si="26"/>
        <v>2752.2838652627215</v>
      </c>
      <c r="D88" s="479">
        <f t="shared" si="26"/>
        <v>2768.9112468623198</v>
      </c>
      <c r="E88" s="479">
        <f t="shared" si="26"/>
        <v>2788.1409251919631</v>
      </c>
      <c r="F88" s="479">
        <f t="shared" si="26"/>
        <v>2808.7399339735184</v>
      </c>
      <c r="G88" s="479">
        <f t="shared" si="26"/>
        <v>2830.960883338983</v>
      </c>
      <c r="H88" s="479">
        <f t="shared" si="26"/>
        <v>2855.264674088733</v>
      </c>
      <c r="I88" s="479">
        <f t="shared" si="26"/>
        <v>2886.0606643224114</v>
      </c>
      <c r="J88" s="479">
        <f t="shared" si="26"/>
        <v>2932.3008319033383</v>
      </c>
      <c r="K88" s="479">
        <f t="shared" si="26"/>
        <v>3005.3856539913663</v>
      </c>
      <c r="L88" s="479">
        <f t="shared" si="26"/>
        <v>3113.8053186486377</v>
      </c>
    </row>
    <row r="89" spans="1:12">
      <c r="A89" s="35" t="s">
        <v>1088</v>
      </c>
      <c r="B89" s="479">
        <f t="shared" si="26"/>
        <v>3440.7050396278246</v>
      </c>
      <c r="C89" s="479">
        <f t="shared" si="26"/>
        <v>3451.9413516982713</v>
      </c>
      <c r="D89" s="479">
        <f t="shared" si="26"/>
        <v>3463.089741081717</v>
      </c>
      <c r="E89" s="479">
        <f t="shared" si="26"/>
        <v>3479.591052815661</v>
      </c>
      <c r="F89" s="479">
        <f t="shared" si="26"/>
        <v>3507.8194041593961</v>
      </c>
      <c r="G89" s="479">
        <f t="shared" si="26"/>
        <v>3553.423007717427</v>
      </c>
      <c r="H89" s="479">
        <f t="shared" si="26"/>
        <v>3618.7310069095811</v>
      </c>
      <c r="I89" s="479">
        <f t="shared" si="26"/>
        <v>3706.395539564181</v>
      </c>
      <c r="J89" s="479">
        <f t="shared" si="26"/>
        <v>3822.5693928799669</v>
      </c>
      <c r="K89" s="479">
        <f t="shared" si="26"/>
        <v>3974.1994462264715</v>
      </c>
      <c r="L89" s="479">
        <f t="shared" si="26"/>
        <v>4166.2182477749702</v>
      </c>
    </row>
    <row r="90" spans="1:12">
      <c r="A90" s="35" t="s">
        <v>1089</v>
      </c>
      <c r="B90" s="479">
        <f t="shared" si="26"/>
        <v>4140.0221433773195</v>
      </c>
      <c r="C90" s="479">
        <f t="shared" si="26"/>
        <v>4154.6463175141544</v>
      </c>
      <c r="D90" s="479">
        <f t="shared" si="26"/>
        <v>4164.6464030952357</v>
      </c>
      <c r="E90" s="479">
        <f t="shared" si="26"/>
        <v>4183.1845088302362</v>
      </c>
      <c r="F90" s="479">
        <f t="shared" si="26"/>
        <v>4227.2788918760016</v>
      </c>
      <c r="G90" s="479">
        <f t="shared" si="26"/>
        <v>4309.8662972939892</v>
      </c>
      <c r="H90" s="479">
        <f t="shared" si="26"/>
        <v>4436.1177129581183</v>
      </c>
      <c r="I90" s="479">
        <f t="shared" si="26"/>
        <v>4605.3910733597659</v>
      </c>
      <c r="J90" s="479">
        <f t="shared" si="26"/>
        <v>4817.4278333765506</v>
      </c>
      <c r="K90" s="479">
        <f t="shared" si="26"/>
        <v>5069.6951869916556</v>
      </c>
      <c r="L90" s="479">
        <f t="shared" si="26"/>
        <v>5359.9969779127368</v>
      </c>
    </row>
    <row r="91" spans="1:12">
      <c r="A91" s="1255" t="s">
        <v>981</v>
      </c>
      <c r="B91" s="1453">
        <f>B73</f>
        <v>1716.6341858408505</v>
      </c>
      <c r="C91" s="1453">
        <f>C73</f>
        <v>1801.9271167661336</v>
      </c>
      <c r="D91" s="1453">
        <f>D75</f>
        <v>2444.485326078322</v>
      </c>
      <c r="E91" s="1453">
        <f>E77</f>
        <v>2982.0034315758121</v>
      </c>
      <c r="F91" s="1453">
        <f>F77</f>
        <v>3054.4227526340401</v>
      </c>
      <c r="G91" s="1453">
        <f>G78</f>
        <v>3618.4210726562324</v>
      </c>
      <c r="H91" s="1453">
        <f>H79</f>
        <v>4365.5874460762479</v>
      </c>
      <c r="I91" s="1453">
        <f>I80</f>
        <v>5146.1804558174308</v>
      </c>
      <c r="J91" s="1453">
        <f>J81</f>
        <v>6129.0897690555103</v>
      </c>
      <c r="K91" s="1453">
        <f>K82</f>
        <v>7422.5431699154169</v>
      </c>
      <c r="L91" s="1453">
        <f>L72</f>
        <v>8542.9307131586502</v>
      </c>
    </row>
    <row r="92" spans="1:12">
      <c r="A92" s="1255" t="s">
        <v>990</v>
      </c>
      <c r="B92" s="1453">
        <v>0</v>
      </c>
      <c r="C92" s="1453">
        <v>0</v>
      </c>
      <c r="D92" s="1453">
        <f>D83</f>
        <v>551.85013859114952</v>
      </c>
      <c r="E92" s="1453">
        <f>E85</f>
        <v>997.95381665008995</v>
      </c>
      <c r="F92" s="1453">
        <f>F85</f>
        <v>984.82218539230053</v>
      </c>
      <c r="G92" s="1453">
        <f>G86</f>
        <v>1473.7041971439903</v>
      </c>
      <c r="H92" s="1453">
        <f>H87</f>
        <v>2158.0340474564937</v>
      </c>
      <c r="I92" s="1453">
        <f>I88</f>
        <v>2886.0606643224114</v>
      </c>
      <c r="J92" s="1453">
        <f>J89</f>
        <v>3822.5693928799669</v>
      </c>
      <c r="K92" s="1453">
        <f>K90</f>
        <v>5069.6951869916556</v>
      </c>
      <c r="L92" s="1453">
        <f>L74</f>
        <v>6139.3715342840478</v>
      </c>
    </row>
    <row r="93" spans="1:12">
      <c r="A93" s="35" t="s">
        <v>345</v>
      </c>
      <c r="B93" s="153">
        <v>0.75</v>
      </c>
      <c r="C93" s="153">
        <f>B93</f>
        <v>0.75</v>
      </c>
      <c r="D93" s="153">
        <f t="shared" ref="D93:L93" si="27">C93</f>
        <v>0.75</v>
      </c>
      <c r="E93" s="153">
        <f t="shared" si="27"/>
        <v>0.75</v>
      </c>
      <c r="F93" s="153">
        <f t="shared" si="27"/>
        <v>0.75</v>
      </c>
      <c r="G93" s="153">
        <f t="shared" si="27"/>
        <v>0.75</v>
      </c>
      <c r="H93" s="153">
        <f t="shared" si="27"/>
        <v>0.75</v>
      </c>
      <c r="I93" s="153">
        <f t="shared" si="27"/>
        <v>0.75</v>
      </c>
      <c r="J93" s="153">
        <f t="shared" si="27"/>
        <v>0.75</v>
      </c>
      <c r="K93" s="153">
        <f t="shared" si="27"/>
        <v>0.75</v>
      </c>
      <c r="L93" s="153">
        <f t="shared" si="27"/>
        <v>0.75</v>
      </c>
    </row>
    <row r="94" spans="1:12">
      <c r="A94" s="35" t="s">
        <v>346</v>
      </c>
      <c r="B94" s="17">
        <v>0.3</v>
      </c>
      <c r="C94" s="17">
        <f>B94</f>
        <v>0.3</v>
      </c>
      <c r="D94" s="17">
        <f t="shared" ref="D94:L94" si="28">C94</f>
        <v>0.3</v>
      </c>
      <c r="E94" s="17">
        <f t="shared" si="28"/>
        <v>0.3</v>
      </c>
      <c r="F94" s="17">
        <f t="shared" si="28"/>
        <v>0.3</v>
      </c>
      <c r="G94" s="17">
        <f t="shared" si="28"/>
        <v>0.3</v>
      </c>
      <c r="H94" s="17">
        <f t="shared" si="28"/>
        <v>0.3</v>
      </c>
      <c r="I94" s="17">
        <f t="shared" si="28"/>
        <v>0.3</v>
      </c>
      <c r="J94" s="17">
        <f t="shared" si="28"/>
        <v>0.3</v>
      </c>
      <c r="K94" s="17">
        <f t="shared" si="28"/>
        <v>0.3</v>
      </c>
      <c r="L94" s="17">
        <f t="shared" si="28"/>
        <v>0.3</v>
      </c>
    </row>
    <row r="96" spans="1:12">
      <c r="A96" s="1454" t="s">
        <v>216</v>
      </c>
      <c r="B96" s="1455"/>
      <c r="C96" s="1455"/>
      <c r="D96" s="1455"/>
      <c r="E96" s="1455"/>
      <c r="F96" s="1455"/>
      <c r="G96" s="1455"/>
      <c r="H96" s="1455"/>
      <c r="I96" s="1455"/>
      <c r="J96" s="1455"/>
      <c r="K96" s="1455"/>
      <c r="L96" s="1455"/>
    </row>
    <row r="97" spans="1:12">
      <c r="A97" s="1456" t="s">
        <v>217</v>
      </c>
      <c r="B97" s="479">
        <f>B73*B$20</f>
        <v>343.32683716817013</v>
      </c>
      <c r="C97" s="479">
        <f t="shared" ref="C97:L97" si="29">C73*C$20</f>
        <v>375.29807991017975</v>
      </c>
      <c r="D97" s="479">
        <f t="shared" si="29"/>
        <v>410.50188680106049</v>
      </c>
      <c r="E97" s="479">
        <f t="shared" si="29"/>
        <v>448.13607048214374</v>
      </c>
      <c r="F97" s="479">
        <f t="shared" si="29"/>
        <v>486.80276242763506</v>
      </c>
      <c r="G97" s="479">
        <f t="shared" si="29"/>
        <v>525.3461987741224</v>
      </c>
      <c r="H97" s="479">
        <f t="shared" si="29"/>
        <v>563.1135382078736</v>
      </c>
      <c r="I97" s="479">
        <f t="shared" si="29"/>
        <v>600.37878189683113</v>
      </c>
      <c r="J97" s="479">
        <f t="shared" si="29"/>
        <v>638.05820605958399</v>
      </c>
      <c r="K97" s="479">
        <f t="shared" si="29"/>
        <v>677.80691812867917</v>
      </c>
      <c r="L97" s="479">
        <f t="shared" si="29"/>
        <v>721.06775366238071</v>
      </c>
    </row>
    <row r="98" spans="1:12">
      <c r="A98" s="1456" t="s">
        <v>232</v>
      </c>
      <c r="B98" s="479">
        <f>B74*B$20</f>
        <v>909.87927700655166</v>
      </c>
      <c r="C98" s="479">
        <f t="shared" ref="C98:L98" si="30">C74*C$20</f>
        <v>953.13632893277793</v>
      </c>
      <c r="D98" s="479">
        <f t="shared" si="30"/>
        <v>998.09433950665823</v>
      </c>
      <c r="E98" s="479">
        <f t="shared" si="30"/>
        <v>1048.1233239414007</v>
      </c>
      <c r="F98" s="479">
        <f t="shared" si="30"/>
        <v>1108.1422624547226</v>
      </c>
      <c r="G98" s="479">
        <f t="shared" si="30"/>
        <v>1182.6582205050759</v>
      </c>
      <c r="H98" s="479">
        <f t="shared" si="30"/>
        <v>1274.6980369373787</v>
      </c>
      <c r="I98" s="479">
        <f t="shared" si="30"/>
        <v>1385.7088068796468</v>
      </c>
      <c r="J98" s="479">
        <f t="shared" si="30"/>
        <v>1516.9478347342019</v>
      </c>
      <c r="K98" s="479">
        <f t="shared" si="30"/>
        <v>1668.7913973215741</v>
      </c>
      <c r="L98" s="479">
        <f t="shared" si="30"/>
        <v>1841.8114602852143</v>
      </c>
    </row>
    <row r="99" spans="1:12">
      <c r="A99" s="1456" t="s">
        <v>233</v>
      </c>
      <c r="B99" s="479">
        <f>B97+B98</f>
        <v>1253.2061141747217</v>
      </c>
      <c r="C99" s="479">
        <f t="shared" ref="C99:L99" si="31">C97+C98</f>
        <v>1328.4344088429577</v>
      </c>
      <c r="D99" s="479">
        <f t="shared" si="31"/>
        <v>1408.5962263077188</v>
      </c>
      <c r="E99" s="479">
        <f t="shared" si="31"/>
        <v>1496.2593944235446</v>
      </c>
      <c r="F99" s="479">
        <f t="shared" si="31"/>
        <v>1594.9450248823578</v>
      </c>
      <c r="G99" s="479">
        <f t="shared" si="31"/>
        <v>1708.0044192791984</v>
      </c>
      <c r="H99" s="479">
        <f t="shared" si="31"/>
        <v>1837.8115751452524</v>
      </c>
      <c r="I99" s="479">
        <f t="shared" si="31"/>
        <v>1986.0875887764778</v>
      </c>
      <c r="J99" s="479">
        <f t="shared" si="31"/>
        <v>2155.0060407937858</v>
      </c>
      <c r="K99" s="479">
        <f t="shared" si="31"/>
        <v>2346.5983154502533</v>
      </c>
      <c r="L99" s="479">
        <f t="shared" si="31"/>
        <v>2562.879213947595</v>
      </c>
    </row>
    <row r="100" spans="1:12">
      <c r="A100" s="1456" t="s">
        <v>1090</v>
      </c>
      <c r="B100" s="479">
        <f>B83*B$20</f>
        <v>109.49755428843601</v>
      </c>
      <c r="C100" s="479">
        <f t="shared" ref="C100:L100" si="32">C83*C$20</f>
        <v>115.20206771944727</v>
      </c>
      <c r="D100" s="479">
        <f t="shared" si="32"/>
        <v>119.69317944672788</v>
      </c>
      <c r="E100" s="479">
        <f t="shared" si="32"/>
        <v>123.49898706309321</v>
      </c>
      <c r="F100" s="479">
        <f t="shared" si="32"/>
        <v>127.57385935256906</v>
      </c>
      <c r="G100" s="479">
        <f t="shared" si="32"/>
        <v>132.72632331798738</v>
      </c>
      <c r="H100" s="479">
        <f t="shared" si="32"/>
        <v>139.54547581104413</v>
      </c>
      <c r="I100" s="479">
        <f t="shared" si="32"/>
        <v>147.9788736048757</v>
      </c>
      <c r="J100" s="479">
        <f t="shared" si="32"/>
        <v>157.44808512639696</v>
      </c>
      <c r="K100" s="479">
        <f t="shared" si="32"/>
        <v>166.86376245227876</v>
      </c>
      <c r="L100" s="479">
        <f t="shared" si="32"/>
        <v>175.42788422520562</v>
      </c>
    </row>
    <row r="101" spans="1:12">
      <c r="A101" s="1456" t="s">
        <v>1091</v>
      </c>
      <c r="B101" s="479">
        <f>B$97+B100</f>
        <v>452.82439145660612</v>
      </c>
      <c r="C101" s="479">
        <f t="shared" ref="C101:L101" si="33">C$97+C100</f>
        <v>490.50014762962701</v>
      </c>
      <c r="D101" s="479">
        <f t="shared" si="33"/>
        <v>530.19506624778842</v>
      </c>
      <c r="E101" s="479">
        <f t="shared" si="33"/>
        <v>571.63505754523692</v>
      </c>
      <c r="F101" s="479">
        <f t="shared" si="33"/>
        <v>614.37662178020412</v>
      </c>
      <c r="G101" s="479">
        <f t="shared" si="33"/>
        <v>658.07252209210981</v>
      </c>
      <c r="H101" s="479">
        <f t="shared" si="33"/>
        <v>702.65901401891779</v>
      </c>
      <c r="I101" s="479">
        <f t="shared" si="33"/>
        <v>748.35765550170686</v>
      </c>
      <c r="J101" s="479">
        <f t="shared" si="33"/>
        <v>795.5062911859809</v>
      </c>
      <c r="K101" s="479">
        <f t="shared" si="33"/>
        <v>844.67068058095788</v>
      </c>
      <c r="L101" s="479">
        <f t="shared" si="33"/>
        <v>896.49563788758633</v>
      </c>
    </row>
    <row r="102" spans="1:12">
      <c r="A102" s="1456" t="s">
        <v>1092</v>
      </c>
      <c r="B102" s="479">
        <f>B85*B$20</f>
        <v>203.40440274497587</v>
      </c>
      <c r="C102" s="479">
        <f t="shared" ref="C102:L102" si="34">C85*C$20</f>
        <v>212.91472047258557</v>
      </c>
      <c r="D102" s="479">
        <f t="shared" si="34"/>
        <v>219.85853008881389</v>
      </c>
      <c r="E102" s="479">
        <f t="shared" si="34"/>
        <v>225.40721691225036</v>
      </c>
      <c r="F102" s="479">
        <f t="shared" si="34"/>
        <v>231.64574263135796</v>
      </c>
      <c r="G102" s="479">
        <f t="shared" si="34"/>
        <v>240.34401528862654</v>
      </c>
      <c r="H102" s="479">
        <f t="shared" si="34"/>
        <v>252.7745520535658</v>
      </c>
      <c r="I102" s="479">
        <f t="shared" si="34"/>
        <v>268.85163813913931</v>
      </c>
      <c r="J102" s="479">
        <f t="shared" si="34"/>
        <v>287.39732347230222</v>
      </c>
      <c r="K102" s="479">
        <f t="shared" si="34"/>
        <v>306.16084339741832</v>
      </c>
      <c r="L102" s="479">
        <f t="shared" si="34"/>
        <v>323.47567602917042</v>
      </c>
    </row>
    <row r="103" spans="1:12">
      <c r="A103" s="1456" t="s">
        <v>1093</v>
      </c>
      <c r="B103" s="479">
        <f>B$97+B102</f>
        <v>546.73123991314606</v>
      </c>
      <c r="C103" s="479">
        <f t="shared" ref="C103:L103" si="35">C$97+C102</f>
        <v>588.21280038276529</v>
      </c>
      <c r="D103" s="479">
        <f t="shared" si="35"/>
        <v>630.36041688987439</v>
      </c>
      <c r="E103" s="479">
        <f t="shared" si="35"/>
        <v>673.54328739439416</v>
      </c>
      <c r="F103" s="479">
        <f t="shared" si="35"/>
        <v>718.44850505899308</v>
      </c>
      <c r="G103" s="479">
        <f t="shared" si="35"/>
        <v>765.69021406274896</v>
      </c>
      <c r="H103" s="479">
        <f t="shared" si="35"/>
        <v>815.8880902614394</v>
      </c>
      <c r="I103" s="479">
        <f t="shared" si="35"/>
        <v>869.23042003597038</v>
      </c>
      <c r="J103" s="479">
        <f t="shared" si="35"/>
        <v>925.45552953188621</v>
      </c>
      <c r="K103" s="479">
        <f t="shared" si="35"/>
        <v>983.96776152609755</v>
      </c>
      <c r="L103" s="479">
        <f t="shared" si="35"/>
        <v>1044.5434296915512</v>
      </c>
    </row>
    <row r="104" spans="1:12">
      <c r="A104" s="1456" t="s">
        <v>1094</v>
      </c>
      <c r="B104" s="479">
        <f>B86*B$20</f>
        <v>300.52243473489199</v>
      </c>
      <c r="C104" s="479">
        <f t="shared" ref="C104:L104" si="36">C86*C$20</f>
        <v>314.29764107117018</v>
      </c>
      <c r="D104" s="479">
        <f t="shared" si="36"/>
        <v>325.78769426661222</v>
      </c>
      <c r="E104" s="479">
        <f t="shared" si="36"/>
        <v>336.12494779708885</v>
      </c>
      <c r="F104" s="479">
        <f t="shared" si="36"/>
        <v>347.27914281518019</v>
      </c>
      <c r="G104" s="479">
        <f t="shared" si="36"/>
        <v>360.98233148007233</v>
      </c>
      <c r="H104" s="479">
        <f t="shared" si="36"/>
        <v>378.50967558285726</v>
      </c>
      <c r="I104" s="479">
        <f t="shared" si="36"/>
        <v>400.03502140066462</v>
      </c>
      <c r="J104" s="479">
        <f t="shared" si="36"/>
        <v>424.95066443756838</v>
      </c>
      <c r="K104" s="479">
        <f t="shared" si="36"/>
        <v>451.83526546835276</v>
      </c>
      <c r="L104" s="479">
        <f t="shared" si="36"/>
        <v>479.7902409746689</v>
      </c>
    </row>
    <row r="105" spans="1:12">
      <c r="A105" s="1456" t="s">
        <v>1095</v>
      </c>
      <c r="B105" s="479">
        <f>B$97+B104</f>
        <v>643.84927190306212</v>
      </c>
      <c r="C105" s="479">
        <f t="shared" ref="C105:L105" si="37">C$97+C104</f>
        <v>689.59572098134993</v>
      </c>
      <c r="D105" s="479">
        <f t="shared" si="37"/>
        <v>736.28958106767277</v>
      </c>
      <c r="E105" s="479">
        <f t="shared" si="37"/>
        <v>784.26101827923253</v>
      </c>
      <c r="F105" s="479">
        <f t="shared" si="37"/>
        <v>834.08190524281531</v>
      </c>
      <c r="G105" s="479">
        <f t="shared" si="37"/>
        <v>886.32853025419467</v>
      </c>
      <c r="H105" s="479">
        <f t="shared" si="37"/>
        <v>941.62321379073092</v>
      </c>
      <c r="I105" s="479">
        <f t="shared" si="37"/>
        <v>1000.4138032974957</v>
      </c>
      <c r="J105" s="479">
        <f t="shared" si="37"/>
        <v>1063.0088704971524</v>
      </c>
      <c r="K105" s="479">
        <f t="shared" si="37"/>
        <v>1129.6421835970318</v>
      </c>
      <c r="L105" s="479">
        <f t="shared" si="37"/>
        <v>1200.8579946370496</v>
      </c>
    </row>
    <row r="106" spans="1:12">
      <c r="A106" s="1456" t="s">
        <v>1096</v>
      </c>
      <c r="B106" s="479">
        <f>B87*B$20</f>
        <v>422.0159060109429</v>
      </c>
      <c r="C106" s="479">
        <f t="shared" ref="C106:L106" si="38">C87*C$20</f>
        <v>441.92614785375042</v>
      </c>
      <c r="D106" s="479">
        <f t="shared" si="38"/>
        <v>462.05274060237343</v>
      </c>
      <c r="E106" s="479">
        <f t="shared" si="38"/>
        <v>482.63092730308421</v>
      </c>
      <c r="F106" s="479">
        <f t="shared" si="38"/>
        <v>503.9388620643922</v>
      </c>
      <c r="G106" s="479">
        <f t="shared" si="38"/>
        <v>526.40736046352833</v>
      </c>
      <c r="H106" s="479">
        <f t="shared" si="38"/>
        <v>550.48189946213063</v>
      </c>
      <c r="I106" s="479">
        <f t="shared" si="38"/>
        <v>576.99338256897965</v>
      </c>
      <c r="J106" s="479">
        <f t="shared" si="38"/>
        <v>607.39131153150186</v>
      </c>
      <c r="K106" s="479">
        <f t="shared" si="38"/>
        <v>643.59823961645623</v>
      </c>
      <c r="L106" s="479">
        <f t="shared" si="38"/>
        <v>687.56845277667628</v>
      </c>
    </row>
    <row r="107" spans="1:12">
      <c r="A107" s="1456" t="s">
        <v>1097</v>
      </c>
      <c r="B107" s="479">
        <f>B$97+B106</f>
        <v>765.34274317911309</v>
      </c>
      <c r="C107" s="479">
        <f t="shared" ref="C107:L107" si="39">C$97+C106</f>
        <v>817.22422776393023</v>
      </c>
      <c r="D107" s="479">
        <f t="shared" si="39"/>
        <v>872.55462740343387</v>
      </c>
      <c r="E107" s="479">
        <f t="shared" si="39"/>
        <v>930.76699778522789</v>
      </c>
      <c r="F107" s="479">
        <f t="shared" si="39"/>
        <v>990.74162449202731</v>
      </c>
      <c r="G107" s="479">
        <f t="shared" si="39"/>
        <v>1051.7535592376507</v>
      </c>
      <c r="H107" s="479">
        <f t="shared" si="39"/>
        <v>1113.5954376700042</v>
      </c>
      <c r="I107" s="479">
        <f t="shared" si="39"/>
        <v>1177.3721644658108</v>
      </c>
      <c r="J107" s="479">
        <f t="shared" si="39"/>
        <v>1245.4495175910859</v>
      </c>
      <c r="K107" s="479">
        <f t="shared" si="39"/>
        <v>1321.4051577451355</v>
      </c>
      <c r="L107" s="479">
        <f t="shared" si="39"/>
        <v>1408.6362064390569</v>
      </c>
    </row>
    <row r="108" spans="1:12">
      <c r="A108" s="1456" t="s">
        <v>986</v>
      </c>
      <c r="B108" s="479">
        <f>B88*B$20</f>
        <v>547.68929134653445</v>
      </c>
      <c r="C108" s="479">
        <f t="shared" ref="C108:L108" si="40">C88*C$20</f>
        <v>573.23453340034712</v>
      </c>
      <c r="D108" s="479">
        <f t="shared" si="40"/>
        <v>600.5612168348016</v>
      </c>
      <c r="E108" s="479">
        <f t="shared" si="40"/>
        <v>629.75568189747707</v>
      </c>
      <c r="F108" s="479">
        <f t="shared" si="40"/>
        <v>660.66002321471842</v>
      </c>
      <c r="G108" s="479">
        <f t="shared" si="40"/>
        <v>693.44096459592447</v>
      </c>
      <c r="H108" s="479">
        <f t="shared" si="40"/>
        <v>728.33490422081695</v>
      </c>
      <c r="I108" s="479">
        <f t="shared" si="40"/>
        <v>766.65387058094223</v>
      </c>
      <c r="J108" s="479">
        <f t="shared" si="40"/>
        <v>811.16933878275631</v>
      </c>
      <c r="K108" s="479">
        <f t="shared" si="40"/>
        <v>865.78954641543419</v>
      </c>
      <c r="L108" s="479">
        <f t="shared" si="40"/>
        <v>934.14159559459131</v>
      </c>
    </row>
    <row r="109" spans="1:12">
      <c r="A109" s="1456" t="s">
        <v>987</v>
      </c>
      <c r="B109" s="479">
        <f>B$97+B108</f>
        <v>891.01612851470463</v>
      </c>
      <c r="C109" s="479">
        <f t="shared" ref="C109:L109" si="41">C$97+C108</f>
        <v>948.53261331052681</v>
      </c>
      <c r="D109" s="479">
        <f t="shared" si="41"/>
        <v>1011.063103635862</v>
      </c>
      <c r="E109" s="479">
        <f t="shared" si="41"/>
        <v>1077.8917523796208</v>
      </c>
      <c r="F109" s="479">
        <f t="shared" si="41"/>
        <v>1147.4627856423535</v>
      </c>
      <c r="G109" s="479">
        <f t="shared" si="41"/>
        <v>1218.787163370047</v>
      </c>
      <c r="H109" s="479">
        <f t="shared" si="41"/>
        <v>1291.4484424286907</v>
      </c>
      <c r="I109" s="479">
        <f t="shared" si="41"/>
        <v>1367.0326524777734</v>
      </c>
      <c r="J109" s="479">
        <f t="shared" si="41"/>
        <v>1449.2275448423402</v>
      </c>
      <c r="K109" s="479">
        <f t="shared" si="41"/>
        <v>1543.5964645441134</v>
      </c>
      <c r="L109" s="479">
        <f t="shared" si="41"/>
        <v>1655.209349256972</v>
      </c>
    </row>
    <row r="110" spans="1:12" ht="18.75" customHeight="1">
      <c r="A110" s="1456" t="s">
        <v>1098</v>
      </c>
      <c r="B110" s="479">
        <f>B89*B$20</f>
        <v>688.14100792556496</v>
      </c>
      <c r="C110" s="479">
        <f t="shared" ref="C110:L110" si="42">C89*C$20</f>
        <v>718.9563602216723</v>
      </c>
      <c r="D110" s="479">
        <f t="shared" si="42"/>
        <v>751.1246130654938</v>
      </c>
      <c r="E110" s="479">
        <f t="shared" si="42"/>
        <v>785.93309842809208</v>
      </c>
      <c r="F110" s="479">
        <f t="shared" si="42"/>
        <v>825.0945632073732</v>
      </c>
      <c r="G110" s="479">
        <f t="shared" si="42"/>
        <v>870.40732091735879</v>
      </c>
      <c r="H110" s="479">
        <f t="shared" si="42"/>
        <v>923.0836374773437</v>
      </c>
      <c r="I110" s="479">
        <f t="shared" si="42"/>
        <v>984.56783027391805</v>
      </c>
      <c r="J110" s="479">
        <f t="shared" si="42"/>
        <v>1057.4464438087571</v>
      </c>
      <c r="K110" s="479">
        <f t="shared" si="42"/>
        <v>1144.8847941838121</v>
      </c>
      <c r="L110" s="479">
        <f t="shared" si="42"/>
        <v>1249.865474332491</v>
      </c>
    </row>
    <row r="111" spans="1:12">
      <c r="A111" s="1456" t="s">
        <v>1099</v>
      </c>
      <c r="B111" s="479">
        <f>B$97+B110</f>
        <v>1031.4678450937351</v>
      </c>
      <c r="C111" s="479">
        <f t="shared" ref="C111:L111" si="43">C$97+C110</f>
        <v>1094.2544401318521</v>
      </c>
      <c r="D111" s="479">
        <f t="shared" si="43"/>
        <v>1161.6264998665542</v>
      </c>
      <c r="E111" s="479">
        <f t="shared" si="43"/>
        <v>1234.0691689102359</v>
      </c>
      <c r="F111" s="479">
        <f t="shared" si="43"/>
        <v>1311.8973256350082</v>
      </c>
      <c r="G111" s="479">
        <f t="shared" si="43"/>
        <v>1395.7535196914812</v>
      </c>
      <c r="H111" s="479">
        <f t="shared" si="43"/>
        <v>1486.1971756852172</v>
      </c>
      <c r="I111" s="479">
        <f t="shared" si="43"/>
        <v>1584.9466121707492</v>
      </c>
      <c r="J111" s="479">
        <f t="shared" si="43"/>
        <v>1695.5046498683409</v>
      </c>
      <c r="K111" s="479">
        <f t="shared" si="43"/>
        <v>1822.6917123124913</v>
      </c>
      <c r="L111" s="479">
        <f t="shared" si="43"/>
        <v>1970.9332279948717</v>
      </c>
    </row>
    <row r="112" spans="1:12">
      <c r="A112" s="1456" t="s">
        <v>1100</v>
      </c>
      <c r="B112" s="479">
        <f>B90*B$20</f>
        <v>828.00442867546394</v>
      </c>
      <c r="C112" s="479">
        <f t="shared" ref="C112:L112" si="44">C90*C$20</f>
        <v>865.31290370238037</v>
      </c>
      <c r="D112" s="479">
        <f t="shared" si="44"/>
        <v>903.28829223536297</v>
      </c>
      <c r="E112" s="479">
        <f t="shared" si="44"/>
        <v>944.8533210996037</v>
      </c>
      <c r="F112" s="479">
        <f t="shared" si="44"/>
        <v>994.32280541934267</v>
      </c>
      <c r="G112" s="479">
        <f t="shared" si="44"/>
        <v>1055.6973287988542</v>
      </c>
      <c r="H112" s="479">
        <f t="shared" si="44"/>
        <v>1131.5866437533668</v>
      </c>
      <c r="I112" s="479">
        <f t="shared" si="44"/>
        <v>1223.3772268120811</v>
      </c>
      <c r="J112" s="479">
        <f t="shared" si="44"/>
        <v>1332.6564954446392</v>
      </c>
      <c r="K112" s="479">
        <f t="shared" si="44"/>
        <v>1460.4744953715763</v>
      </c>
      <c r="L112" s="479">
        <f t="shared" si="44"/>
        <v>1607.9990933738211</v>
      </c>
    </row>
    <row r="113" spans="1:12">
      <c r="A113" s="1456" t="s">
        <v>1101</v>
      </c>
      <c r="B113" s="479">
        <f>B$97+B112</f>
        <v>1171.3312658436341</v>
      </c>
      <c r="C113" s="479">
        <f t="shared" ref="C113:L113" si="45">C$97+C112</f>
        <v>1240.6109836125602</v>
      </c>
      <c r="D113" s="479">
        <f t="shared" si="45"/>
        <v>1313.7901790364235</v>
      </c>
      <c r="E113" s="479">
        <f t="shared" si="45"/>
        <v>1392.9893915817474</v>
      </c>
      <c r="F113" s="479">
        <f t="shared" si="45"/>
        <v>1481.1255678469777</v>
      </c>
      <c r="G113" s="479">
        <f t="shared" si="45"/>
        <v>1581.0435275729765</v>
      </c>
      <c r="H113" s="479">
        <f t="shared" si="45"/>
        <v>1694.7001819612406</v>
      </c>
      <c r="I113" s="479">
        <f t="shared" si="45"/>
        <v>1823.7560087089123</v>
      </c>
      <c r="J113" s="479">
        <f t="shared" si="45"/>
        <v>1970.7147015042233</v>
      </c>
      <c r="K113" s="479">
        <f t="shared" si="45"/>
        <v>2138.2814135002554</v>
      </c>
      <c r="L113" s="479">
        <f t="shared" si="45"/>
        <v>2329.0668470362016</v>
      </c>
    </row>
    <row r="114" spans="1:12">
      <c r="A114" s="1456"/>
      <c r="B114" s="479"/>
      <c r="C114" s="479"/>
      <c r="D114" s="479"/>
      <c r="E114" s="479"/>
      <c r="F114" s="479"/>
      <c r="G114" s="479"/>
      <c r="H114" s="479"/>
      <c r="I114" s="479"/>
      <c r="J114" s="479"/>
      <c r="K114" s="479"/>
      <c r="L114" s="479"/>
    </row>
    <row r="115" spans="1:12">
      <c r="A115" s="1457" t="s">
        <v>988</v>
      </c>
      <c r="B115" s="1453">
        <f>B97</f>
        <v>343.32683716817013</v>
      </c>
      <c r="C115" s="1453">
        <f>C97</f>
        <v>375.29807991017975</v>
      </c>
      <c r="D115" s="1453">
        <f>D101</f>
        <v>530.19506624778842</v>
      </c>
      <c r="E115" s="1453">
        <f>E103</f>
        <v>673.54328739439416</v>
      </c>
      <c r="F115" s="1453">
        <f>F103</f>
        <v>718.44850505899308</v>
      </c>
      <c r="G115" s="1453">
        <f>G105</f>
        <v>886.32853025419467</v>
      </c>
      <c r="H115" s="1453">
        <f>H107</f>
        <v>1113.5954376700042</v>
      </c>
      <c r="I115" s="1453">
        <f>C109</f>
        <v>948.53261331052681</v>
      </c>
      <c r="J115" s="1453">
        <f>C111</f>
        <v>1094.2544401318521</v>
      </c>
      <c r="K115" s="1453">
        <f>C113</f>
        <v>1240.6109836125602</v>
      </c>
      <c r="L115" s="1453">
        <f>L99</f>
        <v>2562.879213947595</v>
      </c>
    </row>
    <row r="116" spans="1:12">
      <c r="A116" s="1457" t="s">
        <v>991</v>
      </c>
      <c r="B116" s="1453">
        <v>0</v>
      </c>
      <c r="C116" s="1453">
        <v>0</v>
      </c>
      <c r="D116" s="1453">
        <f>D100</f>
        <v>119.69317944672788</v>
      </c>
      <c r="E116" s="1453">
        <f>E102</f>
        <v>225.40721691225036</v>
      </c>
      <c r="F116" s="1453">
        <f>F102</f>
        <v>231.64574263135796</v>
      </c>
      <c r="G116" s="1453">
        <f>G104</f>
        <v>360.98233148007233</v>
      </c>
      <c r="H116" s="1453">
        <f>H106</f>
        <v>550.48189946213063</v>
      </c>
      <c r="I116" s="1453">
        <f>G108</f>
        <v>693.44096459592447</v>
      </c>
      <c r="J116" s="1453">
        <f>J110</f>
        <v>1057.4464438087571</v>
      </c>
      <c r="K116" s="1453">
        <f>K112</f>
        <v>1460.4744953715763</v>
      </c>
      <c r="L116" s="1453">
        <f>L98</f>
        <v>1841.8114602852143</v>
      </c>
    </row>
    <row r="117" spans="1:12">
      <c r="A117" s="1456"/>
      <c r="B117" s="479"/>
      <c r="C117" s="479"/>
      <c r="D117" s="479"/>
      <c r="E117" s="479"/>
      <c r="F117" s="479"/>
      <c r="G117" s="479"/>
      <c r="H117" s="479"/>
      <c r="I117" s="479"/>
      <c r="J117" s="479"/>
      <c r="K117" s="479"/>
      <c r="L117" s="479"/>
    </row>
    <row r="118" spans="1:12">
      <c r="A118" s="1456" t="s">
        <v>220</v>
      </c>
      <c r="B118" s="479">
        <f t="shared" ref="B118:L118" si="46">(B73-B97)*0.7</f>
        <v>961.31514407087616</v>
      </c>
      <c r="C118" s="479">
        <f t="shared" si="46"/>
        <v>998.64032579916773</v>
      </c>
      <c r="D118" s="479">
        <f t="shared" si="46"/>
        <v>1037.4933104802783</v>
      </c>
      <c r="E118" s="479">
        <f t="shared" si="46"/>
        <v>1075.1394811105047</v>
      </c>
      <c r="F118" s="479">
        <f t="shared" si="46"/>
        <v>1107.958463369873</v>
      </c>
      <c r="G118" s="479">
        <f t="shared" si="46"/>
        <v>1133.5594737166837</v>
      </c>
      <c r="H118" s="479">
        <f t="shared" si="46"/>
        <v>1151.1079022883164</v>
      </c>
      <c r="I118" s="479">
        <f t="shared" si="46"/>
        <v>1161.8187067187316</v>
      </c>
      <c r="J118" s="479">
        <f t="shared" si="46"/>
        <v>1167.9235190811714</v>
      </c>
      <c r="K118" s="479">
        <f t="shared" si="46"/>
        <v>1172.5287453565577</v>
      </c>
      <c r="L118" s="479">
        <f t="shared" si="46"/>
        <v>1177.743997648555</v>
      </c>
    </row>
    <row r="119" spans="1:12">
      <c r="A119" s="1456"/>
      <c r="B119" s="479"/>
      <c r="C119" s="479"/>
      <c r="D119" s="479"/>
      <c r="E119" s="479"/>
      <c r="F119" s="479"/>
      <c r="G119" s="479"/>
      <c r="H119" s="479"/>
      <c r="I119" s="479"/>
      <c r="J119" s="479"/>
      <c r="K119" s="479"/>
      <c r="L119" s="479"/>
    </row>
    <row r="120" spans="1:12">
      <c r="A120" s="188" t="s">
        <v>221</v>
      </c>
      <c r="B120" s="142"/>
      <c r="C120" s="142"/>
      <c r="D120" s="142"/>
      <c r="E120" s="142"/>
      <c r="F120" s="142"/>
      <c r="G120" s="142"/>
      <c r="H120" s="142"/>
      <c r="I120" s="142"/>
      <c r="J120" s="142"/>
      <c r="K120" s="142"/>
      <c r="L120" s="142"/>
    </row>
    <row r="121" spans="1:12">
      <c r="A121" s="35" t="s">
        <v>993</v>
      </c>
      <c r="B121" s="479">
        <f>(B92-B116)*B$18/100</f>
        <v>0</v>
      </c>
      <c r="C121" s="479">
        <f t="shared" ref="C121:L121" si="47">(C92-C116)*C$18/100</f>
        <v>0</v>
      </c>
      <c r="D121" s="479">
        <f t="shared" si="47"/>
        <v>108.03923978610541</v>
      </c>
      <c r="E121" s="479">
        <f t="shared" si="47"/>
        <v>386.27329986891988</v>
      </c>
      <c r="F121" s="479">
        <f t="shared" si="47"/>
        <v>753.17644276094256</v>
      </c>
      <c r="G121" s="479">
        <f t="shared" si="47"/>
        <v>1112.7218656639179</v>
      </c>
      <c r="H121" s="479">
        <f t="shared" si="47"/>
        <v>1607.5521479943629</v>
      </c>
      <c r="I121" s="479">
        <f t="shared" si="47"/>
        <v>2192.6196997264869</v>
      </c>
      <c r="J121" s="479">
        <f t="shared" si="47"/>
        <v>2765.1229490712099</v>
      </c>
      <c r="K121" s="479">
        <f t="shared" si="47"/>
        <v>3609.2206916200794</v>
      </c>
      <c r="L121" s="479">
        <f t="shared" si="47"/>
        <v>4297.5600739988331</v>
      </c>
    </row>
    <row r="122" spans="1:12">
      <c r="A122" s="35" t="s">
        <v>223</v>
      </c>
      <c r="B122" s="479">
        <f>(B73-B97-B118)*B$17/100</f>
        <v>0</v>
      </c>
      <c r="C122" s="479">
        <f t="shared" ref="C122:L122" si="48">(C73-C97-C118)*C$17/100</f>
        <v>213.9943555283931</v>
      </c>
      <c r="D122" s="479">
        <f t="shared" si="48"/>
        <v>444.63999020583373</v>
      </c>
      <c r="E122" s="479">
        <f t="shared" si="48"/>
        <v>460.77406333307363</v>
      </c>
      <c r="F122" s="479">
        <f t="shared" si="48"/>
        <v>474.83934144423142</v>
      </c>
      <c r="G122" s="479">
        <f t="shared" si="48"/>
        <v>485.81120302143586</v>
      </c>
      <c r="H122" s="479">
        <f t="shared" si="48"/>
        <v>493.33195812356416</v>
      </c>
      <c r="I122" s="479">
        <f t="shared" si="48"/>
        <v>497.92230287945654</v>
      </c>
      <c r="J122" s="479">
        <f t="shared" si="48"/>
        <v>500.53865103478807</v>
      </c>
      <c r="K122" s="479">
        <f t="shared" si="48"/>
        <v>502.51231943852486</v>
      </c>
      <c r="L122" s="479">
        <f t="shared" si="48"/>
        <v>504.74742756366663</v>
      </c>
    </row>
    <row r="123" spans="1:12">
      <c r="A123" s="35" t="s">
        <v>224</v>
      </c>
      <c r="B123" s="479">
        <f>B118*B$17/100</f>
        <v>0</v>
      </c>
      <c r="C123" s="479">
        <f t="shared" ref="C123:L123" si="49">C118*C$17/100</f>
        <v>499.32016289958386</v>
      </c>
      <c r="D123" s="479">
        <f t="shared" si="49"/>
        <v>1037.4933104802783</v>
      </c>
      <c r="E123" s="479">
        <f t="shared" si="49"/>
        <v>1075.1394811105047</v>
      </c>
      <c r="F123" s="479">
        <f t="shared" si="49"/>
        <v>1107.958463369873</v>
      </c>
      <c r="G123" s="479">
        <f t="shared" si="49"/>
        <v>1133.5594737166837</v>
      </c>
      <c r="H123" s="479">
        <f t="shared" si="49"/>
        <v>1151.1079022883164</v>
      </c>
      <c r="I123" s="479">
        <f t="shared" si="49"/>
        <v>1161.8187067187316</v>
      </c>
      <c r="J123" s="479">
        <f t="shared" si="49"/>
        <v>1167.9235190811714</v>
      </c>
      <c r="K123" s="479">
        <f t="shared" si="49"/>
        <v>1172.5287453565577</v>
      </c>
      <c r="L123" s="479">
        <f t="shared" si="49"/>
        <v>1177.743997648555</v>
      </c>
    </row>
    <row r="125" spans="1:12">
      <c r="A125" s="188" t="s">
        <v>225</v>
      </c>
    </row>
    <row r="126" spans="1:12">
      <c r="A126" s="35" t="s">
        <v>993</v>
      </c>
      <c r="B126" s="479">
        <f>ECO!G$25</f>
        <v>344597.85213533521</v>
      </c>
      <c r="C126" s="479">
        <f>ECO!H25</f>
        <v>414304.81605006225</v>
      </c>
      <c r="D126" s="479">
        <f>ECO!I25</f>
        <v>442350.21550896659</v>
      </c>
      <c r="E126" s="479">
        <f>ECO!J25</f>
        <v>469233.51323826663</v>
      </c>
      <c r="F126" s="479">
        <f>ECO!K25</f>
        <v>495401.1870190092</v>
      </c>
      <c r="G126" s="479">
        <f>ECO!L25</f>
        <v>521787.12866346852</v>
      </c>
      <c r="H126" s="479">
        <f>ECO!M25</f>
        <v>548271.32893728022</v>
      </c>
      <c r="I126" s="479">
        <f>ECO!N25</f>
        <v>576098.01196940849</v>
      </c>
      <c r="J126" s="479">
        <f>ECO!O25</f>
        <v>605335.14753131359</v>
      </c>
      <c r="K126" s="479">
        <f>ECO!P25</f>
        <v>636054.14301760378</v>
      </c>
      <c r="L126" s="479">
        <f>ECO!Q25</f>
        <v>668330.01713827392</v>
      </c>
    </row>
    <row r="127" spans="1:12">
      <c r="A127" s="35" t="s">
        <v>223</v>
      </c>
      <c r="B127" s="479">
        <f>ECO!G$25</f>
        <v>344597.85213533521</v>
      </c>
      <c r="C127" s="479">
        <f>ECO!H25</f>
        <v>414304.81605006225</v>
      </c>
      <c r="D127" s="479">
        <f>ECO!I25</f>
        <v>442350.21550896659</v>
      </c>
      <c r="E127" s="479">
        <f>ECO!J25</f>
        <v>469233.51323826663</v>
      </c>
      <c r="F127" s="479">
        <f>ECO!K25</f>
        <v>495401.1870190092</v>
      </c>
      <c r="G127" s="479">
        <f>ECO!L25</f>
        <v>521787.12866346852</v>
      </c>
      <c r="H127" s="479">
        <f>ECO!M25</f>
        <v>548271.32893728022</v>
      </c>
      <c r="I127" s="479">
        <f>ECO!N25</f>
        <v>576098.01196940849</v>
      </c>
      <c r="J127" s="479">
        <f>ECO!O25</f>
        <v>605335.14753131359</v>
      </c>
      <c r="K127" s="479">
        <f>ECO!P25</f>
        <v>636054.14301760378</v>
      </c>
      <c r="L127" s="479">
        <f>ECO!Q25</f>
        <v>668330.01713827392</v>
      </c>
    </row>
    <row r="128" spans="1:12">
      <c r="A128" s="35" t="s">
        <v>224</v>
      </c>
      <c r="B128" s="479">
        <f>ECO!G$25-270000</f>
        <v>74597.852135335212</v>
      </c>
      <c r="C128" s="479">
        <f>B128*C127/B127</f>
        <v>89687.875925941262</v>
      </c>
      <c r="D128" s="479">
        <f t="shared" ref="D128:L128" si="50">C128*D127/C127</f>
        <v>95759.087771713617</v>
      </c>
      <c r="E128" s="479">
        <f t="shared" si="50"/>
        <v>101578.73016499502</v>
      </c>
      <c r="F128" s="479">
        <f t="shared" si="50"/>
        <v>107243.45572066936</v>
      </c>
      <c r="G128" s="479">
        <f t="shared" si="50"/>
        <v>112955.43146586909</v>
      </c>
      <c r="H128" s="479">
        <f t="shared" si="50"/>
        <v>118688.67804214924</v>
      </c>
      <c r="I128" s="479">
        <f t="shared" si="50"/>
        <v>124712.54259436447</v>
      </c>
      <c r="J128" s="479">
        <f t="shared" si="50"/>
        <v>131041.73908236573</v>
      </c>
      <c r="K128" s="479">
        <f t="shared" si="50"/>
        <v>137691.72563577097</v>
      </c>
      <c r="L128" s="479">
        <f t="shared" si="50"/>
        <v>144678.74215451253</v>
      </c>
    </row>
    <row r="131" spans="1:13">
      <c r="A131" s="189" t="s">
        <v>226</v>
      </c>
      <c r="B131" s="19"/>
      <c r="C131" s="19"/>
      <c r="D131" s="19"/>
      <c r="E131" s="19"/>
      <c r="F131" s="19"/>
      <c r="G131" s="19"/>
      <c r="H131" s="19"/>
      <c r="I131" s="19"/>
      <c r="J131" s="19"/>
      <c r="K131" s="19"/>
      <c r="L131" s="19"/>
      <c r="M131" s="19"/>
    </row>
    <row r="132" spans="1:13">
      <c r="A132" s="32" t="s">
        <v>234</v>
      </c>
      <c r="B132" s="155">
        <f>B121*B126*12/1000</f>
        <v>0</v>
      </c>
      <c r="C132" s="804">
        <f t="shared" ref="C132:L132" si="51">C121*C126*12/1000</f>
        <v>0</v>
      </c>
      <c r="D132" s="804">
        <f t="shared" si="51"/>
        <v>573494.17203370377</v>
      </c>
      <c r="E132" s="804">
        <f t="shared" si="51"/>
        <v>2175028.5308115813</v>
      </c>
      <c r="F132" s="804">
        <f t="shared" si="51"/>
        <v>4477494.0453423094</v>
      </c>
      <c r="G132" s="804">
        <f t="shared" si="51"/>
        <v>6967247.3674300024</v>
      </c>
      <c r="H132" s="804">
        <f t="shared" si="51"/>
        <v>10576497.030202186</v>
      </c>
      <c r="I132" s="804">
        <f t="shared" si="51"/>
        <v>15157966.200208686</v>
      </c>
      <c r="J132" s="804">
        <f t="shared" si="51"/>
        <v>20085913.299818899</v>
      </c>
      <c r="K132" s="804">
        <f t="shared" si="51"/>
        <v>27547917.287637755</v>
      </c>
      <c r="L132" s="804">
        <f t="shared" si="51"/>
        <v>34466260.774900824</v>
      </c>
      <c r="M132" s="75"/>
    </row>
    <row r="133" spans="1:13">
      <c r="A133" s="32" t="s">
        <v>223</v>
      </c>
      <c r="B133" s="155">
        <f>B122*B127*12/1000</f>
        <v>0</v>
      </c>
      <c r="C133" s="804">
        <f t="shared" ref="C133:L133" si="52">C122*C127*12/1000</f>
        <v>1063906.7052353104</v>
      </c>
      <c r="D133" s="804">
        <f t="shared" si="52"/>
        <v>2360239.1458974644</v>
      </c>
      <c r="E133" s="804">
        <f t="shared" si="52"/>
        <v>2594527.5905621964</v>
      </c>
      <c r="F133" s="804">
        <f t="shared" si="52"/>
        <v>2822831.680737562</v>
      </c>
      <c r="G133" s="804">
        <f t="shared" si="52"/>
        <v>3041880.3923652042</v>
      </c>
      <c r="H133" s="804">
        <f t="shared" si="52"/>
        <v>3245757.2194516459</v>
      </c>
      <c r="I133" s="804">
        <f t="shared" si="52"/>
        <v>3442224.5856490154</v>
      </c>
      <c r="J133" s="804">
        <f t="shared" si="52"/>
        <v>3635923.6580312178</v>
      </c>
      <c r="K133" s="804">
        <f t="shared" si="52"/>
        <v>3835500.5123551111</v>
      </c>
      <c r="L133" s="804">
        <f t="shared" si="52"/>
        <v>4048054.2829695004</v>
      </c>
      <c r="M133" s="75"/>
    </row>
    <row r="134" spans="1:13">
      <c r="A134" s="32" t="s">
        <v>224</v>
      </c>
      <c r="B134" s="155">
        <f>B123*B128*12/1000</f>
        <v>0</v>
      </c>
      <c r="C134" s="804">
        <f t="shared" ref="C134:L134" si="53">C123*C128*12/1000</f>
        <v>537395.57780950388</v>
      </c>
      <c r="D134" s="804">
        <f t="shared" si="53"/>
        <v>1192192.9557701605</v>
      </c>
      <c r="E134" s="804">
        <f t="shared" si="53"/>
        <v>1310535.6388974804</v>
      </c>
      <c r="F134" s="804">
        <f t="shared" si="53"/>
        <v>1425855.532880974</v>
      </c>
      <c r="G134" s="804">
        <f t="shared" si="53"/>
        <v>1536500.3933506978</v>
      </c>
      <c r="H134" s="804">
        <f t="shared" si="53"/>
        <v>1639481.7024776612</v>
      </c>
      <c r="I134" s="804">
        <f t="shared" si="53"/>
        <v>1738720.3793830711</v>
      </c>
      <c r="J134" s="804">
        <f t="shared" si="53"/>
        <v>1836560.7486671191</v>
      </c>
      <c r="K134" s="804">
        <f t="shared" si="53"/>
        <v>1937370.0756682786</v>
      </c>
      <c r="L134" s="804">
        <f t="shared" si="53"/>
        <v>2044734.2419178414</v>
      </c>
      <c r="M134" s="75"/>
    </row>
    <row r="135" spans="1:13">
      <c r="A135" s="40" t="s">
        <v>227</v>
      </c>
      <c r="B135" s="157">
        <f>B132+B133+B134</f>
        <v>0</v>
      </c>
      <c r="C135" s="805">
        <f t="shared" ref="C135:L135" si="54">C132+C133+C134</f>
        <v>1601302.2830448141</v>
      </c>
      <c r="D135" s="805">
        <f t="shared" si="54"/>
        <v>4125926.2737013288</v>
      </c>
      <c r="E135" s="805">
        <f t="shared" si="54"/>
        <v>6080091.7602712587</v>
      </c>
      <c r="F135" s="805">
        <f t="shared" si="54"/>
        <v>8726181.2589608468</v>
      </c>
      <c r="G135" s="805">
        <f t="shared" si="54"/>
        <v>11545628.153145906</v>
      </c>
      <c r="H135" s="805">
        <f t="shared" si="54"/>
        <v>15461735.952131493</v>
      </c>
      <c r="I135" s="805">
        <f t="shared" si="54"/>
        <v>20338911.165240772</v>
      </c>
      <c r="J135" s="805">
        <f t="shared" si="54"/>
        <v>25558397.706517234</v>
      </c>
      <c r="K135" s="805">
        <f t="shared" si="54"/>
        <v>33320787.875661146</v>
      </c>
      <c r="L135" s="805">
        <f t="shared" si="54"/>
        <v>40559049.299788162</v>
      </c>
      <c r="M135" s="75"/>
    </row>
    <row r="137" spans="1:13">
      <c r="A137" s="28" t="s">
        <v>478</v>
      </c>
      <c r="B137" s="1311">
        <v>0.15</v>
      </c>
      <c r="C137" s="1311">
        <v>0.15</v>
      </c>
      <c r="D137" s="1311">
        <v>0.15</v>
      </c>
      <c r="E137" s="1311">
        <v>0.15</v>
      </c>
      <c r="F137" s="1311">
        <v>0.15</v>
      </c>
      <c r="G137" s="1311">
        <v>0.15</v>
      </c>
      <c r="H137" s="1311">
        <v>0.15</v>
      </c>
      <c r="I137" s="1311">
        <v>0.15</v>
      </c>
      <c r="J137" s="1311">
        <v>0.15</v>
      </c>
      <c r="K137" s="1311">
        <v>0.15</v>
      </c>
      <c r="L137" s="1311">
        <v>0.15</v>
      </c>
      <c r="M137" s="19"/>
    </row>
    <row r="139" spans="1:13">
      <c r="A139" s="46" t="s">
        <v>477</v>
      </c>
    </row>
    <row r="140" spans="1:13">
      <c r="A140" s="189" t="s">
        <v>226</v>
      </c>
      <c r="B140" s="19"/>
      <c r="C140" s="19"/>
      <c r="D140" s="19"/>
      <c r="E140" s="19"/>
      <c r="F140" s="19"/>
      <c r="G140" s="19"/>
      <c r="H140" s="19"/>
      <c r="I140" s="19"/>
      <c r="J140" s="19"/>
      <c r="K140" s="19"/>
      <c r="L140" s="19"/>
      <c r="M140" s="19"/>
    </row>
    <row r="141" spans="1:13">
      <c r="A141" s="35" t="s">
        <v>1123</v>
      </c>
      <c r="B141" s="155">
        <f>B132*(1+B$137)</f>
        <v>0</v>
      </c>
      <c r="C141" s="804">
        <f t="shared" ref="C141:L141" si="55">C132*(1+C$137)</f>
        <v>0</v>
      </c>
      <c r="D141" s="804">
        <f t="shared" si="55"/>
        <v>659518.29783875926</v>
      </c>
      <c r="E141" s="804">
        <f t="shared" si="55"/>
        <v>2501282.8104333184</v>
      </c>
      <c r="F141" s="804">
        <f t="shared" si="55"/>
        <v>5149118.1521436553</v>
      </c>
      <c r="G141" s="804">
        <f t="shared" si="55"/>
        <v>8012334.4725445025</v>
      </c>
      <c r="H141" s="804">
        <f t="shared" si="55"/>
        <v>12162971.584732512</v>
      </c>
      <c r="I141" s="804">
        <f t="shared" si="55"/>
        <v>17431661.13023999</v>
      </c>
      <c r="J141" s="804">
        <f t="shared" si="55"/>
        <v>23098800.294791732</v>
      </c>
      <c r="K141" s="804">
        <f t="shared" si="55"/>
        <v>31680104.880783416</v>
      </c>
      <c r="L141" s="804">
        <f t="shared" si="55"/>
        <v>39636199.891135946</v>
      </c>
      <c r="M141" s="75"/>
    </row>
    <row r="142" spans="1:13">
      <c r="A142" s="35" t="s">
        <v>1124</v>
      </c>
      <c r="B142" s="155">
        <f t="shared" ref="B142:L143" si="56">B133*(1+B$137)</f>
        <v>0</v>
      </c>
      <c r="C142" s="804">
        <f t="shared" si="56"/>
        <v>1223492.7110206068</v>
      </c>
      <c r="D142" s="804">
        <f t="shared" si="56"/>
        <v>2714275.0177820837</v>
      </c>
      <c r="E142" s="804">
        <f t="shared" si="56"/>
        <v>2983706.7291465257</v>
      </c>
      <c r="F142" s="804">
        <f t="shared" si="56"/>
        <v>3246256.432848196</v>
      </c>
      <c r="G142" s="804">
        <f t="shared" si="56"/>
        <v>3498162.4512199843</v>
      </c>
      <c r="H142" s="804">
        <f t="shared" si="56"/>
        <v>3732620.8023693925</v>
      </c>
      <c r="I142" s="804">
        <f t="shared" si="56"/>
        <v>3958558.2734963675</v>
      </c>
      <c r="J142" s="804">
        <f t="shared" si="56"/>
        <v>4181312.2067359001</v>
      </c>
      <c r="K142" s="804">
        <f t="shared" si="56"/>
        <v>4410825.5892083775</v>
      </c>
      <c r="L142" s="804">
        <f t="shared" si="56"/>
        <v>4655262.4254149254</v>
      </c>
      <c r="M142" s="75"/>
    </row>
    <row r="143" spans="1:13">
      <c r="A143" s="35" t="s">
        <v>224</v>
      </c>
      <c r="B143" s="155">
        <f t="shared" si="56"/>
        <v>0</v>
      </c>
      <c r="C143" s="804">
        <f t="shared" si="56"/>
        <v>618004.91448092938</v>
      </c>
      <c r="D143" s="804">
        <f t="shared" si="56"/>
        <v>1371021.8991356846</v>
      </c>
      <c r="E143" s="804">
        <f t="shared" si="56"/>
        <v>1507115.9847321024</v>
      </c>
      <c r="F143" s="804">
        <f t="shared" si="56"/>
        <v>1639733.86281312</v>
      </c>
      <c r="G143" s="804">
        <f t="shared" si="56"/>
        <v>1766975.4523533024</v>
      </c>
      <c r="H143" s="804">
        <f t="shared" si="56"/>
        <v>1885403.9578493102</v>
      </c>
      <c r="I143" s="804">
        <f t="shared" si="56"/>
        <v>1999528.4362905317</v>
      </c>
      <c r="J143" s="804">
        <f t="shared" si="56"/>
        <v>2112044.8609671867</v>
      </c>
      <c r="K143" s="804">
        <f t="shared" si="56"/>
        <v>2227975.5870185201</v>
      </c>
      <c r="L143" s="804">
        <f t="shared" si="56"/>
        <v>2351444.3782055173</v>
      </c>
      <c r="M143" s="75"/>
    </row>
    <row r="144" spans="1:13">
      <c r="A144" s="40" t="s">
        <v>227</v>
      </c>
      <c r="B144" s="157">
        <f>B141+B142+B143</f>
        <v>0</v>
      </c>
      <c r="C144" s="805">
        <f t="shared" ref="C144:L144" si="57">C141+C142+C143</f>
        <v>1841497.6255015363</v>
      </c>
      <c r="D144" s="805">
        <f t="shared" si="57"/>
        <v>4744815.2147565279</v>
      </c>
      <c r="E144" s="805">
        <f t="shared" si="57"/>
        <v>6992105.5243119467</v>
      </c>
      <c r="F144" s="805">
        <f t="shared" si="57"/>
        <v>10035108.447804973</v>
      </c>
      <c r="G144" s="805">
        <f t="shared" si="57"/>
        <v>13277472.376117788</v>
      </c>
      <c r="H144" s="805">
        <f t="shared" si="57"/>
        <v>17780996.344951212</v>
      </c>
      <c r="I144" s="805">
        <f t="shared" si="57"/>
        <v>23389747.840026889</v>
      </c>
      <c r="J144" s="805">
        <f t="shared" si="57"/>
        <v>29392157.362494819</v>
      </c>
      <c r="K144" s="805">
        <f t="shared" si="57"/>
        <v>38318906.057010315</v>
      </c>
      <c r="L144" s="805">
        <f t="shared" si="57"/>
        <v>46642906.694756389</v>
      </c>
      <c r="M144" s="75"/>
    </row>
    <row r="145" spans="1:13">
      <c r="A145" s="40"/>
      <c r="B145" s="157"/>
      <c r="C145" s="157"/>
      <c r="D145" s="157"/>
      <c r="E145" s="157"/>
      <c r="F145" s="157"/>
      <c r="G145" s="157"/>
      <c r="H145" s="157"/>
      <c r="I145" s="157"/>
      <c r="J145" s="157"/>
      <c r="K145" s="157"/>
      <c r="L145" s="157"/>
      <c r="M145" s="75"/>
    </row>
    <row r="146" spans="1:13">
      <c r="A146" s="169" t="s">
        <v>228</v>
      </c>
      <c r="B146" s="75"/>
      <c r="C146" s="75"/>
      <c r="D146" s="75"/>
      <c r="E146" s="75"/>
      <c r="F146" s="75"/>
      <c r="G146" s="75"/>
      <c r="H146" s="75"/>
      <c r="I146" s="75"/>
      <c r="J146" s="75"/>
      <c r="K146" s="75"/>
      <c r="L146" s="75"/>
      <c r="M146" s="75"/>
    </row>
    <row r="147" spans="1:13">
      <c r="B147" s="157">
        <v>2010</v>
      </c>
      <c r="C147" s="157">
        <v>2011</v>
      </c>
      <c r="D147" s="157">
        <v>2012</v>
      </c>
      <c r="E147" s="157">
        <v>2013</v>
      </c>
      <c r="F147" s="157">
        <v>2014</v>
      </c>
      <c r="G147" s="157">
        <v>2015</v>
      </c>
      <c r="H147" s="157">
        <v>2016</v>
      </c>
      <c r="I147" s="157">
        <v>2017</v>
      </c>
      <c r="J147" s="157">
        <v>2018</v>
      </c>
      <c r="K147" s="157">
        <v>2019</v>
      </c>
      <c r="L147" s="157">
        <v>2020</v>
      </c>
      <c r="M147" s="75"/>
    </row>
    <row r="148" spans="1:13">
      <c r="A148" s="35" t="s">
        <v>1123</v>
      </c>
      <c r="B148" s="137">
        <f>B141/B$13*100</f>
        <v>0</v>
      </c>
      <c r="C148" s="137">
        <f t="shared" ref="C148:L148" si="58">C141/C$13*100</f>
        <v>0</v>
      </c>
      <c r="D148" s="137">
        <f t="shared" si="58"/>
        <v>2.394483995044339E-2</v>
      </c>
      <c r="E148" s="137">
        <f t="shared" si="58"/>
        <v>7.9082316942159156E-2</v>
      </c>
      <c r="F148" s="137">
        <f t="shared" si="58"/>
        <v>0.14215293653747843</v>
      </c>
      <c r="G148" s="137">
        <f t="shared" si="58"/>
        <v>0.19403576494253461</v>
      </c>
      <c r="H148" s="137">
        <f t="shared" si="58"/>
        <v>0.25944329219846585</v>
      </c>
      <c r="I148" s="137">
        <f t="shared" si="58"/>
        <v>0.32808640629781327</v>
      </c>
      <c r="J148" s="137">
        <f t="shared" si="58"/>
        <v>0.38360843227181496</v>
      </c>
      <c r="K148" s="137">
        <f t="shared" si="58"/>
        <v>0.4640828317539093</v>
      </c>
      <c r="L148" s="137">
        <f t="shared" si="58"/>
        <v>0.5119945187506616</v>
      </c>
      <c r="M148" s="75"/>
    </row>
    <row r="149" spans="1:13">
      <c r="A149" s="35" t="s">
        <v>1124</v>
      </c>
      <c r="B149" s="137">
        <f t="shared" ref="B149:L150" si="59">B142/B$13*100</f>
        <v>0</v>
      </c>
      <c r="C149" s="137">
        <f t="shared" si="59"/>
        <v>5.0814549057634766E-2</v>
      </c>
      <c r="D149" s="137">
        <f t="shared" si="59"/>
        <v>9.8545985904046132E-2</v>
      </c>
      <c r="E149" s="137">
        <f t="shared" si="59"/>
        <v>9.4334970932751699E-2</v>
      </c>
      <c r="F149" s="137">
        <f t="shared" si="59"/>
        <v>8.9620177872775347E-2</v>
      </c>
      <c r="G149" s="137">
        <f t="shared" si="59"/>
        <v>8.471546331991342E-2</v>
      </c>
      <c r="H149" s="137">
        <f t="shared" si="59"/>
        <v>7.9618983136553259E-2</v>
      </c>
      <c r="I149" s="137">
        <f t="shared" si="59"/>
        <v>7.4505186187842048E-2</v>
      </c>
      <c r="J149" s="137">
        <f t="shared" si="59"/>
        <v>6.9440256636472381E-2</v>
      </c>
      <c r="K149" s="137">
        <f t="shared" si="59"/>
        <v>6.4614319855174962E-2</v>
      </c>
      <c r="L149" s="137">
        <f t="shared" si="59"/>
        <v>6.0133636718574031E-2</v>
      </c>
      <c r="M149" s="75"/>
    </row>
    <row r="150" spans="1:13">
      <c r="A150" s="35" t="s">
        <v>224</v>
      </c>
      <c r="B150" s="137">
        <f t="shared" si="59"/>
        <v>0</v>
      </c>
      <c r="C150" s="137">
        <f t="shared" si="59"/>
        <v>2.5667207300772914E-2</v>
      </c>
      <c r="D150" s="137">
        <f t="shared" si="59"/>
        <v>4.9777087384743041E-2</v>
      </c>
      <c r="E150" s="137">
        <f t="shared" si="59"/>
        <v>4.7650039202296671E-2</v>
      </c>
      <c r="F150" s="137">
        <f t="shared" si="59"/>
        <v>4.5268524988456064E-2</v>
      </c>
      <c r="G150" s="137">
        <f t="shared" si="59"/>
        <v>4.2791078518614585E-2</v>
      </c>
      <c r="H150" s="137">
        <f t="shared" si="59"/>
        <v>4.0216768290608489E-2</v>
      </c>
      <c r="I150" s="137">
        <f t="shared" si="59"/>
        <v>3.7633711099099076E-2</v>
      </c>
      <c r="J150" s="137">
        <f t="shared" si="59"/>
        <v>3.5075337578724712E-2</v>
      </c>
      <c r="K150" s="137">
        <f t="shared" si="59"/>
        <v>3.2637682968319898E-2</v>
      </c>
      <c r="L150" s="137">
        <f t="shared" si="59"/>
        <v>3.03744212637681E-2</v>
      </c>
      <c r="M150" s="75"/>
    </row>
    <row r="151" spans="1:13" s="178" customFormat="1" ht="30.75" customHeight="1">
      <c r="A151" s="44" t="s">
        <v>481</v>
      </c>
      <c r="B151" s="1313">
        <f t="shared" ref="B151:L151" si="60">B148+B149+B150</f>
        <v>0</v>
      </c>
      <c r="C151" s="1313">
        <f t="shared" si="60"/>
        <v>7.6481756358407676E-2</v>
      </c>
      <c r="D151" s="1313">
        <f t="shared" si="60"/>
        <v>0.17226791323923257</v>
      </c>
      <c r="E151" s="1313">
        <f t="shared" si="60"/>
        <v>0.2210673270772075</v>
      </c>
      <c r="F151" s="1313">
        <f t="shared" si="60"/>
        <v>0.27704163939870985</v>
      </c>
      <c r="G151" s="1313">
        <f t="shared" si="60"/>
        <v>0.3215423067810626</v>
      </c>
      <c r="H151" s="1313">
        <f t="shared" si="60"/>
        <v>0.37927904362562759</v>
      </c>
      <c r="I151" s="1313">
        <f t="shared" si="60"/>
        <v>0.44022530358475442</v>
      </c>
      <c r="J151" s="1313">
        <f t="shared" si="60"/>
        <v>0.48812402648701203</v>
      </c>
      <c r="K151" s="1313">
        <f t="shared" si="60"/>
        <v>0.56133483457740418</v>
      </c>
      <c r="L151" s="1313">
        <f t="shared" si="60"/>
        <v>0.60250257673300378</v>
      </c>
      <c r="M151" s="160"/>
    </row>
    <row r="152" spans="1:13">
      <c r="A152" s="169" t="s">
        <v>476</v>
      </c>
      <c r="B152" s="75"/>
      <c r="C152" s="75"/>
      <c r="D152" s="75"/>
      <c r="E152" s="75"/>
      <c r="F152" s="75"/>
      <c r="G152" s="75"/>
      <c r="H152" s="75"/>
      <c r="I152" s="75"/>
      <c r="J152" s="75"/>
      <c r="K152" s="75"/>
      <c r="L152" s="75"/>
      <c r="M152" s="75"/>
    </row>
    <row r="153" spans="1:13">
      <c r="B153" s="157">
        <v>2010</v>
      </c>
      <c r="C153" s="157">
        <v>2011</v>
      </c>
      <c r="D153" s="157">
        <v>2012</v>
      </c>
      <c r="E153" s="157">
        <v>2013</v>
      </c>
      <c r="F153" s="157">
        <v>2014</v>
      </c>
      <c r="G153" s="157">
        <v>2015</v>
      </c>
      <c r="H153" s="157">
        <v>2016</v>
      </c>
      <c r="I153" s="157">
        <v>2017</v>
      </c>
      <c r="J153" s="157">
        <v>2018</v>
      </c>
      <c r="K153" s="157">
        <v>2019</v>
      </c>
      <c r="L153" s="157">
        <v>2020</v>
      </c>
      <c r="M153" s="75"/>
    </row>
    <row r="154" spans="1:13">
      <c r="A154" s="35" t="s">
        <v>1123</v>
      </c>
      <c r="B154" s="145">
        <f>B141/B$14*100</f>
        <v>0</v>
      </c>
      <c r="C154" s="145">
        <f t="shared" ref="C154:L154" si="61">C141/C$14*100</f>
        <v>0</v>
      </c>
      <c r="D154" s="145">
        <f t="shared" si="61"/>
        <v>7.5169651093239143E-2</v>
      </c>
      <c r="E154" s="145">
        <f t="shared" si="61"/>
        <v>0.24953214553313607</v>
      </c>
      <c r="F154" s="145">
        <f t="shared" si="61"/>
        <v>0.4498318117633</v>
      </c>
      <c r="G154" s="145">
        <f t="shared" si="61"/>
        <v>0.61593014417172187</v>
      </c>
      <c r="H154" s="145">
        <f t="shared" si="61"/>
        <v>0.82747188914956593</v>
      </c>
      <c r="I154" s="145">
        <f t="shared" si="61"/>
        <v>1.049017422451481</v>
      </c>
      <c r="J154" s="145">
        <f t="shared" si="61"/>
        <v>1.2325741765817151</v>
      </c>
      <c r="K154" s="145">
        <f t="shared" si="61"/>
        <v>1.4981577580671233</v>
      </c>
      <c r="L154" s="145">
        <f t="shared" si="61"/>
        <v>1.660501063734084</v>
      </c>
      <c r="M154" s="75"/>
    </row>
    <row r="155" spans="1:13">
      <c r="A155" s="35" t="s">
        <v>1124</v>
      </c>
      <c r="B155" s="145">
        <f t="shared" ref="B155:L156" si="62">B142/B$14*100</f>
        <v>0</v>
      </c>
      <c r="C155" s="145">
        <f t="shared" si="62"/>
        <v>0.16018441583937204</v>
      </c>
      <c r="D155" s="145">
        <f t="shared" si="62"/>
        <v>0.30936382921654249</v>
      </c>
      <c r="E155" s="145">
        <f t="shared" si="62"/>
        <v>0.297659560390377</v>
      </c>
      <c r="F155" s="145">
        <f t="shared" si="62"/>
        <v>0.28359601964628434</v>
      </c>
      <c r="G155" s="145">
        <f t="shared" si="62"/>
        <v>0.26891334982322301</v>
      </c>
      <c r="H155" s="145">
        <f t="shared" si="62"/>
        <v>0.25393784448962808</v>
      </c>
      <c r="I155" s="145">
        <f t="shared" si="62"/>
        <v>0.23822150773016854</v>
      </c>
      <c r="J155" s="145">
        <f t="shared" si="62"/>
        <v>0.22311883667008622</v>
      </c>
      <c r="K155" s="145">
        <f t="shared" si="62"/>
        <v>0.20858872155950101</v>
      </c>
      <c r="L155" s="145">
        <f t="shared" si="62"/>
        <v>0.19502546234487811</v>
      </c>
      <c r="M155" s="75"/>
    </row>
    <row r="156" spans="1:13">
      <c r="A156" s="35" t="s">
        <v>224</v>
      </c>
      <c r="B156" s="145">
        <f t="shared" si="62"/>
        <v>0</v>
      </c>
      <c r="C156" s="145">
        <f t="shared" si="62"/>
        <v>8.091160275847481E-2</v>
      </c>
      <c r="D156" s="145">
        <f t="shared" si="62"/>
        <v>0.15626441015654083</v>
      </c>
      <c r="E156" s="145">
        <f t="shared" si="62"/>
        <v>0.15035240464165514</v>
      </c>
      <c r="F156" s="145">
        <f t="shared" si="62"/>
        <v>0.14324869473266688</v>
      </c>
      <c r="G156" s="145">
        <f t="shared" si="62"/>
        <v>0.13583225323970249</v>
      </c>
      <c r="H156" s="145">
        <f t="shared" si="62"/>
        <v>0.12826789604359232</v>
      </c>
      <c r="I156" s="145">
        <f t="shared" si="62"/>
        <v>0.12032933354338654</v>
      </c>
      <c r="J156" s="145">
        <f t="shared" si="62"/>
        <v>0.11270074299041621</v>
      </c>
      <c r="K156" s="145">
        <f t="shared" si="62"/>
        <v>0.10536135922014052</v>
      </c>
      <c r="L156" s="145">
        <f t="shared" si="62"/>
        <v>9.8510349176914772E-2</v>
      </c>
      <c r="M156" s="75"/>
    </row>
    <row r="157" spans="1:13" s="178" customFormat="1" ht="29.25" customHeight="1">
      <c r="A157" s="44" t="s">
        <v>482</v>
      </c>
      <c r="B157" s="180">
        <f t="shared" ref="B157:L157" si="63">B154+B155+B156</f>
        <v>0</v>
      </c>
      <c r="C157" s="180">
        <f t="shared" si="63"/>
        <v>0.24109601859784685</v>
      </c>
      <c r="D157" s="180">
        <f t="shared" si="63"/>
        <v>0.54079789046632243</v>
      </c>
      <c r="E157" s="180">
        <f t="shared" si="63"/>
        <v>0.69754411056516819</v>
      </c>
      <c r="F157" s="180">
        <f t="shared" si="63"/>
        <v>0.87667652614225122</v>
      </c>
      <c r="G157" s="180">
        <f t="shared" si="63"/>
        <v>1.0206757472346473</v>
      </c>
      <c r="H157" s="180">
        <f t="shared" si="63"/>
        <v>1.2096776296827865</v>
      </c>
      <c r="I157" s="180">
        <f t="shared" si="63"/>
        <v>1.4075682637250362</v>
      </c>
      <c r="J157" s="180">
        <f t="shared" si="63"/>
        <v>1.5683937562422177</v>
      </c>
      <c r="K157" s="180">
        <f t="shared" si="63"/>
        <v>1.8121078388467649</v>
      </c>
      <c r="L157" s="180">
        <f t="shared" si="63"/>
        <v>1.954036875255877</v>
      </c>
      <c r="M157" s="160"/>
    </row>
    <row r="158" spans="1:13">
      <c r="A158" s="32"/>
      <c r="B158" s="75"/>
      <c r="C158" s="75"/>
      <c r="D158" s="75"/>
      <c r="E158" s="75"/>
      <c r="F158" s="75"/>
      <c r="G158" s="75"/>
      <c r="H158" s="75"/>
      <c r="I158" s="75"/>
      <c r="J158" s="75"/>
      <c r="K158" s="75"/>
      <c r="L158" s="75"/>
      <c r="M158" s="75"/>
    </row>
    <row r="159" spans="1:13">
      <c r="A159" s="191"/>
      <c r="B159" s="139"/>
      <c r="C159" s="139"/>
      <c r="D159" s="139"/>
      <c r="E159" s="139"/>
      <c r="F159" s="139"/>
      <c r="G159" s="139"/>
      <c r="H159" s="139"/>
      <c r="I159" s="139"/>
      <c r="J159" s="139"/>
      <c r="K159" s="139"/>
      <c r="L159" s="139"/>
      <c r="M159" s="139"/>
    </row>
    <row r="161" spans="1:13" s="75" customFormat="1" ht="18.75">
      <c r="A161" s="1253" t="s">
        <v>974</v>
      </c>
      <c r="B161" s="1254">
        <v>80</v>
      </c>
      <c r="C161" s="1254">
        <v>80</v>
      </c>
      <c r="D161" s="1254">
        <v>78</v>
      </c>
      <c r="E161" s="1254">
        <v>76</v>
      </c>
      <c r="F161" s="1254">
        <v>76</v>
      </c>
      <c r="G161" s="1254">
        <v>74</v>
      </c>
      <c r="H161" s="1254">
        <v>72</v>
      </c>
      <c r="I161" s="1254">
        <v>70</v>
      </c>
      <c r="J161" s="1254">
        <v>68</v>
      </c>
      <c r="K161" s="1254">
        <v>66</v>
      </c>
      <c r="L161" s="1254">
        <v>65</v>
      </c>
      <c r="M161" s="154"/>
    </row>
    <row r="162" spans="1:13">
      <c r="A162" s="32"/>
      <c r="B162" s="75"/>
      <c r="C162" s="75"/>
      <c r="D162" s="75"/>
      <c r="E162" s="75"/>
      <c r="F162" s="75"/>
      <c r="G162" s="75"/>
      <c r="H162" s="75"/>
      <c r="I162" s="75"/>
      <c r="J162" s="75"/>
      <c r="K162" s="75"/>
      <c r="L162" s="75"/>
    </row>
    <row r="163" spans="1:13" ht="33.75" customHeight="1">
      <c r="A163" s="1532" t="s">
        <v>554</v>
      </c>
      <c r="B163" s="1533"/>
      <c r="C163" s="1533"/>
      <c r="D163" s="1533"/>
      <c r="E163" s="1533"/>
      <c r="F163" s="1533"/>
      <c r="G163" s="1533"/>
      <c r="H163" s="1533"/>
      <c r="I163" s="1533"/>
      <c r="J163" s="1533"/>
      <c r="K163" s="1533"/>
      <c r="L163" s="1533"/>
    </row>
    <row r="164" spans="1:13" ht="15.75">
      <c r="B164" s="80">
        <v>2010</v>
      </c>
      <c r="C164" s="80">
        <v>2011</v>
      </c>
      <c r="D164" s="80">
        <v>2012</v>
      </c>
      <c r="E164" s="80">
        <v>2013</v>
      </c>
      <c r="F164" s="80">
        <v>2014</v>
      </c>
      <c r="G164" s="80">
        <v>2015</v>
      </c>
      <c r="H164" s="80">
        <v>2016</v>
      </c>
      <c r="I164" s="80">
        <v>2017</v>
      </c>
      <c r="J164" s="80">
        <v>2018</v>
      </c>
      <c r="K164" s="80">
        <v>2019</v>
      </c>
      <c r="L164" s="80">
        <v>2020</v>
      </c>
    </row>
    <row r="165" spans="1:13">
      <c r="A165" s="188" t="s">
        <v>82</v>
      </c>
      <c r="B165" s="142"/>
      <c r="C165" s="142"/>
      <c r="D165" s="142"/>
      <c r="E165" s="142"/>
      <c r="F165" s="142"/>
      <c r="G165" s="142"/>
      <c r="H165" s="142"/>
      <c r="I165" s="142"/>
      <c r="J165" s="142"/>
      <c r="K165" s="142"/>
      <c r="L165" s="142"/>
    </row>
    <row r="166" spans="1:13">
      <c r="A166" s="35" t="s">
        <v>230</v>
      </c>
      <c r="B166" s="176">
        <f>SUM(POP!G$346:G$381)</f>
        <v>6266.0305708736087</v>
      </c>
      <c r="C166" s="176">
        <f>SUM(POP!H$346:H$381)</f>
        <v>6378.2420222139399</v>
      </c>
      <c r="D166" s="176">
        <f>SUM(POP!I$346:I$381)</f>
        <v>6494.388621808268</v>
      </c>
      <c r="E166" s="176">
        <f>SUM(POP!J$346:J$381)</f>
        <v>6624.4452765007127</v>
      </c>
      <c r="F166" s="176">
        <f>SUM(POP!K$346:K$381)</f>
        <v>6780.7732062872346</v>
      </c>
      <c r="G166" s="176">
        <f>SUM(POP!L$346:L$381)</f>
        <v>6972.8988427545573</v>
      </c>
      <c r="H166" s="176">
        <f>SUM(POP!M$346:M$381)</f>
        <v>7204.7054696045288</v>
      </c>
      <c r="I166" s="176">
        <f>SUM(POP!N$346:N$381)</f>
        <v>7476.6064397786995</v>
      </c>
      <c r="J166" s="176">
        <f>SUM(POP!O$346:O$381)</f>
        <v>7790.1440600045871</v>
      </c>
      <c r="K166" s="176">
        <f>SUM(POP!P$346:P$381)</f>
        <v>8145.6665099886859</v>
      </c>
      <c r="L166" s="176">
        <f>SUM(POP!Q$346:Q$381)</f>
        <v>8542.9307131586502</v>
      </c>
    </row>
    <row r="167" spans="1:13">
      <c r="A167" s="35" t="s">
        <v>214</v>
      </c>
      <c r="B167" s="176">
        <f>SUM(POP!G$361:G$381)</f>
        <v>1716.6341858408505</v>
      </c>
      <c r="C167" s="176">
        <f>SUM(POP!H$361:H$381)</f>
        <v>1801.9271167661336</v>
      </c>
      <c r="D167" s="176">
        <f>SUM(POP!I$361:I$381)</f>
        <v>1892.6351874871725</v>
      </c>
      <c r="E167" s="176">
        <f>SUM(POP!J$361:J$381)</f>
        <v>1984.0496149257222</v>
      </c>
      <c r="F167" s="176">
        <f>SUM(POP!K$361:K$381)</f>
        <v>2069.6005672417396</v>
      </c>
      <c r="G167" s="176">
        <f>SUM(POP!L$361:L$381)</f>
        <v>2144.716875512242</v>
      </c>
      <c r="H167" s="176">
        <f>SUM(POP!M$361:M$381)</f>
        <v>2207.5533986197543</v>
      </c>
      <c r="I167" s="176">
        <f>SUM(POP!N$361:N$381)</f>
        <v>2260.1197914950194</v>
      </c>
      <c r="J167" s="176">
        <f>SUM(POP!O$361:O$381)</f>
        <v>2306.5203761755433</v>
      </c>
      <c r="K167" s="176">
        <f>SUM(POP!P$361:P$381)</f>
        <v>2352.8479829237617</v>
      </c>
      <c r="L167" s="176">
        <f>SUM(POP!Q$361:Q$381)</f>
        <v>2403.5591788746024</v>
      </c>
    </row>
    <row r="168" spans="1:13">
      <c r="A168" s="35" t="s">
        <v>231</v>
      </c>
      <c r="B168" s="176">
        <f>B166-B167</f>
        <v>4549.3963850327582</v>
      </c>
      <c r="C168" s="176">
        <f t="shared" ref="C168" si="64">C166-C167</f>
        <v>4576.3149054478063</v>
      </c>
      <c r="D168" s="176">
        <f t="shared" ref="D168" si="65">D166-D167</f>
        <v>4601.7534343210955</v>
      </c>
      <c r="E168" s="176">
        <f t="shared" ref="E168" si="66">E166-E167</f>
        <v>4640.3956615749903</v>
      </c>
      <c r="F168" s="176">
        <f t="shared" ref="F168" si="67">F166-F167</f>
        <v>4711.1726390454951</v>
      </c>
      <c r="G168" s="176">
        <f t="shared" ref="G168" si="68">G166-G167</f>
        <v>4828.1819672423153</v>
      </c>
      <c r="H168" s="176">
        <f t="shared" ref="H168" si="69">H166-H167</f>
        <v>4997.1520709847746</v>
      </c>
      <c r="I168" s="176">
        <f t="shared" ref="I168" si="70">I166-I167</f>
        <v>5216.4866482836806</v>
      </c>
      <c r="J168" s="176">
        <f t="shared" ref="J168" si="71">J166-J167</f>
        <v>5483.6236838290442</v>
      </c>
      <c r="K168" s="176">
        <f t="shared" ref="K168" si="72">K166-K167</f>
        <v>5792.8185270649246</v>
      </c>
      <c r="L168" s="176">
        <f t="shared" ref="L168" si="73">L166-L167</f>
        <v>6139.3715342840478</v>
      </c>
    </row>
    <row r="169" spans="1:13">
      <c r="A169" s="35" t="s">
        <v>1078</v>
      </c>
      <c r="B169" s="176">
        <f>SUM(POP!G$359:G$381)</f>
        <v>2264.1219572830305</v>
      </c>
      <c r="C169" s="176">
        <f>SUM(POP!H$359:H$381)</f>
        <v>2355.0493970103653</v>
      </c>
      <c r="D169" s="176">
        <f>SUM(POP!I$359:I$381)</f>
        <v>2444.485326078322</v>
      </c>
      <c r="E169" s="176">
        <f>SUM(POP!J$359:J$381)</f>
        <v>2530.8213074222094</v>
      </c>
      <c r="F169" s="176">
        <f>SUM(POP!K$359:K$381)</f>
        <v>2611.9699867672571</v>
      </c>
      <c r="G169" s="176">
        <f>SUM(POP!L$359:L$381)</f>
        <v>2686.569821453465</v>
      </c>
      <c r="H169" s="176">
        <f>SUM(POP!M$359:M$381)</f>
        <v>2754.6084212517317</v>
      </c>
      <c r="I169" s="176">
        <f>SUM(POP!N$359:N$381)</f>
        <v>2817.1847495550983</v>
      </c>
      <c r="J169" s="176">
        <f>SUM(POP!O$359:O$381)</f>
        <v>2875.6803886712423</v>
      </c>
      <c r="K169" s="176">
        <f>SUM(POP!P$359:P$381)</f>
        <v>2932.0764570043098</v>
      </c>
      <c r="L169" s="176">
        <f>SUM(POP!Q$359:Q$381)</f>
        <v>2988.3187929586211</v>
      </c>
    </row>
    <row r="170" spans="1:13">
      <c r="A170" s="35" t="s">
        <v>975</v>
      </c>
      <c r="B170" s="176">
        <f>SUM(POP!G$358:G$381)</f>
        <v>2460.9597751115061</v>
      </c>
      <c r="C170" s="176">
        <f>SUM(POP!H$358:H$381)</f>
        <v>2551.7400203195984</v>
      </c>
      <c r="D170" s="176">
        <f>SUM(POP!I$358:I$381)</f>
        <v>2637.495096915884</v>
      </c>
      <c r="E170" s="176">
        <f>SUM(POP!J$358:J$381)</f>
        <v>2718.476385028207</v>
      </c>
      <c r="F170" s="176">
        <f>SUM(POP!K$358:K$381)</f>
        <v>2795.2588757852986</v>
      </c>
      <c r="G170" s="176">
        <f>SUM(POP!L$358:L$381)</f>
        <v>2868.3621821525016</v>
      </c>
      <c r="H170" s="176">
        <f>SUM(POP!M$358:M$381)</f>
        <v>2938.7872482485363</v>
      </c>
      <c r="I170" s="176">
        <f>SUM(POP!N$358:N$381)</f>
        <v>3007.0169580745646</v>
      </c>
      <c r="J170" s="176">
        <f>SUM(POP!O$358:O$381)</f>
        <v>3072.7328054528648</v>
      </c>
      <c r="K170" s="176">
        <f>SUM(POP!P$358:P$381)</f>
        <v>3135.3872871183335</v>
      </c>
      <c r="L170" s="176">
        <f>SUM(POP!Q$358:Q$381)</f>
        <v>3195.2979666109063</v>
      </c>
    </row>
    <row r="171" spans="1:13">
      <c r="A171" s="35" t="s">
        <v>1079</v>
      </c>
      <c r="B171" s="176">
        <f>SUM(POP!G$357:G$381)</f>
        <v>2733.6561995657298</v>
      </c>
      <c r="C171" s="176">
        <f>SUM(POP!H$357:H$381)</f>
        <v>2824.1993555957438</v>
      </c>
      <c r="D171" s="176">
        <f>SUM(POP!I$357:I$381)</f>
        <v>2906.3016374953663</v>
      </c>
      <c r="E171" s="176">
        <f>SUM(POP!J$357:J$381)</f>
        <v>2982.0034315758121</v>
      </c>
      <c r="F171" s="176">
        <f>SUM(POP!K$357:K$381)</f>
        <v>3054.4227526340401</v>
      </c>
      <c r="G171" s="176">
        <f>SUM(POP!L$357:L$381)</f>
        <v>3125.9172091602654</v>
      </c>
      <c r="H171" s="176">
        <f>SUM(POP!M$357:M$381)</f>
        <v>3198.496225613987</v>
      </c>
      <c r="I171" s="176">
        <f>SUM(POP!N$357:N$381)</f>
        <v>3272.2090369116604</v>
      </c>
      <c r="J171" s="176">
        <f>SUM(POP!O$357:O$381)</f>
        <v>3345.4346575871614</v>
      </c>
      <c r="K171" s="176">
        <f>SUM(POP!P$357:P$381)</f>
        <v>3415.6136519827746</v>
      </c>
      <c r="L171" s="176">
        <f>SUM(POP!Q$357:Q$381)</f>
        <v>3481.8114323051705</v>
      </c>
    </row>
    <row r="172" spans="1:13">
      <c r="A172" s="35" t="s">
        <v>1080</v>
      </c>
      <c r="B172" s="176">
        <f>SUM(POP!G$355:G$381)</f>
        <v>3219.2463595153104</v>
      </c>
      <c r="C172" s="176">
        <f>SUM(POP!H$355:H$381)</f>
        <v>3310.9714537830282</v>
      </c>
      <c r="D172" s="176">
        <f>SUM(POP!I$355:I$381)</f>
        <v>3394.6922392203396</v>
      </c>
      <c r="E172" s="176">
        <f>SUM(POP!J$355:J$381)</f>
        <v>3472.1881897256617</v>
      </c>
      <c r="F172" s="176">
        <f>SUM(POP!K$355:K$381)</f>
        <v>3546.0283249177523</v>
      </c>
      <c r="G172" s="176">
        <f>SUM(POP!L$355:L$381)</f>
        <v>3618.4210726562324</v>
      </c>
      <c r="H172" s="176">
        <f>SUM(POP!M$355:M$381)</f>
        <v>3691.4110295384808</v>
      </c>
      <c r="I172" s="176">
        <f>SUM(POP!N$355:N$381)</f>
        <v>3766.0475431425461</v>
      </c>
      <c r="J172" s="176">
        <f>SUM(POP!O$355:O$381)</f>
        <v>3842.6770419563718</v>
      </c>
      <c r="K172" s="176">
        <f>SUM(POP!P$355:P$381)</f>
        <v>3921.2882931910149</v>
      </c>
      <c r="L172" s="176">
        <f>SUM(POP!Q$355:Q$381)</f>
        <v>4002.8599821234989</v>
      </c>
    </row>
    <row r="173" spans="1:13">
      <c r="A173" s="35" t="s">
        <v>1081</v>
      </c>
      <c r="B173" s="176">
        <f>SUM(POP!G$353:G$381)</f>
        <v>3826.7137158955647</v>
      </c>
      <c r="C173" s="176">
        <f>SUM(POP!H$353:H$381)</f>
        <v>3923.7570755451816</v>
      </c>
      <c r="D173" s="176">
        <f>SUM(POP!I$353:I$381)</f>
        <v>4022.9476256434878</v>
      </c>
      <c r="E173" s="176">
        <f>SUM(POP!J$353:J$381)</f>
        <v>4120.8196018555809</v>
      </c>
      <c r="F173" s="176">
        <f>SUM(POP!K$353:K$381)</f>
        <v>4212.0538055564284</v>
      </c>
      <c r="G173" s="176">
        <f>SUM(POP!L$353:L$381)</f>
        <v>4293.7659254805412</v>
      </c>
      <c r="H173" s="176">
        <f>SUM(POP!M$353:M$381)</f>
        <v>4365.5874460762479</v>
      </c>
      <c r="I173" s="176">
        <f>SUM(POP!N$353:N$381)</f>
        <v>4432.2054861055594</v>
      </c>
      <c r="J173" s="176">
        <f>SUM(POP!O$353:O$381)</f>
        <v>4502.1828142644126</v>
      </c>
      <c r="K173" s="176">
        <f>SUM(POP!P$353:P$381)</f>
        <v>4586.9485496095986</v>
      </c>
      <c r="L173" s="176">
        <f>SUM(POP!Q$353:Q$381)</f>
        <v>4695.4540214635235</v>
      </c>
    </row>
    <row r="174" spans="1:13">
      <c r="A174" s="35" t="s">
        <v>976</v>
      </c>
      <c r="B174" s="176">
        <f>SUM(POP!G$351:G$381)</f>
        <v>4455.0806425735227</v>
      </c>
      <c r="C174" s="176">
        <f>SUM(POP!H$351:H$381)</f>
        <v>4554.2109820288551</v>
      </c>
      <c r="D174" s="176">
        <f>SUM(POP!I$351:I$381)</f>
        <v>4661.5464343494923</v>
      </c>
      <c r="E174" s="176">
        <f>SUM(POP!J$351:J$381)</f>
        <v>4772.1905401176855</v>
      </c>
      <c r="F174" s="176">
        <f>SUM(POP!K$351:K$381)</f>
        <v>4878.340501215258</v>
      </c>
      <c r="G174" s="176">
        <f>SUM(POP!L$351:L$381)</f>
        <v>4975.677758851225</v>
      </c>
      <c r="H174" s="176">
        <f>SUM(POP!M$351:M$381)</f>
        <v>5062.8180727084873</v>
      </c>
      <c r="I174" s="176">
        <f>SUM(POP!N$351:N$381)</f>
        <v>5146.1804558174308</v>
      </c>
      <c r="J174" s="176">
        <f>SUM(POP!O$351:O$381)</f>
        <v>5238.8212080788817</v>
      </c>
      <c r="K174" s="176">
        <f>SUM(POP!P$351:P$381)</f>
        <v>5358.233636915128</v>
      </c>
      <c r="L174" s="176">
        <f>SUM(POP!Q$351:Q$381)</f>
        <v>5517.3644975232401</v>
      </c>
    </row>
    <row r="175" spans="1:13">
      <c r="A175" s="35" t="s">
        <v>1082</v>
      </c>
      <c r="B175" s="176">
        <f>SUM(POP!G$349:G$381)</f>
        <v>5157.3392254686751</v>
      </c>
      <c r="C175" s="176">
        <f>SUM(POP!H$349:H$381)</f>
        <v>5253.8684684644049</v>
      </c>
      <c r="D175" s="176">
        <f>SUM(POP!I$349:I$381)</f>
        <v>5355.7249285688895</v>
      </c>
      <c r="E175" s="176">
        <f>SUM(POP!J$349:J$381)</f>
        <v>5463.6406677413834</v>
      </c>
      <c r="F175" s="176">
        <f>SUM(POP!K$349:K$381)</f>
        <v>5577.4199714011356</v>
      </c>
      <c r="G175" s="176">
        <f>SUM(POP!L$349:L$381)</f>
        <v>5698.1398832296691</v>
      </c>
      <c r="H175" s="176">
        <f>SUM(POP!M$349:M$381)</f>
        <v>5826.2844055293353</v>
      </c>
      <c r="I175" s="176">
        <f>SUM(POP!N$349:N$381)</f>
        <v>5966.5153310592004</v>
      </c>
      <c r="J175" s="176">
        <f>SUM(POP!O$349:O$381)</f>
        <v>6129.0897690555103</v>
      </c>
      <c r="K175" s="176">
        <f>SUM(POP!P$349:P$381)</f>
        <v>6327.0474291502333</v>
      </c>
      <c r="L175" s="176">
        <f>SUM(POP!Q$349:Q$381)</f>
        <v>6569.7774266495726</v>
      </c>
    </row>
    <row r="176" spans="1:13">
      <c r="A176" s="35" t="s">
        <v>1083</v>
      </c>
      <c r="B176" s="176">
        <f>SUM(POP!G$347:G$381)</f>
        <v>5856.65632921817</v>
      </c>
      <c r="C176" s="176">
        <f>SUM(POP!H$347:H$381)</f>
        <v>5956.573434280288</v>
      </c>
      <c r="D176" s="176">
        <f>SUM(POP!I$347:I$381)</f>
        <v>6057.2815905824082</v>
      </c>
      <c r="E176" s="176">
        <f>SUM(POP!J$347:J$381)</f>
        <v>6167.2341237559585</v>
      </c>
      <c r="F176" s="176">
        <f>SUM(POP!K$347:K$381)</f>
        <v>6296.8794591177411</v>
      </c>
      <c r="G176" s="176">
        <f>SUM(POP!L$347:L$381)</f>
        <v>6454.5831728062312</v>
      </c>
      <c r="H176" s="176">
        <f>SUM(POP!M$347:M$381)</f>
        <v>6643.6711115778726</v>
      </c>
      <c r="I176" s="176">
        <f>SUM(POP!N$347:N$381)</f>
        <v>6865.5108648547857</v>
      </c>
      <c r="J176" s="176">
        <f>SUM(POP!O$347:O$381)</f>
        <v>7123.9482095520934</v>
      </c>
      <c r="K176" s="176">
        <f>SUM(POP!P$347:P$381)</f>
        <v>7422.5431699154169</v>
      </c>
      <c r="L176" s="176">
        <f>SUM(POP!Q$347:Q$381)</f>
        <v>7763.5561567873392</v>
      </c>
    </row>
    <row r="177" spans="1:12">
      <c r="A177" s="35" t="s">
        <v>1084</v>
      </c>
      <c r="B177" s="176">
        <f>B169-B$73</f>
        <v>547.48777144218002</v>
      </c>
      <c r="C177" s="176">
        <f t="shared" ref="C177:L177" si="74">C169-C$73</f>
        <v>553.12228024423166</v>
      </c>
      <c r="D177" s="176">
        <f t="shared" si="74"/>
        <v>551.85013859114952</v>
      </c>
      <c r="E177" s="176">
        <f t="shared" si="74"/>
        <v>546.77169249648728</v>
      </c>
      <c r="F177" s="176">
        <f t="shared" si="74"/>
        <v>542.36941952551751</v>
      </c>
      <c r="G177" s="176">
        <f t="shared" si="74"/>
        <v>541.85294594122297</v>
      </c>
      <c r="H177" s="176">
        <f t="shared" si="74"/>
        <v>547.05502263197741</v>
      </c>
      <c r="I177" s="176">
        <f t="shared" si="74"/>
        <v>557.06495806007888</v>
      </c>
      <c r="J177" s="176">
        <f t="shared" si="74"/>
        <v>569.16001249569899</v>
      </c>
      <c r="K177" s="176">
        <f t="shared" si="74"/>
        <v>579.22847408054804</v>
      </c>
      <c r="L177" s="176">
        <f t="shared" si="74"/>
        <v>584.75961408401872</v>
      </c>
    </row>
    <row r="178" spans="1:12">
      <c r="A178" s="35" t="s">
        <v>978</v>
      </c>
      <c r="B178" s="176">
        <f t="shared" ref="B178:L178" si="75">B170-B$73</f>
        <v>744.32558927065566</v>
      </c>
      <c r="C178" s="176">
        <f t="shared" si="75"/>
        <v>749.81290355346482</v>
      </c>
      <c r="D178" s="176">
        <f t="shared" si="75"/>
        <v>744.85990942871149</v>
      </c>
      <c r="E178" s="176">
        <f t="shared" si="75"/>
        <v>734.42677010248485</v>
      </c>
      <c r="F178" s="176">
        <f t="shared" si="75"/>
        <v>725.65830854355909</v>
      </c>
      <c r="G178" s="176">
        <f t="shared" si="75"/>
        <v>723.64530664025961</v>
      </c>
      <c r="H178" s="176">
        <f t="shared" si="75"/>
        <v>731.23384962878208</v>
      </c>
      <c r="I178" s="176">
        <f t="shared" si="75"/>
        <v>746.89716657954523</v>
      </c>
      <c r="J178" s="176">
        <f t="shared" si="75"/>
        <v>766.21242927732146</v>
      </c>
      <c r="K178" s="176">
        <f t="shared" si="75"/>
        <v>782.53930419457174</v>
      </c>
      <c r="L178" s="176">
        <f t="shared" si="75"/>
        <v>791.73878773630395</v>
      </c>
    </row>
    <row r="179" spans="1:12">
      <c r="A179" s="35" t="s">
        <v>1085</v>
      </c>
      <c r="B179" s="176">
        <f t="shared" ref="B179:L179" si="76">B171-B$73</f>
        <v>1017.0220137248793</v>
      </c>
      <c r="C179" s="176">
        <f t="shared" si="76"/>
        <v>1022.2722388296102</v>
      </c>
      <c r="D179" s="176">
        <f t="shared" si="76"/>
        <v>1013.6664500081938</v>
      </c>
      <c r="E179" s="176">
        <f t="shared" si="76"/>
        <v>997.95381665008995</v>
      </c>
      <c r="F179" s="176">
        <f t="shared" si="76"/>
        <v>984.82218539230053</v>
      </c>
      <c r="G179" s="176">
        <f t="shared" si="76"/>
        <v>981.20033364802339</v>
      </c>
      <c r="H179" s="176">
        <f t="shared" si="76"/>
        <v>990.94282699423275</v>
      </c>
      <c r="I179" s="176">
        <f t="shared" si="76"/>
        <v>1012.089245416641</v>
      </c>
      <c r="J179" s="176">
        <f t="shared" si="76"/>
        <v>1038.914281411618</v>
      </c>
      <c r="K179" s="176">
        <f t="shared" si="76"/>
        <v>1062.7656690590129</v>
      </c>
      <c r="L179" s="176">
        <f t="shared" si="76"/>
        <v>1078.2522534305681</v>
      </c>
    </row>
    <row r="180" spans="1:12">
      <c r="A180" s="35" t="s">
        <v>1086</v>
      </c>
      <c r="B180" s="176">
        <f t="shared" ref="B180:L180" si="77">B172-B$73</f>
        <v>1502.6121736744599</v>
      </c>
      <c r="C180" s="176">
        <f t="shared" si="77"/>
        <v>1509.0443370168946</v>
      </c>
      <c r="D180" s="176">
        <f t="shared" si="77"/>
        <v>1502.0570517331671</v>
      </c>
      <c r="E180" s="176">
        <f t="shared" si="77"/>
        <v>1488.1385747999395</v>
      </c>
      <c r="F180" s="176">
        <f t="shared" si="77"/>
        <v>1476.4277576760128</v>
      </c>
      <c r="G180" s="176">
        <f t="shared" si="77"/>
        <v>1473.7041971439903</v>
      </c>
      <c r="H180" s="176">
        <f t="shared" si="77"/>
        <v>1483.8576309187265</v>
      </c>
      <c r="I180" s="176">
        <f t="shared" si="77"/>
        <v>1505.9277516475267</v>
      </c>
      <c r="J180" s="176">
        <f t="shared" si="77"/>
        <v>1536.1566657808285</v>
      </c>
      <c r="K180" s="176">
        <f t="shared" si="77"/>
        <v>1568.4403102672532</v>
      </c>
      <c r="L180" s="176">
        <f t="shared" si="77"/>
        <v>1599.3008032488965</v>
      </c>
    </row>
    <row r="181" spans="1:12">
      <c r="A181" s="35" t="s">
        <v>1087</v>
      </c>
      <c r="B181" s="176">
        <f t="shared" ref="B181:L181" si="78">B173-B$73</f>
        <v>2110.0795300547143</v>
      </c>
      <c r="C181" s="176">
        <f t="shared" si="78"/>
        <v>2121.829958779048</v>
      </c>
      <c r="D181" s="176">
        <f t="shared" si="78"/>
        <v>2130.3124381563152</v>
      </c>
      <c r="E181" s="176">
        <f t="shared" si="78"/>
        <v>2136.7699869298585</v>
      </c>
      <c r="F181" s="176">
        <f t="shared" si="78"/>
        <v>2142.4532383146889</v>
      </c>
      <c r="G181" s="176">
        <f t="shared" si="78"/>
        <v>2149.0490499682992</v>
      </c>
      <c r="H181" s="176">
        <f t="shared" si="78"/>
        <v>2158.0340474564937</v>
      </c>
      <c r="I181" s="176">
        <f t="shared" si="78"/>
        <v>2172.08569461054</v>
      </c>
      <c r="J181" s="176">
        <f t="shared" si="78"/>
        <v>2195.6624380888693</v>
      </c>
      <c r="K181" s="176">
        <f t="shared" si="78"/>
        <v>2234.1005666858368</v>
      </c>
      <c r="L181" s="176">
        <f t="shared" si="78"/>
        <v>2291.8948425889212</v>
      </c>
    </row>
    <row r="182" spans="1:12">
      <c r="A182" s="35" t="s">
        <v>980</v>
      </c>
      <c r="B182" s="176">
        <f t="shared" ref="B182:L182" si="79">B174-B$73</f>
        <v>2738.4464567326722</v>
      </c>
      <c r="C182" s="176">
        <f t="shared" si="79"/>
        <v>2752.2838652627215</v>
      </c>
      <c r="D182" s="176">
        <f t="shared" si="79"/>
        <v>2768.9112468623198</v>
      </c>
      <c r="E182" s="176">
        <f t="shared" si="79"/>
        <v>2788.1409251919631</v>
      </c>
      <c r="F182" s="176">
        <f t="shared" si="79"/>
        <v>2808.7399339735184</v>
      </c>
      <c r="G182" s="176">
        <f t="shared" si="79"/>
        <v>2830.960883338983</v>
      </c>
      <c r="H182" s="176">
        <f t="shared" si="79"/>
        <v>2855.264674088733</v>
      </c>
      <c r="I182" s="176">
        <f t="shared" si="79"/>
        <v>2886.0606643224114</v>
      </c>
      <c r="J182" s="176">
        <f t="shared" si="79"/>
        <v>2932.3008319033383</v>
      </c>
      <c r="K182" s="176">
        <f t="shared" si="79"/>
        <v>3005.3856539913663</v>
      </c>
      <c r="L182" s="176">
        <f t="shared" si="79"/>
        <v>3113.8053186486377</v>
      </c>
    </row>
    <row r="183" spans="1:12">
      <c r="A183" s="35" t="s">
        <v>1088</v>
      </c>
      <c r="B183" s="176">
        <f t="shared" ref="B183:L183" si="80">B175-B$73</f>
        <v>3440.7050396278246</v>
      </c>
      <c r="C183" s="176">
        <f t="shared" si="80"/>
        <v>3451.9413516982713</v>
      </c>
      <c r="D183" s="176">
        <f t="shared" si="80"/>
        <v>3463.089741081717</v>
      </c>
      <c r="E183" s="176">
        <f t="shared" si="80"/>
        <v>3479.591052815661</v>
      </c>
      <c r="F183" s="176">
        <f t="shared" si="80"/>
        <v>3507.8194041593961</v>
      </c>
      <c r="G183" s="176">
        <f t="shared" si="80"/>
        <v>3553.423007717427</v>
      </c>
      <c r="H183" s="176">
        <f t="shared" si="80"/>
        <v>3618.7310069095811</v>
      </c>
      <c r="I183" s="176">
        <f t="shared" si="80"/>
        <v>3706.395539564181</v>
      </c>
      <c r="J183" s="176">
        <f t="shared" si="80"/>
        <v>3822.5693928799669</v>
      </c>
      <c r="K183" s="176">
        <f t="shared" si="80"/>
        <v>3974.1994462264715</v>
      </c>
      <c r="L183" s="176">
        <f t="shared" si="80"/>
        <v>4166.2182477749702</v>
      </c>
    </row>
    <row r="184" spans="1:12">
      <c r="A184" s="35" t="s">
        <v>1089</v>
      </c>
      <c r="B184" s="176">
        <f t="shared" ref="B184:L184" si="81">B176-B$73</f>
        <v>4140.0221433773195</v>
      </c>
      <c r="C184" s="176">
        <f t="shared" si="81"/>
        <v>4154.6463175141544</v>
      </c>
      <c r="D184" s="176">
        <f t="shared" si="81"/>
        <v>4164.6464030952357</v>
      </c>
      <c r="E184" s="176">
        <f t="shared" si="81"/>
        <v>4183.1845088302362</v>
      </c>
      <c r="F184" s="176">
        <f t="shared" si="81"/>
        <v>4227.2788918760016</v>
      </c>
      <c r="G184" s="176">
        <f t="shared" si="81"/>
        <v>4309.8662972939892</v>
      </c>
      <c r="H184" s="176">
        <f t="shared" si="81"/>
        <v>4436.1177129581183</v>
      </c>
      <c r="I184" s="176">
        <f t="shared" si="81"/>
        <v>4605.3910733597659</v>
      </c>
      <c r="J184" s="176">
        <f t="shared" si="81"/>
        <v>4817.4278333765506</v>
      </c>
      <c r="K184" s="176">
        <f t="shared" si="81"/>
        <v>5069.6951869916556</v>
      </c>
      <c r="L184" s="176">
        <f t="shared" si="81"/>
        <v>5359.9969779127368</v>
      </c>
    </row>
    <row r="185" spans="1:12">
      <c r="A185" s="1255" t="s">
        <v>981</v>
      </c>
      <c r="B185" s="1256">
        <f>B167</f>
        <v>1716.6341858408505</v>
      </c>
      <c r="C185" s="1256">
        <f>C167</f>
        <v>1801.9271167661336</v>
      </c>
      <c r="D185" s="1256">
        <f>D169</f>
        <v>2444.485326078322</v>
      </c>
      <c r="E185" s="1256">
        <f>E171</f>
        <v>2982.0034315758121</v>
      </c>
      <c r="F185" s="1256">
        <f>F171</f>
        <v>3054.4227526340401</v>
      </c>
      <c r="G185" s="1256">
        <f>G172</f>
        <v>3618.4210726562324</v>
      </c>
      <c r="H185" s="1256">
        <f>H173</f>
        <v>4365.5874460762479</v>
      </c>
      <c r="I185" s="1256">
        <f>I174</f>
        <v>5146.1804558174308</v>
      </c>
      <c r="J185" s="1256">
        <f>J175</f>
        <v>6129.0897690555103</v>
      </c>
      <c r="K185" s="1256">
        <f>K176</f>
        <v>7422.5431699154169</v>
      </c>
      <c r="L185" s="1256">
        <f>L166</f>
        <v>8542.9307131586502</v>
      </c>
    </row>
    <row r="186" spans="1:12">
      <c r="A186" s="1255" t="s">
        <v>990</v>
      </c>
      <c r="B186" s="1256">
        <v>0</v>
      </c>
      <c r="C186" s="1256">
        <v>0</v>
      </c>
      <c r="D186" s="1256">
        <f>D177</f>
        <v>551.85013859114952</v>
      </c>
      <c r="E186" s="1256">
        <f>E179</f>
        <v>997.95381665008995</v>
      </c>
      <c r="F186" s="1256">
        <f>F179</f>
        <v>984.82218539230053</v>
      </c>
      <c r="G186" s="1256">
        <f>G180</f>
        <v>1473.7041971439903</v>
      </c>
      <c r="H186" s="1256">
        <f>H181</f>
        <v>2158.0340474564937</v>
      </c>
      <c r="I186" s="1256">
        <f>I182</f>
        <v>2886.0606643224114</v>
      </c>
      <c r="J186" s="1256">
        <f>J183</f>
        <v>3822.5693928799669</v>
      </c>
      <c r="K186" s="1256">
        <f>K184</f>
        <v>5069.6951869916556</v>
      </c>
      <c r="L186" s="1256">
        <f>L168</f>
        <v>6139.3715342840478</v>
      </c>
    </row>
    <row r="187" spans="1:12">
      <c r="A187" s="35" t="s">
        <v>345</v>
      </c>
      <c r="B187" s="153">
        <v>0.75</v>
      </c>
      <c r="C187" s="153">
        <f>B187</f>
        <v>0.75</v>
      </c>
      <c r="D187" s="153">
        <f t="shared" ref="D187:D188" si="82">C187</f>
        <v>0.75</v>
      </c>
      <c r="E187" s="153">
        <f t="shared" ref="E187:E188" si="83">D187</f>
        <v>0.75</v>
      </c>
      <c r="F187" s="153">
        <f t="shared" ref="F187:F188" si="84">E187</f>
        <v>0.75</v>
      </c>
      <c r="G187" s="153">
        <f t="shared" ref="G187:G188" si="85">F187</f>
        <v>0.75</v>
      </c>
      <c r="H187" s="153">
        <f t="shared" ref="H187:H188" si="86">G187</f>
        <v>0.75</v>
      </c>
      <c r="I187" s="153">
        <f t="shared" ref="I187:I188" si="87">H187</f>
        <v>0.75</v>
      </c>
      <c r="J187" s="153">
        <f t="shared" ref="J187:J188" si="88">I187</f>
        <v>0.75</v>
      </c>
      <c r="K187" s="153">
        <f t="shared" ref="K187:K188" si="89">J187</f>
        <v>0.75</v>
      </c>
      <c r="L187" s="153">
        <f t="shared" ref="L187:L188" si="90">K187</f>
        <v>0.75</v>
      </c>
    </row>
    <row r="188" spans="1:12">
      <c r="A188" s="35" t="s">
        <v>346</v>
      </c>
      <c r="B188" s="17">
        <v>0.3</v>
      </c>
      <c r="C188" s="17">
        <f>B188</f>
        <v>0.3</v>
      </c>
      <c r="D188" s="17">
        <f t="shared" si="82"/>
        <v>0.3</v>
      </c>
      <c r="E188" s="17">
        <f t="shared" si="83"/>
        <v>0.3</v>
      </c>
      <c r="F188" s="17">
        <f t="shared" si="84"/>
        <v>0.3</v>
      </c>
      <c r="G188" s="17">
        <f t="shared" si="85"/>
        <v>0.3</v>
      </c>
      <c r="H188" s="17">
        <f t="shared" si="86"/>
        <v>0.3</v>
      </c>
      <c r="I188" s="17">
        <f t="shared" si="87"/>
        <v>0.3</v>
      </c>
      <c r="J188" s="17">
        <f t="shared" si="88"/>
        <v>0.3</v>
      </c>
      <c r="K188" s="17">
        <f t="shared" si="89"/>
        <v>0.3</v>
      </c>
      <c r="L188" s="17">
        <f t="shared" si="90"/>
        <v>0.3</v>
      </c>
    </row>
    <row r="190" spans="1:12">
      <c r="A190" s="187" t="s">
        <v>216</v>
      </c>
      <c r="B190" s="177"/>
      <c r="C190" s="177"/>
      <c r="D190" s="177"/>
      <c r="E190" s="177"/>
      <c r="F190" s="177"/>
      <c r="G190" s="177"/>
      <c r="H190" s="177"/>
      <c r="I190" s="177"/>
      <c r="J190" s="177"/>
      <c r="K190" s="177"/>
      <c r="L190" s="177"/>
    </row>
    <row r="191" spans="1:12">
      <c r="A191" s="35" t="s">
        <v>217</v>
      </c>
      <c r="B191" s="176">
        <f>B167*B$20</f>
        <v>343.32683716817013</v>
      </c>
      <c r="C191" s="176">
        <f t="shared" ref="C191:L191" si="91">C167*C$20</f>
        <v>375.29807991017975</v>
      </c>
      <c r="D191" s="176">
        <f t="shared" si="91"/>
        <v>410.50188680106049</v>
      </c>
      <c r="E191" s="176">
        <f t="shared" si="91"/>
        <v>448.13607048214374</v>
      </c>
      <c r="F191" s="176">
        <f t="shared" si="91"/>
        <v>486.80276242763506</v>
      </c>
      <c r="G191" s="176">
        <f t="shared" si="91"/>
        <v>525.3461987741224</v>
      </c>
      <c r="H191" s="176">
        <f t="shared" si="91"/>
        <v>563.1135382078736</v>
      </c>
      <c r="I191" s="176">
        <f t="shared" si="91"/>
        <v>600.37878189683113</v>
      </c>
      <c r="J191" s="176">
        <f t="shared" si="91"/>
        <v>638.05820605958399</v>
      </c>
      <c r="K191" s="176">
        <f t="shared" si="91"/>
        <v>677.80691812867917</v>
      </c>
      <c r="L191" s="176">
        <f t="shared" si="91"/>
        <v>721.06775366238071</v>
      </c>
    </row>
    <row r="192" spans="1:12">
      <c r="A192" s="35" t="s">
        <v>232</v>
      </c>
      <c r="B192" s="176">
        <f>B168*B$20</f>
        <v>909.87927700655166</v>
      </c>
      <c r="C192" s="176">
        <f t="shared" ref="C192:L192" si="92">C168*C$20</f>
        <v>953.13632893277793</v>
      </c>
      <c r="D192" s="176">
        <f t="shared" si="92"/>
        <v>998.09433950665823</v>
      </c>
      <c r="E192" s="176">
        <f t="shared" si="92"/>
        <v>1048.1233239414007</v>
      </c>
      <c r="F192" s="176">
        <f t="shared" si="92"/>
        <v>1108.1422624547226</v>
      </c>
      <c r="G192" s="176">
        <f t="shared" si="92"/>
        <v>1182.6582205050759</v>
      </c>
      <c r="H192" s="176">
        <f t="shared" si="92"/>
        <v>1274.6980369373787</v>
      </c>
      <c r="I192" s="176">
        <f t="shared" si="92"/>
        <v>1385.7088068796468</v>
      </c>
      <c r="J192" s="176">
        <f t="shared" si="92"/>
        <v>1516.9478347342019</v>
      </c>
      <c r="K192" s="176">
        <f t="shared" si="92"/>
        <v>1668.7913973215741</v>
      </c>
      <c r="L192" s="176">
        <f t="shared" si="92"/>
        <v>1841.8114602852143</v>
      </c>
    </row>
    <row r="193" spans="1:12">
      <c r="A193" s="35" t="s">
        <v>233</v>
      </c>
      <c r="B193" s="176">
        <f>B191+B192</f>
        <v>1253.2061141747217</v>
      </c>
      <c r="C193" s="176">
        <f t="shared" ref="C193:L193" si="93">C191+C192</f>
        <v>1328.4344088429577</v>
      </c>
      <c r="D193" s="176">
        <f t="shared" si="93"/>
        <v>1408.5962263077188</v>
      </c>
      <c r="E193" s="176">
        <f t="shared" si="93"/>
        <v>1496.2593944235446</v>
      </c>
      <c r="F193" s="176">
        <f t="shared" si="93"/>
        <v>1594.9450248823578</v>
      </c>
      <c r="G193" s="176">
        <f t="shared" si="93"/>
        <v>1708.0044192791984</v>
      </c>
      <c r="H193" s="176">
        <f t="shared" si="93"/>
        <v>1837.8115751452524</v>
      </c>
      <c r="I193" s="176">
        <f t="shared" si="93"/>
        <v>1986.0875887764778</v>
      </c>
      <c r="J193" s="176">
        <f t="shared" si="93"/>
        <v>2155.0060407937858</v>
      </c>
      <c r="K193" s="176">
        <f t="shared" si="93"/>
        <v>2346.5983154502533</v>
      </c>
      <c r="L193" s="176">
        <f t="shared" si="93"/>
        <v>2562.879213947595</v>
      </c>
    </row>
    <row r="194" spans="1:12">
      <c r="A194" s="35" t="s">
        <v>1090</v>
      </c>
      <c r="B194" s="176">
        <f>B177*B$20</f>
        <v>109.49755428843601</v>
      </c>
      <c r="C194" s="176">
        <f t="shared" ref="C194:L194" si="94">C177*C$20</f>
        <v>115.20206771944727</v>
      </c>
      <c r="D194" s="176">
        <f t="shared" si="94"/>
        <v>119.69317944672788</v>
      </c>
      <c r="E194" s="176">
        <f t="shared" si="94"/>
        <v>123.49898706309321</v>
      </c>
      <c r="F194" s="176">
        <f t="shared" si="94"/>
        <v>127.57385935256906</v>
      </c>
      <c r="G194" s="176">
        <f t="shared" si="94"/>
        <v>132.72632331798738</v>
      </c>
      <c r="H194" s="176">
        <f t="shared" si="94"/>
        <v>139.54547581104413</v>
      </c>
      <c r="I194" s="176">
        <f t="shared" si="94"/>
        <v>147.9788736048757</v>
      </c>
      <c r="J194" s="176">
        <f t="shared" si="94"/>
        <v>157.44808512639696</v>
      </c>
      <c r="K194" s="176">
        <f t="shared" si="94"/>
        <v>166.86376245227876</v>
      </c>
      <c r="L194" s="176">
        <f t="shared" si="94"/>
        <v>175.42788422520562</v>
      </c>
    </row>
    <row r="195" spans="1:12">
      <c r="A195" s="35" t="s">
        <v>1091</v>
      </c>
      <c r="B195" s="176">
        <f>B$97+B194</f>
        <v>452.82439145660612</v>
      </c>
      <c r="C195" s="176">
        <f t="shared" ref="C195:L195" si="95">C$97+C194</f>
        <v>490.50014762962701</v>
      </c>
      <c r="D195" s="176">
        <f t="shared" si="95"/>
        <v>530.19506624778842</v>
      </c>
      <c r="E195" s="176">
        <f t="shared" si="95"/>
        <v>571.63505754523692</v>
      </c>
      <c r="F195" s="176">
        <f t="shared" si="95"/>
        <v>614.37662178020412</v>
      </c>
      <c r="G195" s="176">
        <f t="shared" si="95"/>
        <v>658.07252209210981</v>
      </c>
      <c r="H195" s="176">
        <f t="shared" si="95"/>
        <v>702.65901401891779</v>
      </c>
      <c r="I195" s="176">
        <f t="shared" si="95"/>
        <v>748.35765550170686</v>
      </c>
      <c r="J195" s="176">
        <f t="shared" si="95"/>
        <v>795.5062911859809</v>
      </c>
      <c r="K195" s="176">
        <f t="shared" si="95"/>
        <v>844.67068058095788</v>
      </c>
      <c r="L195" s="176">
        <f t="shared" si="95"/>
        <v>896.49563788758633</v>
      </c>
    </row>
    <row r="196" spans="1:12">
      <c r="A196" s="35" t="s">
        <v>1092</v>
      </c>
      <c r="B196" s="176">
        <f>B179*B$20</f>
        <v>203.40440274497587</v>
      </c>
      <c r="C196" s="176">
        <f t="shared" ref="C196:L196" si="96">C179*C$20</f>
        <v>212.91472047258557</v>
      </c>
      <c r="D196" s="176">
        <f t="shared" si="96"/>
        <v>219.85853008881389</v>
      </c>
      <c r="E196" s="176">
        <f t="shared" si="96"/>
        <v>225.40721691225036</v>
      </c>
      <c r="F196" s="176">
        <f t="shared" si="96"/>
        <v>231.64574263135796</v>
      </c>
      <c r="G196" s="176">
        <f t="shared" si="96"/>
        <v>240.34401528862654</v>
      </c>
      <c r="H196" s="176">
        <f t="shared" si="96"/>
        <v>252.7745520535658</v>
      </c>
      <c r="I196" s="176">
        <f t="shared" si="96"/>
        <v>268.85163813913931</v>
      </c>
      <c r="J196" s="176">
        <f t="shared" si="96"/>
        <v>287.39732347230222</v>
      </c>
      <c r="K196" s="176">
        <f t="shared" si="96"/>
        <v>306.16084339741832</v>
      </c>
      <c r="L196" s="176">
        <f t="shared" si="96"/>
        <v>323.47567602917042</v>
      </c>
    </row>
    <row r="197" spans="1:12">
      <c r="A197" s="35" t="s">
        <v>1093</v>
      </c>
      <c r="B197" s="176">
        <f>B$97+B196</f>
        <v>546.73123991314606</v>
      </c>
      <c r="C197" s="176">
        <f t="shared" ref="C197:L197" si="97">C$97+C196</f>
        <v>588.21280038276529</v>
      </c>
      <c r="D197" s="176">
        <f t="shared" si="97"/>
        <v>630.36041688987439</v>
      </c>
      <c r="E197" s="176">
        <f t="shared" si="97"/>
        <v>673.54328739439416</v>
      </c>
      <c r="F197" s="176">
        <f t="shared" si="97"/>
        <v>718.44850505899308</v>
      </c>
      <c r="G197" s="176">
        <f t="shared" si="97"/>
        <v>765.69021406274896</v>
      </c>
      <c r="H197" s="176">
        <f t="shared" si="97"/>
        <v>815.8880902614394</v>
      </c>
      <c r="I197" s="176">
        <f t="shared" si="97"/>
        <v>869.23042003597038</v>
      </c>
      <c r="J197" s="176">
        <f t="shared" si="97"/>
        <v>925.45552953188621</v>
      </c>
      <c r="K197" s="176">
        <f t="shared" si="97"/>
        <v>983.96776152609755</v>
      </c>
      <c r="L197" s="176">
        <f t="shared" si="97"/>
        <v>1044.5434296915512</v>
      </c>
    </row>
    <row r="198" spans="1:12">
      <c r="A198" s="35" t="s">
        <v>1094</v>
      </c>
      <c r="B198" s="176">
        <f>B180*B$20</f>
        <v>300.52243473489199</v>
      </c>
      <c r="C198" s="176">
        <f t="shared" ref="C198:L198" si="98">C180*C$20</f>
        <v>314.29764107117018</v>
      </c>
      <c r="D198" s="176">
        <f t="shared" si="98"/>
        <v>325.78769426661222</v>
      </c>
      <c r="E198" s="176">
        <f t="shared" si="98"/>
        <v>336.12494779708885</v>
      </c>
      <c r="F198" s="176">
        <f t="shared" si="98"/>
        <v>347.27914281518019</v>
      </c>
      <c r="G198" s="176">
        <f t="shared" si="98"/>
        <v>360.98233148007233</v>
      </c>
      <c r="H198" s="176">
        <f t="shared" si="98"/>
        <v>378.50967558285726</v>
      </c>
      <c r="I198" s="176">
        <f t="shared" si="98"/>
        <v>400.03502140066462</v>
      </c>
      <c r="J198" s="176">
        <f t="shared" si="98"/>
        <v>424.95066443756838</v>
      </c>
      <c r="K198" s="176">
        <f t="shared" si="98"/>
        <v>451.83526546835276</v>
      </c>
      <c r="L198" s="176">
        <f t="shared" si="98"/>
        <v>479.7902409746689</v>
      </c>
    </row>
    <row r="199" spans="1:12">
      <c r="A199" s="35" t="s">
        <v>1095</v>
      </c>
      <c r="B199" s="176">
        <f>B$97+B198</f>
        <v>643.84927190306212</v>
      </c>
      <c r="C199" s="176">
        <f t="shared" ref="C199:L199" si="99">C$97+C198</f>
        <v>689.59572098134993</v>
      </c>
      <c r="D199" s="176">
        <f t="shared" si="99"/>
        <v>736.28958106767277</v>
      </c>
      <c r="E199" s="176">
        <f t="shared" si="99"/>
        <v>784.26101827923253</v>
      </c>
      <c r="F199" s="176">
        <f t="shared" si="99"/>
        <v>834.08190524281531</v>
      </c>
      <c r="G199" s="176">
        <f t="shared" si="99"/>
        <v>886.32853025419467</v>
      </c>
      <c r="H199" s="176">
        <f t="shared" si="99"/>
        <v>941.62321379073092</v>
      </c>
      <c r="I199" s="176">
        <f t="shared" si="99"/>
        <v>1000.4138032974957</v>
      </c>
      <c r="J199" s="176">
        <f t="shared" si="99"/>
        <v>1063.0088704971524</v>
      </c>
      <c r="K199" s="176">
        <f t="shared" si="99"/>
        <v>1129.6421835970318</v>
      </c>
      <c r="L199" s="176">
        <f t="shared" si="99"/>
        <v>1200.8579946370496</v>
      </c>
    </row>
    <row r="200" spans="1:12">
      <c r="A200" s="35" t="s">
        <v>1096</v>
      </c>
      <c r="B200" s="176">
        <f>B181*B$20</f>
        <v>422.0159060109429</v>
      </c>
      <c r="C200" s="176">
        <f t="shared" ref="C200:L200" si="100">C181*C$20</f>
        <v>441.92614785375042</v>
      </c>
      <c r="D200" s="176">
        <f t="shared" si="100"/>
        <v>462.05274060237343</v>
      </c>
      <c r="E200" s="176">
        <f t="shared" si="100"/>
        <v>482.63092730308421</v>
      </c>
      <c r="F200" s="176">
        <f t="shared" si="100"/>
        <v>503.9388620643922</v>
      </c>
      <c r="G200" s="176">
        <f t="shared" si="100"/>
        <v>526.40736046352833</v>
      </c>
      <c r="H200" s="176">
        <f t="shared" si="100"/>
        <v>550.48189946213063</v>
      </c>
      <c r="I200" s="176">
        <f t="shared" si="100"/>
        <v>576.99338256897965</v>
      </c>
      <c r="J200" s="176">
        <f t="shared" si="100"/>
        <v>607.39131153150186</v>
      </c>
      <c r="K200" s="176">
        <f t="shared" si="100"/>
        <v>643.59823961645623</v>
      </c>
      <c r="L200" s="176">
        <f t="shared" si="100"/>
        <v>687.56845277667628</v>
      </c>
    </row>
    <row r="201" spans="1:12">
      <c r="A201" s="35" t="s">
        <v>1097</v>
      </c>
      <c r="B201" s="176">
        <f>B$97+B200</f>
        <v>765.34274317911309</v>
      </c>
      <c r="C201" s="176">
        <f t="shared" ref="C201:L201" si="101">C$97+C200</f>
        <v>817.22422776393023</v>
      </c>
      <c r="D201" s="176">
        <f t="shared" si="101"/>
        <v>872.55462740343387</v>
      </c>
      <c r="E201" s="176">
        <f t="shared" si="101"/>
        <v>930.76699778522789</v>
      </c>
      <c r="F201" s="176">
        <f t="shared" si="101"/>
        <v>990.74162449202731</v>
      </c>
      <c r="G201" s="176">
        <f t="shared" si="101"/>
        <v>1051.7535592376507</v>
      </c>
      <c r="H201" s="176">
        <f t="shared" si="101"/>
        <v>1113.5954376700042</v>
      </c>
      <c r="I201" s="176">
        <f t="shared" si="101"/>
        <v>1177.3721644658108</v>
      </c>
      <c r="J201" s="176">
        <f t="shared" si="101"/>
        <v>1245.4495175910859</v>
      </c>
      <c r="K201" s="176">
        <f t="shared" si="101"/>
        <v>1321.4051577451355</v>
      </c>
      <c r="L201" s="176">
        <f t="shared" si="101"/>
        <v>1408.6362064390569</v>
      </c>
    </row>
    <row r="202" spans="1:12">
      <c r="A202" s="35" t="s">
        <v>986</v>
      </c>
      <c r="B202" s="176">
        <f>B182*B$20</f>
        <v>547.68929134653445</v>
      </c>
      <c r="C202" s="176">
        <f t="shared" ref="C202:L202" si="102">C182*C$20</f>
        <v>573.23453340034712</v>
      </c>
      <c r="D202" s="176">
        <f t="shared" si="102"/>
        <v>600.5612168348016</v>
      </c>
      <c r="E202" s="176">
        <f t="shared" si="102"/>
        <v>629.75568189747707</v>
      </c>
      <c r="F202" s="176">
        <f t="shared" si="102"/>
        <v>660.66002321471842</v>
      </c>
      <c r="G202" s="176">
        <f t="shared" si="102"/>
        <v>693.44096459592447</v>
      </c>
      <c r="H202" s="176">
        <f t="shared" si="102"/>
        <v>728.33490422081695</v>
      </c>
      <c r="I202" s="176">
        <f t="shared" si="102"/>
        <v>766.65387058094223</v>
      </c>
      <c r="J202" s="176">
        <f t="shared" si="102"/>
        <v>811.16933878275631</v>
      </c>
      <c r="K202" s="176">
        <f t="shared" si="102"/>
        <v>865.78954641543419</v>
      </c>
      <c r="L202" s="176">
        <f t="shared" si="102"/>
        <v>934.14159559459131</v>
      </c>
    </row>
    <row r="203" spans="1:12">
      <c r="A203" s="35" t="s">
        <v>987</v>
      </c>
      <c r="B203" s="176">
        <f>B$97+B202</f>
        <v>891.01612851470463</v>
      </c>
      <c r="C203" s="176">
        <f t="shared" ref="C203:L203" si="103">C$97+C202</f>
        <v>948.53261331052681</v>
      </c>
      <c r="D203" s="176">
        <f t="shared" si="103"/>
        <v>1011.063103635862</v>
      </c>
      <c r="E203" s="176">
        <f t="shared" si="103"/>
        <v>1077.8917523796208</v>
      </c>
      <c r="F203" s="176">
        <f t="shared" si="103"/>
        <v>1147.4627856423535</v>
      </c>
      <c r="G203" s="176">
        <f t="shared" si="103"/>
        <v>1218.787163370047</v>
      </c>
      <c r="H203" s="176">
        <f t="shared" si="103"/>
        <v>1291.4484424286907</v>
      </c>
      <c r="I203" s="176">
        <f t="shared" si="103"/>
        <v>1367.0326524777734</v>
      </c>
      <c r="J203" s="176">
        <f t="shared" si="103"/>
        <v>1449.2275448423402</v>
      </c>
      <c r="K203" s="176">
        <f t="shared" si="103"/>
        <v>1543.5964645441134</v>
      </c>
      <c r="L203" s="176">
        <f t="shared" si="103"/>
        <v>1655.209349256972</v>
      </c>
    </row>
    <row r="204" spans="1:12">
      <c r="A204" s="35" t="s">
        <v>1098</v>
      </c>
      <c r="B204" s="176">
        <f>B183*B$20</f>
        <v>688.14100792556496</v>
      </c>
      <c r="C204" s="176">
        <f t="shared" ref="C204:L204" si="104">C183*C$20</f>
        <v>718.9563602216723</v>
      </c>
      <c r="D204" s="176">
        <f t="shared" si="104"/>
        <v>751.1246130654938</v>
      </c>
      <c r="E204" s="176">
        <f t="shared" si="104"/>
        <v>785.93309842809208</v>
      </c>
      <c r="F204" s="176">
        <f t="shared" si="104"/>
        <v>825.0945632073732</v>
      </c>
      <c r="G204" s="176">
        <f t="shared" si="104"/>
        <v>870.40732091735879</v>
      </c>
      <c r="H204" s="176">
        <f t="shared" si="104"/>
        <v>923.0836374773437</v>
      </c>
      <c r="I204" s="176">
        <f t="shared" si="104"/>
        <v>984.56783027391805</v>
      </c>
      <c r="J204" s="176">
        <f t="shared" si="104"/>
        <v>1057.4464438087571</v>
      </c>
      <c r="K204" s="176">
        <f t="shared" si="104"/>
        <v>1144.8847941838121</v>
      </c>
      <c r="L204" s="176">
        <f t="shared" si="104"/>
        <v>1249.865474332491</v>
      </c>
    </row>
    <row r="205" spans="1:12">
      <c r="A205" s="35" t="s">
        <v>1099</v>
      </c>
      <c r="B205" s="176">
        <f>B$97+B204</f>
        <v>1031.4678450937351</v>
      </c>
      <c r="C205" s="176">
        <f t="shared" ref="C205:L205" si="105">C$97+C204</f>
        <v>1094.2544401318521</v>
      </c>
      <c r="D205" s="176">
        <f t="shared" si="105"/>
        <v>1161.6264998665542</v>
      </c>
      <c r="E205" s="176">
        <f t="shared" si="105"/>
        <v>1234.0691689102359</v>
      </c>
      <c r="F205" s="176">
        <f t="shared" si="105"/>
        <v>1311.8973256350082</v>
      </c>
      <c r="G205" s="176">
        <f t="shared" si="105"/>
        <v>1395.7535196914812</v>
      </c>
      <c r="H205" s="176">
        <f t="shared" si="105"/>
        <v>1486.1971756852172</v>
      </c>
      <c r="I205" s="176">
        <f t="shared" si="105"/>
        <v>1584.9466121707492</v>
      </c>
      <c r="J205" s="176">
        <f t="shared" si="105"/>
        <v>1695.5046498683409</v>
      </c>
      <c r="K205" s="176">
        <f t="shared" si="105"/>
        <v>1822.6917123124913</v>
      </c>
      <c r="L205" s="176">
        <f t="shared" si="105"/>
        <v>1970.9332279948717</v>
      </c>
    </row>
    <row r="206" spans="1:12">
      <c r="A206" s="35" t="s">
        <v>1100</v>
      </c>
      <c r="B206" s="176">
        <f>B184*B$20</f>
        <v>828.00442867546394</v>
      </c>
      <c r="C206" s="176">
        <f t="shared" ref="C206:L206" si="106">C184*C$20</f>
        <v>865.31290370238037</v>
      </c>
      <c r="D206" s="176">
        <f t="shared" si="106"/>
        <v>903.28829223536297</v>
      </c>
      <c r="E206" s="176">
        <f t="shared" si="106"/>
        <v>944.8533210996037</v>
      </c>
      <c r="F206" s="176">
        <f t="shared" si="106"/>
        <v>994.32280541934267</v>
      </c>
      <c r="G206" s="176">
        <f t="shared" si="106"/>
        <v>1055.6973287988542</v>
      </c>
      <c r="H206" s="176">
        <f t="shared" si="106"/>
        <v>1131.5866437533668</v>
      </c>
      <c r="I206" s="176">
        <f t="shared" si="106"/>
        <v>1223.3772268120811</v>
      </c>
      <c r="J206" s="176">
        <f t="shared" si="106"/>
        <v>1332.6564954446392</v>
      </c>
      <c r="K206" s="176">
        <f t="shared" si="106"/>
        <v>1460.4744953715763</v>
      </c>
      <c r="L206" s="176">
        <f t="shared" si="106"/>
        <v>1607.9990933738211</v>
      </c>
    </row>
    <row r="207" spans="1:12">
      <c r="A207" s="35" t="s">
        <v>1101</v>
      </c>
      <c r="B207" s="176">
        <f>B$97+B206</f>
        <v>1171.3312658436341</v>
      </c>
      <c r="C207" s="176">
        <f t="shared" ref="C207:L207" si="107">C$97+C206</f>
        <v>1240.6109836125602</v>
      </c>
      <c r="D207" s="176">
        <f t="shared" si="107"/>
        <v>1313.7901790364235</v>
      </c>
      <c r="E207" s="176">
        <f t="shared" si="107"/>
        <v>1392.9893915817474</v>
      </c>
      <c r="F207" s="176">
        <f t="shared" si="107"/>
        <v>1481.1255678469777</v>
      </c>
      <c r="G207" s="176">
        <f t="shared" si="107"/>
        <v>1581.0435275729765</v>
      </c>
      <c r="H207" s="176">
        <f t="shared" si="107"/>
        <v>1694.7001819612406</v>
      </c>
      <c r="I207" s="176">
        <f t="shared" si="107"/>
        <v>1823.7560087089123</v>
      </c>
      <c r="J207" s="176">
        <f t="shared" si="107"/>
        <v>1970.7147015042233</v>
      </c>
      <c r="K207" s="176">
        <f t="shared" si="107"/>
        <v>2138.2814135002554</v>
      </c>
      <c r="L207" s="176">
        <f t="shared" si="107"/>
        <v>2329.0668470362016</v>
      </c>
    </row>
    <row r="208" spans="1:12">
      <c r="B208" s="176"/>
      <c r="C208" s="176"/>
      <c r="D208" s="176"/>
      <c r="E208" s="176"/>
      <c r="F208" s="176"/>
      <c r="G208" s="176"/>
      <c r="H208" s="176"/>
      <c r="I208" s="176"/>
      <c r="J208" s="176"/>
      <c r="K208" s="176"/>
      <c r="L208" s="176"/>
    </row>
    <row r="209" spans="1:12">
      <c r="A209" s="1255" t="s">
        <v>988</v>
      </c>
      <c r="B209" s="1256">
        <f>B191</f>
        <v>343.32683716817013</v>
      </c>
      <c r="C209" s="1256">
        <f>C191</f>
        <v>375.29807991017975</v>
      </c>
      <c r="D209" s="1256">
        <f>D195</f>
        <v>530.19506624778842</v>
      </c>
      <c r="E209" s="1256">
        <f>E197</f>
        <v>673.54328739439416</v>
      </c>
      <c r="F209" s="1256">
        <f>F197</f>
        <v>718.44850505899308</v>
      </c>
      <c r="G209" s="1256">
        <f>G199</f>
        <v>886.32853025419467</v>
      </c>
      <c r="H209" s="1256">
        <f>H201</f>
        <v>1113.5954376700042</v>
      </c>
      <c r="I209" s="1256">
        <f>C203</f>
        <v>948.53261331052681</v>
      </c>
      <c r="J209" s="1256">
        <f>C205</f>
        <v>1094.2544401318521</v>
      </c>
      <c r="K209" s="1256">
        <f>C207</f>
        <v>1240.6109836125602</v>
      </c>
      <c r="L209" s="1256">
        <f>L193</f>
        <v>2562.879213947595</v>
      </c>
    </row>
    <row r="210" spans="1:12">
      <c r="A210" s="1255" t="s">
        <v>991</v>
      </c>
      <c r="B210" s="1256">
        <v>0</v>
      </c>
      <c r="C210" s="1256">
        <v>0</v>
      </c>
      <c r="D210" s="1256">
        <f>D194</f>
        <v>119.69317944672788</v>
      </c>
      <c r="E210" s="1256">
        <f>E196</f>
        <v>225.40721691225036</v>
      </c>
      <c r="F210" s="1256">
        <f>F196</f>
        <v>231.64574263135796</v>
      </c>
      <c r="G210" s="1256">
        <f>G198</f>
        <v>360.98233148007233</v>
      </c>
      <c r="H210" s="1256">
        <f>H200</f>
        <v>550.48189946213063</v>
      </c>
      <c r="I210" s="1256">
        <f>G202</f>
        <v>693.44096459592447</v>
      </c>
      <c r="J210" s="1256">
        <f>J204</f>
        <v>1057.4464438087571</v>
      </c>
      <c r="K210" s="1256">
        <f>K206</f>
        <v>1460.4744953715763</v>
      </c>
      <c r="L210" s="1256">
        <f>L192</f>
        <v>1841.8114602852143</v>
      </c>
    </row>
    <row r="211" spans="1:12" ht="8.25" customHeight="1">
      <c r="B211" s="176"/>
      <c r="C211" s="176"/>
      <c r="D211" s="176"/>
      <c r="E211" s="176"/>
      <c r="F211" s="176"/>
      <c r="G211" s="176"/>
      <c r="H211" s="176"/>
      <c r="I211" s="176"/>
      <c r="J211" s="176"/>
      <c r="K211" s="176"/>
      <c r="L211" s="176"/>
    </row>
    <row r="212" spans="1:12">
      <c r="A212" s="35" t="s">
        <v>220</v>
      </c>
      <c r="B212" s="176">
        <f>(B167-B191)*0.7</f>
        <v>961.31514407087616</v>
      </c>
      <c r="C212" s="176">
        <f t="shared" ref="C212:L212" si="108">(C167-C191)*0.7</f>
        <v>998.64032579916773</v>
      </c>
      <c r="D212" s="176">
        <f t="shared" si="108"/>
        <v>1037.4933104802783</v>
      </c>
      <c r="E212" s="176">
        <f t="shared" si="108"/>
        <v>1075.1394811105047</v>
      </c>
      <c r="F212" s="176">
        <f t="shared" si="108"/>
        <v>1107.958463369873</v>
      </c>
      <c r="G212" s="176">
        <f t="shared" si="108"/>
        <v>1133.5594737166837</v>
      </c>
      <c r="H212" s="176">
        <f t="shared" si="108"/>
        <v>1151.1079022883164</v>
      </c>
      <c r="I212" s="176">
        <f t="shared" si="108"/>
        <v>1161.8187067187316</v>
      </c>
      <c r="J212" s="176">
        <f t="shared" si="108"/>
        <v>1167.9235190811714</v>
      </c>
      <c r="K212" s="176">
        <f t="shared" si="108"/>
        <v>1172.5287453565577</v>
      </c>
      <c r="L212" s="176">
        <f t="shared" si="108"/>
        <v>1177.743997648555</v>
      </c>
    </row>
    <row r="214" spans="1:12">
      <c r="A214" s="188" t="s">
        <v>221</v>
      </c>
      <c r="B214" s="142"/>
      <c r="C214" s="142"/>
      <c r="D214" s="142"/>
      <c r="E214" s="142"/>
      <c r="F214" s="142"/>
      <c r="G214" s="142"/>
      <c r="H214" s="142"/>
      <c r="I214" s="142"/>
      <c r="J214" s="142"/>
      <c r="K214" s="142"/>
      <c r="L214" s="142"/>
    </row>
    <row r="215" spans="1:12">
      <c r="A215" s="35" t="s">
        <v>989</v>
      </c>
      <c r="B215" s="176">
        <f>(B186-B210)*B$18/100</f>
        <v>0</v>
      </c>
      <c r="C215" s="176">
        <f t="shared" ref="C215:L215" si="109">(C186-C210)*C$18/100</f>
        <v>0</v>
      </c>
      <c r="D215" s="176">
        <f t="shared" si="109"/>
        <v>108.03923978610541</v>
      </c>
      <c r="E215" s="176">
        <f t="shared" si="109"/>
        <v>386.27329986891988</v>
      </c>
      <c r="F215" s="176">
        <f t="shared" si="109"/>
        <v>753.17644276094256</v>
      </c>
      <c r="G215" s="176">
        <f t="shared" si="109"/>
        <v>1112.7218656639179</v>
      </c>
      <c r="H215" s="176">
        <f t="shared" si="109"/>
        <v>1607.5521479943629</v>
      </c>
      <c r="I215" s="176">
        <f t="shared" si="109"/>
        <v>2192.6196997264869</v>
      </c>
      <c r="J215" s="176">
        <f t="shared" si="109"/>
        <v>2765.1229490712099</v>
      </c>
      <c r="K215" s="176">
        <f t="shared" si="109"/>
        <v>3609.2206916200794</v>
      </c>
      <c r="L215" s="176">
        <f t="shared" si="109"/>
        <v>4297.5600739988331</v>
      </c>
    </row>
    <row r="216" spans="1:12">
      <c r="A216" s="35" t="s">
        <v>223</v>
      </c>
      <c r="B216" s="176">
        <f>(B167-B191-B212)*B$17/100</f>
        <v>0</v>
      </c>
      <c r="C216" s="176">
        <f t="shared" ref="C216:L216" si="110">(C167-C191-C212)*C$17/100</f>
        <v>213.9943555283931</v>
      </c>
      <c r="D216" s="176">
        <f t="shared" si="110"/>
        <v>444.63999020583373</v>
      </c>
      <c r="E216" s="176">
        <f t="shared" si="110"/>
        <v>460.77406333307363</v>
      </c>
      <c r="F216" s="176">
        <f t="shared" si="110"/>
        <v>474.83934144423142</v>
      </c>
      <c r="G216" s="176">
        <f t="shared" si="110"/>
        <v>485.81120302143586</v>
      </c>
      <c r="H216" s="176">
        <f t="shared" si="110"/>
        <v>493.33195812356416</v>
      </c>
      <c r="I216" s="176">
        <f t="shared" si="110"/>
        <v>497.92230287945654</v>
      </c>
      <c r="J216" s="176">
        <f t="shared" si="110"/>
        <v>500.53865103478807</v>
      </c>
      <c r="K216" s="176">
        <f t="shared" si="110"/>
        <v>502.51231943852486</v>
      </c>
      <c r="L216" s="176">
        <f t="shared" si="110"/>
        <v>504.74742756366663</v>
      </c>
    </row>
    <row r="217" spans="1:12">
      <c r="A217" s="35" t="s">
        <v>224</v>
      </c>
      <c r="B217" s="176">
        <f>B212*B$17/100</f>
        <v>0</v>
      </c>
      <c r="C217" s="176">
        <f t="shared" ref="C217:L217" si="111">C212*C$17/100</f>
        <v>499.32016289958386</v>
      </c>
      <c r="D217" s="176">
        <f t="shared" si="111"/>
        <v>1037.4933104802783</v>
      </c>
      <c r="E217" s="176">
        <f t="shared" si="111"/>
        <v>1075.1394811105047</v>
      </c>
      <c r="F217" s="176">
        <f t="shared" si="111"/>
        <v>1107.958463369873</v>
      </c>
      <c r="G217" s="176">
        <f t="shared" si="111"/>
        <v>1133.5594737166837</v>
      </c>
      <c r="H217" s="176">
        <f t="shared" si="111"/>
        <v>1151.1079022883164</v>
      </c>
      <c r="I217" s="176">
        <f t="shared" si="111"/>
        <v>1161.8187067187316</v>
      </c>
      <c r="J217" s="176">
        <f t="shared" si="111"/>
        <v>1167.9235190811714</v>
      </c>
      <c r="K217" s="176">
        <f t="shared" si="111"/>
        <v>1172.5287453565577</v>
      </c>
      <c r="L217" s="176">
        <f t="shared" si="111"/>
        <v>1177.743997648555</v>
      </c>
    </row>
    <row r="218" spans="1:12">
      <c r="A218" s="432" t="s">
        <v>992</v>
      </c>
      <c r="B218" s="176">
        <f>B209*B$17/100</f>
        <v>0</v>
      </c>
      <c r="C218" s="176">
        <f t="shared" ref="C218:L218" si="112">C209*C$17/100</f>
        <v>187.64903995508988</v>
      </c>
      <c r="D218" s="176">
        <f t="shared" si="112"/>
        <v>530.19506624778842</v>
      </c>
      <c r="E218" s="176">
        <f t="shared" si="112"/>
        <v>673.54328739439416</v>
      </c>
      <c r="F218" s="176">
        <f t="shared" si="112"/>
        <v>718.44850505899308</v>
      </c>
      <c r="G218" s="176">
        <f t="shared" si="112"/>
        <v>886.32853025419467</v>
      </c>
      <c r="H218" s="176">
        <f t="shared" si="112"/>
        <v>1113.5954376700042</v>
      </c>
      <c r="I218" s="176">
        <f t="shared" si="112"/>
        <v>948.53261331052681</v>
      </c>
      <c r="J218" s="176">
        <f t="shared" si="112"/>
        <v>1094.2544401318521</v>
      </c>
      <c r="K218" s="176">
        <f t="shared" si="112"/>
        <v>1240.6109836125602</v>
      </c>
      <c r="L218" s="176">
        <f t="shared" si="112"/>
        <v>2562.879213947595</v>
      </c>
    </row>
    <row r="220" spans="1:12">
      <c r="A220" s="188" t="s">
        <v>225</v>
      </c>
    </row>
    <row r="221" spans="1:12">
      <c r="A221" s="35" t="s">
        <v>989</v>
      </c>
      <c r="B221" s="806">
        <f>ECO!G$25</f>
        <v>344597.85213533521</v>
      </c>
      <c r="C221" s="806">
        <f>ECO!H$25</f>
        <v>414304.81605006225</v>
      </c>
      <c r="D221" s="806">
        <f>ECO!I$25</f>
        <v>442350.21550896659</v>
      </c>
      <c r="E221" s="806">
        <f>ECO!J$25</f>
        <v>469233.51323826663</v>
      </c>
      <c r="F221" s="806">
        <f>ECO!K$25</f>
        <v>495401.1870190092</v>
      </c>
      <c r="G221" s="806">
        <f>ECO!L$25</f>
        <v>521787.12866346852</v>
      </c>
      <c r="H221" s="806">
        <f>ECO!M$25</f>
        <v>548271.32893728022</v>
      </c>
      <c r="I221" s="806">
        <f>ECO!N$25</f>
        <v>576098.01196940849</v>
      </c>
      <c r="J221" s="806">
        <f>ECO!O$25</f>
        <v>605335.14753131359</v>
      </c>
      <c r="K221" s="806">
        <f>ECO!P$25</f>
        <v>636054.14301760378</v>
      </c>
      <c r="L221" s="806">
        <f>ECO!Q$25</f>
        <v>668330.01713827392</v>
      </c>
    </row>
    <row r="222" spans="1:12">
      <c r="A222" s="35" t="s">
        <v>223</v>
      </c>
      <c r="B222" s="806">
        <f>ECO!G$25</f>
        <v>344597.85213533521</v>
      </c>
      <c r="C222" s="806">
        <f>ECO!H$25</f>
        <v>414304.81605006225</v>
      </c>
      <c r="D222" s="806">
        <f>ECO!I$25</f>
        <v>442350.21550896659</v>
      </c>
      <c r="E222" s="806">
        <f>ECO!J$25</f>
        <v>469233.51323826663</v>
      </c>
      <c r="F222" s="806">
        <f>ECO!K$25</f>
        <v>495401.1870190092</v>
      </c>
      <c r="G222" s="806">
        <f>ECO!L$25</f>
        <v>521787.12866346852</v>
      </c>
      <c r="H222" s="806">
        <f>ECO!M$25</f>
        <v>548271.32893728022</v>
      </c>
      <c r="I222" s="806">
        <f>ECO!N$25</f>
        <v>576098.01196940849</v>
      </c>
      <c r="J222" s="806">
        <f>ECO!O$25</f>
        <v>605335.14753131359</v>
      </c>
      <c r="K222" s="806">
        <f>ECO!P$25</f>
        <v>636054.14301760378</v>
      </c>
      <c r="L222" s="806">
        <f>ECO!Q$25</f>
        <v>668330.01713827392</v>
      </c>
    </row>
    <row r="223" spans="1:12">
      <c r="A223" s="35" t="s">
        <v>224</v>
      </c>
      <c r="B223" s="806">
        <f>ECO!G$25-270000</f>
        <v>74597.852135335212</v>
      </c>
      <c r="C223" s="806">
        <f t="shared" ref="C223:L223" si="113">B223*C222/B222</f>
        <v>89687.875925941262</v>
      </c>
      <c r="D223" s="806">
        <f t="shared" si="113"/>
        <v>95759.087771713617</v>
      </c>
      <c r="E223" s="806">
        <f t="shared" si="113"/>
        <v>101578.73016499502</v>
      </c>
      <c r="F223" s="806">
        <f t="shared" si="113"/>
        <v>107243.45572066936</v>
      </c>
      <c r="G223" s="806">
        <f t="shared" si="113"/>
        <v>112955.43146586909</v>
      </c>
      <c r="H223" s="806">
        <f t="shared" si="113"/>
        <v>118688.67804214924</v>
      </c>
      <c r="I223" s="806">
        <f t="shared" si="113"/>
        <v>124712.54259436447</v>
      </c>
      <c r="J223" s="806">
        <f t="shared" si="113"/>
        <v>131041.73908236573</v>
      </c>
      <c r="K223" s="806">
        <f t="shared" si="113"/>
        <v>137691.72563577097</v>
      </c>
      <c r="L223" s="806">
        <f t="shared" si="113"/>
        <v>144678.74215451253</v>
      </c>
    </row>
    <row r="224" spans="1:12">
      <c r="A224" s="432" t="s">
        <v>992</v>
      </c>
      <c r="B224" s="806">
        <f>ECO!G$25*B$19</f>
        <v>172298.92606766761</v>
      </c>
      <c r="C224" s="806">
        <f>ECO!H$25*C$19</f>
        <v>207152.40802503112</v>
      </c>
      <c r="D224" s="806">
        <f>ECO!I$25*D$19</f>
        <v>221175.1077544833</v>
      </c>
      <c r="E224" s="806">
        <f>ECO!J$25*E$19</f>
        <v>234616.75661913332</v>
      </c>
      <c r="F224" s="806">
        <f>ECO!K$25*F$19</f>
        <v>247700.5935095046</v>
      </c>
      <c r="G224" s="806">
        <f>ECO!L$25*G$19</f>
        <v>260893.56433173426</v>
      </c>
      <c r="H224" s="806">
        <f>ECO!M$25*H$19</f>
        <v>274135.66446864011</v>
      </c>
      <c r="I224" s="806">
        <f>ECO!N$25*I$19</f>
        <v>288049.00598470424</v>
      </c>
      <c r="J224" s="806">
        <f>ECO!O$25*J$19</f>
        <v>302667.57376565679</v>
      </c>
      <c r="K224" s="806">
        <f>ECO!P$25*K$19</f>
        <v>318027.07150880189</v>
      </c>
      <c r="L224" s="806">
        <f>ECO!Q$25*L$19</f>
        <v>334165.00856913696</v>
      </c>
    </row>
    <row r="226" spans="1:12">
      <c r="A226" s="189" t="s">
        <v>226</v>
      </c>
      <c r="B226" s="19"/>
      <c r="C226" s="19"/>
      <c r="D226" s="19"/>
      <c r="E226" s="19"/>
      <c r="F226" s="19"/>
      <c r="G226" s="19"/>
      <c r="H226" s="19"/>
      <c r="I226" s="19"/>
      <c r="J226" s="19"/>
      <c r="K226" s="19"/>
      <c r="L226" s="19"/>
    </row>
    <row r="227" spans="1:12">
      <c r="A227" s="35" t="s">
        <v>989</v>
      </c>
      <c r="B227" s="155">
        <f>B215*B221*12/1000</f>
        <v>0</v>
      </c>
      <c r="C227" s="804">
        <f t="shared" ref="C227:L227" si="114">C215*C221*12/1000</f>
        <v>0</v>
      </c>
      <c r="D227" s="804">
        <f t="shared" si="114"/>
        <v>573494.17203370377</v>
      </c>
      <c r="E227" s="804">
        <f t="shared" si="114"/>
        <v>2175028.5308115813</v>
      </c>
      <c r="F227" s="804">
        <f t="shared" si="114"/>
        <v>4477494.0453423094</v>
      </c>
      <c r="G227" s="804">
        <f t="shared" si="114"/>
        <v>6967247.3674300024</v>
      </c>
      <c r="H227" s="804">
        <f t="shared" si="114"/>
        <v>10576497.030202186</v>
      </c>
      <c r="I227" s="804">
        <f t="shared" si="114"/>
        <v>15157966.200208686</v>
      </c>
      <c r="J227" s="804">
        <f t="shared" si="114"/>
        <v>20085913.299818899</v>
      </c>
      <c r="K227" s="804">
        <f t="shared" si="114"/>
        <v>27547917.287637755</v>
      </c>
      <c r="L227" s="804">
        <f t="shared" si="114"/>
        <v>34466260.774900824</v>
      </c>
    </row>
    <row r="228" spans="1:12">
      <c r="A228" s="35" t="s">
        <v>223</v>
      </c>
      <c r="B228" s="155">
        <f>B216*B222*12/1000</f>
        <v>0</v>
      </c>
      <c r="C228" s="804">
        <f t="shared" ref="C228:L228" si="115">C216*C222*12/1000</f>
        <v>1063906.7052353104</v>
      </c>
      <c r="D228" s="804">
        <f t="shared" si="115"/>
        <v>2360239.1458974644</v>
      </c>
      <c r="E228" s="804">
        <f t="shared" si="115"/>
        <v>2594527.5905621964</v>
      </c>
      <c r="F228" s="804">
        <f t="shared" si="115"/>
        <v>2822831.680737562</v>
      </c>
      <c r="G228" s="804">
        <f t="shared" si="115"/>
        <v>3041880.3923652042</v>
      </c>
      <c r="H228" s="804">
        <f t="shared" si="115"/>
        <v>3245757.2194516459</v>
      </c>
      <c r="I228" s="804">
        <f t="shared" si="115"/>
        <v>3442224.5856490154</v>
      </c>
      <c r="J228" s="804">
        <f t="shared" si="115"/>
        <v>3635923.6580312178</v>
      </c>
      <c r="K228" s="804">
        <f t="shared" si="115"/>
        <v>3835500.5123551111</v>
      </c>
      <c r="L228" s="804">
        <f t="shared" si="115"/>
        <v>4048054.2829695004</v>
      </c>
    </row>
    <row r="229" spans="1:12">
      <c r="A229" s="35" t="s">
        <v>224</v>
      </c>
      <c r="B229" s="155">
        <f t="shared" ref="B229:L230" si="116">B217*B223*12/1000</f>
        <v>0</v>
      </c>
      <c r="C229" s="804">
        <f t="shared" ref="C229:L229" si="117">C217*C223*12/1000</f>
        <v>537395.57780950388</v>
      </c>
      <c r="D229" s="804">
        <f t="shared" si="117"/>
        <v>1192192.9557701605</v>
      </c>
      <c r="E229" s="804">
        <f t="shared" si="117"/>
        <v>1310535.6388974804</v>
      </c>
      <c r="F229" s="804">
        <f t="shared" si="117"/>
        <v>1425855.532880974</v>
      </c>
      <c r="G229" s="804">
        <f t="shared" si="117"/>
        <v>1536500.3933506978</v>
      </c>
      <c r="H229" s="804">
        <f t="shared" si="117"/>
        <v>1639481.7024776612</v>
      </c>
      <c r="I229" s="804">
        <f t="shared" si="117"/>
        <v>1738720.3793830711</v>
      </c>
      <c r="J229" s="804">
        <f t="shared" si="117"/>
        <v>1836560.7486671191</v>
      </c>
      <c r="K229" s="804">
        <f t="shared" si="117"/>
        <v>1937370.0756682786</v>
      </c>
      <c r="L229" s="804">
        <f t="shared" si="117"/>
        <v>2044734.2419178414</v>
      </c>
    </row>
    <row r="230" spans="1:12">
      <c r="A230" s="432" t="s">
        <v>992</v>
      </c>
      <c r="B230" s="155">
        <f t="shared" si="116"/>
        <v>0</v>
      </c>
      <c r="C230" s="804">
        <f t="shared" si="116"/>
        <v>466463.4058833858</v>
      </c>
      <c r="D230" s="804">
        <f t="shared" si="116"/>
        <v>1407191.4108990002</v>
      </c>
      <c r="E230" s="804">
        <f t="shared" si="116"/>
        <v>1896294.4983727382</v>
      </c>
      <c r="F230" s="804">
        <f t="shared" si="116"/>
        <v>2135521.4533095467</v>
      </c>
      <c r="G230" s="804">
        <f t="shared" si="116"/>
        <v>2774848.9131230908</v>
      </c>
      <c r="H230" s="804">
        <f t="shared" si="116"/>
        <v>3663314.7030589529</v>
      </c>
      <c r="I230" s="804">
        <f t="shared" si="116"/>
        <v>3278686.5168980532</v>
      </c>
      <c r="J230" s="804">
        <f t="shared" si="116"/>
        <v>3974344.0377240581</v>
      </c>
      <c r="K230" s="804">
        <f t="shared" si="116"/>
        <v>4734574.5359994816</v>
      </c>
      <c r="L230" s="804">
        <f t="shared" si="116"/>
        <v>10277094.653885532</v>
      </c>
    </row>
    <row r="231" spans="1:12">
      <c r="A231" s="40" t="s">
        <v>227</v>
      </c>
      <c r="B231" s="157">
        <f>B227+B228+B229+B230</f>
        <v>0</v>
      </c>
      <c r="C231" s="805">
        <f t="shared" ref="C231:L231" si="118">C227+C228+C229+C230</f>
        <v>2067765.6889281999</v>
      </c>
      <c r="D231" s="805">
        <f t="shared" si="118"/>
        <v>5533117.684600329</v>
      </c>
      <c r="E231" s="805">
        <f t="shared" si="118"/>
        <v>7976386.2586439969</v>
      </c>
      <c r="F231" s="805">
        <f t="shared" si="118"/>
        <v>10861702.712270394</v>
      </c>
      <c r="G231" s="805">
        <f t="shared" si="118"/>
        <v>14320477.066268995</v>
      </c>
      <c r="H231" s="805">
        <f t="shared" si="118"/>
        <v>19125050.655190445</v>
      </c>
      <c r="I231" s="805">
        <f t="shared" si="118"/>
        <v>23617597.682138827</v>
      </c>
      <c r="J231" s="805">
        <f t="shared" si="118"/>
        <v>29532741.744241294</v>
      </c>
      <c r="K231" s="805">
        <f t="shared" si="118"/>
        <v>38055362.411660627</v>
      </c>
      <c r="L231" s="805">
        <f t="shared" si="118"/>
        <v>50836143.953673691</v>
      </c>
    </row>
    <row r="233" spans="1:12">
      <c r="A233" s="28" t="s">
        <v>478</v>
      </c>
      <c r="B233" s="19">
        <v>0.15</v>
      </c>
      <c r="C233" s="19">
        <f>B233</f>
        <v>0.15</v>
      </c>
      <c r="D233" s="19">
        <f t="shared" ref="D233:L233" si="119">C233</f>
        <v>0.15</v>
      </c>
      <c r="E233" s="19">
        <f t="shared" si="119"/>
        <v>0.15</v>
      </c>
      <c r="F233" s="19">
        <f t="shared" si="119"/>
        <v>0.15</v>
      </c>
      <c r="G233" s="19">
        <f t="shared" si="119"/>
        <v>0.15</v>
      </c>
      <c r="H233" s="19">
        <f t="shared" si="119"/>
        <v>0.15</v>
      </c>
      <c r="I233" s="19">
        <f t="shared" si="119"/>
        <v>0.15</v>
      </c>
      <c r="J233" s="19">
        <f t="shared" si="119"/>
        <v>0.15</v>
      </c>
      <c r="K233" s="19">
        <f t="shared" si="119"/>
        <v>0.15</v>
      </c>
      <c r="L233" s="19">
        <f t="shared" si="119"/>
        <v>0.15</v>
      </c>
    </row>
    <row r="235" spans="1:12">
      <c r="A235" s="46" t="s">
        <v>477</v>
      </c>
    </row>
    <row r="236" spans="1:12">
      <c r="A236" s="189" t="s">
        <v>226</v>
      </c>
      <c r="B236" s="19"/>
      <c r="C236" s="19"/>
      <c r="D236" s="19"/>
      <c r="E236" s="19"/>
      <c r="F236" s="19"/>
      <c r="G236" s="19"/>
      <c r="H236" s="19"/>
      <c r="I236" s="19"/>
      <c r="J236" s="19"/>
      <c r="K236" s="19"/>
      <c r="L236" s="19"/>
    </row>
    <row r="237" spans="1:12">
      <c r="A237" s="35" t="s">
        <v>989</v>
      </c>
      <c r="B237" s="155">
        <f>B227*(1+B$137)</f>
        <v>0</v>
      </c>
      <c r="C237" s="804">
        <f t="shared" ref="C237:L237" si="120">C227*(1+C$137)</f>
        <v>0</v>
      </c>
      <c r="D237" s="804">
        <f t="shared" si="120"/>
        <v>659518.29783875926</v>
      </c>
      <c r="E237" s="804">
        <f t="shared" si="120"/>
        <v>2501282.8104333184</v>
      </c>
      <c r="F237" s="804">
        <f t="shared" si="120"/>
        <v>5149118.1521436553</v>
      </c>
      <c r="G237" s="804">
        <f t="shared" si="120"/>
        <v>8012334.4725445025</v>
      </c>
      <c r="H237" s="804">
        <f t="shared" si="120"/>
        <v>12162971.584732512</v>
      </c>
      <c r="I237" s="804">
        <f t="shared" si="120"/>
        <v>17431661.13023999</v>
      </c>
      <c r="J237" s="804">
        <f t="shared" si="120"/>
        <v>23098800.294791732</v>
      </c>
      <c r="K237" s="804">
        <f t="shared" si="120"/>
        <v>31680104.880783416</v>
      </c>
      <c r="L237" s="804">
        <f t="shared" si="120"/>
        <v>39636199.891135946</v>
      </c>
    </row>
    <row r="238" spans="1:12">
      <c r="A238" s="35" t="s">
        <v>223</v>
      </c>
      <c r="B238" s="155">
        <f>B228*(1+B$137)</f>
        <v>0</v>
      </c>
      <c r="C238" s="804">
        <f t="shared" ref="C238:L238" si="121">C228*(1+C$137)</f>
        <v>1223492.7110206068</v>
      </c>
      <c r="D238" s="804">
        <f t="shared" si="121"/>
        <v>2714275.0177820837</v>
      </c>
      <c r="E238" s="804">
        <f t="shared" si="121"/>
        <v>2983706.7291465257</v>
      </c>
      <c r="F238" s="804">
        <f t="shared" si="121"/>
        <v>3246256.432848196</v>
      </c>
      <c r="G238" s="804">
        <f t="shared" si="121"/>
        <v>3498162.4512199843</v>
      </c>
      <c r="H238" s="804">
        <f t="shared" si="121"/>
        <v>3732620.8023693925</v>
      </c>
      <c r="I238" s="804">
        <f t="shared" si="121"/>
        <v>3958558.2734963675</v>
      </c>
      <c r="J238" s="804">
        <f t="shared" si="121"/>
        <v>4181312.2067359001</v>
      </c>
      <c r="K238" s="804">
        <f t="shared" si="121"/>
        <v>4410825.5892083775</v>
      </c>
      <c r="L238" s="804">
        <f t="shared" si="121"/>
        <v>4655262.4254149254</v>
      </c>
    </row>
    <row r="239" spans="1:12">
      <c r="A239" s="35" t="s">
        <v>224</v>
      </c>
      <c r="B239" s="155">
        <f t="shared" ref="B239:L240" si="122">B229*(1+B$137)</f>
        <v>0</v>
      </c>
      <c r="C239" s="804">
        <f t="shared" ref="C239:L239" si="123">C229*(1+C$137)</f>
        <v>618004.91448092938</v>
      </c>
      <c r="D239" s="804">
        <f t="shared" si="123"/>
        <v>1371021.8991356846</v>
      </c>
      <c r="E239" s="804">
        <f t="shared" si="123"/>
        <v>1507115.9847321024</v>
      </c>
      <c r="F239" s="804">
        <f t="shared" si="123"/>
        <v>1639733.86281312</v>
      </c>
      <c r="G239" s="804">
        <f t="shared" si="123"/>
        <v>1766975.4523533024</v>
      </c>
      <c r="H239" s="804">
        <f t="shared" si="123"/>
        <v>1885403.9578493102</v>
      </c>
      <c r="I239" s="804">
        <f t="shared" si="123"/>
        <v>1999528.4362905317</v>
      </c>
      <c r="J239" s="804">
        <f t="shared" si="123"/>
        <v>2112044.8609671867</v>
      </c>
      <c r="K239" s="804">
        <f t="shared" si="123"/>
        <v>2227975.5870185201</v>
      </c>
      <c r="L239" s="804">
        <f t="shared" si="123"/>
        <v>2351444.3782055173</v>
      </c>
    </row>
    <row r="240" spans="1:12">
      <c r="A240" s="432" t="s">
        <v>992</v>
      </c>
      <c r="B240" s="155">
        <f t="shared" si="122"/>
        <v>0</v>
      </c>
      <c r="C240" s="804">
        <f t="shared" si="122"/>
        <v>536432.91676589358</v>
      </c>
      <c r="D240" s="804">
        <f t="shared" si="122"/>
        <v>1618270.1225338501</v>
      </c>
      <c r="E240" s="804">
        <f t="shared" si="122"/>
        <v>2180738.6731286487</v>
      </c>
      <c r="F240" s="804">
        <f t="shared" si="122"/>
        <v>2455849.6713059787</v>
      </c>
      <c r="G240" s="804">
        <f t="shared" si="122"/>
        <v>3191076.2500915541</v>
      </c>
      <c r="H240" s="804">
        <f t="shared" si="122"/>
        <v>4212811.9085177956</v>
      </c>
      <c r="I240" s="804">
        <f t="shared" si="122"/>
        <v>3770489.4944327609</v>
      </c>
      <c r="J240" s="804">
        <f t="shared" si="122"/>
        <v>4570495.6433826666</v>
      </c>
      <c r="K240" s="804">
        <f t="shared" si="122"/>
        <v>5444760.7163994033</v>
      </c>
      <c r="L240" s="804">
        <f t="shared" si="122"/>
        <v>11818658.851968361</v>
      </c>
    </row>
    <row r="241" spans="1:12">
      <c r="A241" s="40" t="s">
        <v>227</v>
      </c>
      <c r="B241" s="157">
        <f>B237+B238+B239+B240</f>
        <v>0</v>
      </c>
      <c r="C241" s="805">
        <f t="shared" ref="C241:L241" si="124">C237+C238+C239+C240</f>
        <v>2377930.5422674296</v>
      </c>
      <c r="D241" s="805">
        <f t="shared" si="124"/>
        <v>6363085.3372903783</v>
      </c>
      <c r="E241" s="805">
        <f t="shared" si="124"/>
        <v>9172844.1974405944</v>
      </c>
      <c r="F241" s="805">
        <f t="shared" si="124"/>
        <v>12490958.119110951</v>
      </c>
      <c r="G241" s="805">
        <f t="shared" si="124"/>
        <v>16468548.626209343</v>
      </c>
      <c r="H241" s="805">
        <f t="shared" si="124"/>
        <v>21993808.253469009</v>
      </c>
      <c r="I241" s="805">
        <f t="shared" si="124"/>
        <v>27160237.334459651</v>
      </c>
      <c r="J241" s="805">
        <f t="shared" si="124"/>
        <v>33962653.005877487</v>
      </c>
      <c r="K241" s="805">
        <f t="shared" si="124"/>
        <v>43763666.773409717</v>
      </c>
      <c r="L241" s="805">
        <f t="shared" si="124"/>
        <v>58461565.546724752</v>
      </c>
    </row>
    <row r="242" spans="1:12">
      <c r="B242" s="157"/>
      <c r="C242" s="805"/>
      <c r="D242" s="805"/>
      <c r="E242" s="805"/>
      <c r="F242" s="805"/>
      <c r="G242" s="805"/>
      <c r="H242" s="805"/>
      <c r="I242" s="805"/>
      <c r="J242" s="805"/>
      <c r="K242" s="805"/>
      <c r="L242" s="805"/>
    </row>
    <row r="243" spans="1:12">
      <c r="A243" s="169" t="s">
        <v>228</v>
      </c>
      <c r="B243" s="75"/>
      <c r="C243" s="75"/>
      <c r="D243" s="75"/>
      <c r="E243" s="75"/>
      <c r="F243" s="75"/>
      <c r="G243" s="75"/>
      <c r="H243" s="75"/>
      <c r="I243" s="75"/>
      <c r="J243" s="75"/>
      <c r="K243" s="75"/>
      <c r="L243" s="75"/>
    </row>
    <row r="244" spans="1:12">
      <c r="B244" s="157">
        <v>2010</v>
      </c>
      <c r="C244" s="157">
        <v>2011</v>
      </c>
      <c r="D244" s="157">
        <v>2012</v>
      </c>
      <c r="E244" s="157">
        <v>2013</v>
      </c>
      <c r="F244" s="157">
        <v>2014</v>
      </c>
      <c r="G244" s="157">
        <v>2015</v>
      </c>
      <c r="H244" s="157">
        <v>2016</v>
      </c>
      <c r="I244" s="157">
        <v>2017</v>
      </c>
      <c r="J244" s="157">
        <v>2018</v>
      </c>
      <c r="K244" s="157">
        <v>2019</v>
      </c>
      <c r="L244" s="157">
        <v>2020</v>
      </c>
    </row>
    <row r="245" spans="1:12">
      <c r="A245" s="35" t="s">
        <v>1130</v>
      </c>
      <c r="B245" s="145">
        <f>B237/B$13*100</f>
        <v>0</v>
      </c>
      <c r="C245" s="145">
        <f t="shared" ref="C245:L245" si="125">C237/C$13*100</f>
        <v>0</v>
      </c>
      <c r="D245" s="145">
        <f t="shared" si="125"/>
        <v>2.394483995044339E-2</v>
      </c>
      <c r="E245" s="145">
        <f t="shared" si="125"/>
        <v>7.9082316942159156E-2</v>
      </c>
      <c r="F245" s="145">
        <f t="shared" si="125"/>
        <v>0.14215293653747843</v>
      </c>
      <c r="G245" s="145">
        <f t="shared" si="125"/>
        <v>0.19403576494253461</v>
      </c>
      <c r="H245" s="145">
        <f t="shared" si="125"/>
        <v>0.25944329219846585</v>
      </c>
      <c r="I245" s="145">
        <f t="shared" si="125"/>
        <v>0.32808640629781327</v>
      </c>
      <c r="J245" s="145">
        <f t="shared" si="125"/>
        <v>0.38360843227181496</v>
      </c>
      <c r="K245" s="145">
        <f t="shared" si="125"/>
        <v>0.4640828317539093</v>
      </c>
      <c r="L245" s="145">
        <f t="shared" si="125"/>
        <v>0.5119945187506616</v>
      </c>
    </row>
    <row r="246" spans="1:12">
      <c r="A246" s="35" t="s">
        <v>1124</v>
      </c>
      <c r="B246" s="145">
        <f t="shared" ref="B246:L246" si="126">B238/B$13*100</f>
        <v>0</v>
      </c>
      <c r="C246" s="145">
        <f t="shared" si="126"/>
        <v>5.0814549057634766E-2</v>
      </c>
      <c r="D246" s="145">
        <f t="shared" si="126"/>
        <v>9.8545985904046132E-2</v>
      </c>
      <c r="E246" s="145">
        <f t="shared" si="126"/>
        <v>9.4334970932751699E-2</v>
      </c>
      <c r="F246" s="145">
        <f t="shared" si="126"/>
        <v>8.9620177872775347E-2</v>
      </c>
      <c r="G246" s="145">
        <f t="shared" si="126"/>
        <v>8.471546331991342E-2</v>
      </c>
      <c r="H246" s="145">
        <f t="shared" si="126"/>
        <v>7.9618983136553259E-2</v>
      </c>
      <c r="I246" s="145">
        <f t="shared" si="126"/>
        <v>7.4505186187842048E-2</v>
      </c>
      <c r="J246" s="145">
        <f t="shared" si="126"/>
        <v>6.9440256636472381E-2</v>
      </c>
      <c r="K246" s="145">
        <f t="shared" si="126"/>
        <v>6.4614319855174962E-2</v>
      </c>
      <c r="L246" s="145">
        <f t="shared" si="126"/>
        <v>6.0133636718574031E-2</v>
      </c>
    </row>
    <row r="247" spans="1:12">
      <c r="A247" s="35" t="s">
        <v>224</v>
      </c>
      <c r="B247" s="145">
        <f t="shared" ref="B247:L248" si="127">B239/B$13*100</f>
        <v>0</v>
      </c>
      <c r="C247" s="145">
        <f t="shared" si="127"/>
        <v>2.5667207300772914E-2</v>
      </c>
      <c r="D247" s="145">
        <f t="shared" si="127"/>
        <v>4.9777087384743041E-2</v>
      </c>
      <c r="E247" s="145">
        <f t="shared" si="127"/>
        <v>4.7650039202296671E-2</v>
      </c>
      <c r="F247" s="145">
        <f t="shared" si="127"/>
        <v>4.5268524988456064E-2</v>
      </c>
      <c r="G247" s="145">
        <f t="shared" si="127"/>
        <v>4.2791078518614585E-2</v>
      </c>
      <c r="H247" s="145">
        <f t="shared" si="127"/>
        <v>4.0216768290608489E-2</v>
      </c>
      <c r="I247" s="145">
        <f t="shared" si="127"/>
        <v>3.7633711099099076E-2</v>
      </c>
      <c r="J247" s="145">
        <f t="shared" si="127"/>
        <v>3.5075337578724712E-2</v>
      </c>
      <c r="K247" s="145">
        <f t="shared" si="127"/>
        <v>3.2637682968319898E-2</v>
      </c>
      <c r="L247" s="145">
        <f t="shared" si="127"/>
        <v>3.03744212637681E-2</v>
      </c>
    </row>
    <row r="248" spans="1:12">
      <c r="A248" s="432" t="s">
        <v>992</v>
      </c>
      <c r="B248" s="137">
        <f t="shared" si="127"/>
        <v>0</v>
      </c>
      <c r="C248" s="137">
        <f t="shared" si="127"/>
        <v>2.2279329103965132E-2</v>
      </c>
      <c r="D248" s="137">
        <f t="shared" si="127"/>
        <v>5.8753819579591048E-2</v>
      </c>
      <c r="E248" s="137">
        <f t="shared" si="127"/>
        <v>6.8947768000095541E-2</v>
      </c>
      <c r="F248" s="137">
        <f t="shared" si="127"/>
        <v>6.7799229335106223E-2</v>
      </c>
      <c r="G248" s="137">
        <f t="shared" si="127"/>
        <v>7.7278716121773894E-2</v>
      </c>
      <c r="H248" s="137">
        <f t="shared" si="127"/>
        <v>8.9861740064469287E-2</v>
      </c>
      <c r="I248" s="137">
        <f t="shared" si="127"/>
        <v>7.0965488542345953E-2</v>
      </c>
      <c r="J248" s="137">
        <f t="shared" si="127"/>
        <v>7.5903538109661522E-2</v>
      </c>
      <c r="K248" s="137">
        <f t="shared" si="127"/>
        <v>7.9760467365807317E-2</v>
      </c>
      <c r="L248" s="137">
        <f t="shared" si="127"/>
        <v>0.15266570881698033</v>
      </c>
    </row>
    <row r="249" spans="1:12" ht="30">
      <c r="A249" s="44" t="s">
        <v>481</v>
      </c>
      <c r="B249" s="180">
        <f>B245+B246+B247+B248</f>
        <v>0</v>
      </c>
      <c r="C249" s="180">
        <f t="shared" ref="C249:L249" si="128">C245+C246+C247+C248</f>
        <v>9.8761085462372805E-2</v>
      </c>
      <c r="D249" s="180">
        <f t="shared" si="128"/>
        <v>0.23102173281882363</v>
      </c>
      <c r="E249" s="180">
        <f t="shared" si="128"/>
        <v>0.29001509507730305</v>
      </c>
      <c r="F249" s="180">
        <f t="shared" si="128"/>
        <v>0.34484086873381609</v>
      </c>
      <c r="G249" s="180">
        <f t="shared" si="128"/>
        <v>0.3988210229028365</v>
      </c>
      <c r="H249" s="180">
        <f t="shared" si="128"/>
        <v>0.46914078369009687</v>
      </c>
      <c r="I249" s="180">
        <f t="shared" si="128"/>
        <v>0.51119079212710039</v>
      </c>
      <c r="J249" s="180">
        <f t="shared" si="128"/>
        <v>0.56402756459667358</v>
      </c>
      <c r="K249" s="180">
        <f t="shared" si="128"/>
        <v>0.64109530194321152</v>
      </c>
      <c r="L249" s="180">
        <f t="shared" si="128"/>
        <v>0.75516828554998416</v>
      </c>
    </row>
    <row r="250" spans="1:12">
      <c r="A250" s="169" t="s">
        <v>476</v>
      </c>
      <c r="B250" s="75"/>
      <c r="C250" s="75"/>
      <c r="D250" s="75"/>
      <c r="E250" s="75"/>
      <c r="F250" s="75"/>
      <c r="G250" s="75"/>
      <c r="H250" s="75"/>
      <c r="I250" s="75"/>
      <c r="J250" s="75"/>
      <c r="K250" s="75"/>
      <c r="L250" s="75"/>
    </row>
    <row r="251" spans="1:12">
      <c r="B251" s="157">
        <v>2010</v>
      </c>
      <c r="C251" s="157">
        <v>2011</v>
      </c>
      <c r="D251" s="157">
        <v>2012</v>
      </c>
      <c r="E251" s="157">
        <v>2013</v>
      </c>
      <c r="F251" s="157">
        <v>2014</v>
      </c>
      <c r="G251" s="157">
        <v>2015</v>
      </c>
      <c r="H251" s="157">
        <v>2016</v>
      </c>
      <c r="I251" s="157">
        <v>2017</v>
      </c>
      <c r="J251" s="157">
        <v>2018</v>
      </c>
      <c r="K251" s="157">
        <v>2019</v>
      </c>
      <c r="L251" s="157">
        <v>2020</v>
      </c>
    </row>
    <row r="252" spans="1:12">
      <c r="A252" s="35" t="s">
        <v>1130</v>
      </c>
      <c r="B252" s="145">
        <f>B237/B$14*100</f>
        <v>0</v>
      </c>
      <c r="C252" s="145">
        <f t="shared" ref="C252:L252" si="129">C237/C$14*100</f>
        <v>0</v>
      </c>
      <c r="D252" s="145">
        <f t="shared" si="129"/>
        <v>7.5169651093239143E-2</v>
      </c>
      <c r="E252" s="145">
        <f t="shared" si="129"/>
        <v>0.24953214553313607</v>
      </c>
      <c r="F252" s="145">
        <f t="shared" si="129"/>
        <v>0.4498318117633</v>
      </c>
      <c r="G252" s="145">
        <f t="shared" si="129"/>
        <v>0.61593014417172187</v>
      </c>
      <c r="H252" s="145">
        <f t="shared" si="129"/>
        <v>0.82747188914956593</v>
      </c>
      <c r="I252" s="145">
        <f t="shared" si="129"/>
        <v>1.049017422451481</v>
      </c>
      <c r="J252" s="145">
        <f t="shared" si="129"/>
        <v>1.2325741765817151</v>
      </c>
      <c r="K252" s="145">
        <f t="shared" si="129"/>
        <v>1.4981577580671233</v>
      </c>
      <c r="L252" s="145">
        <f t="shared" si="129"/>
        <v>1.660501063734084</v>
      </c>
    </row>
    <row r="253" spans="1:12">
      <c r="A253" s="35" t="s">
        <v>1124</v>
      </c>
      <c r="B253" s="145">
        <f t="shared" ref="B253:L253" si="130">B238/B$14*100</f>
        <v>0</v>
      </c>
      <c r="C253" s="145">
        <f t="shared" si="130"/>
        <v>0.16018441583937204</v>
      </c>
      <c r="D253" s="145">
        <f t="shared" si="130"/>
        <v>0.30936382921654249</v>
      </c>
      <c r="E253" s="145">
        <f t="shared" si="130"/>
        <v>0.297659560390377</v>
      </c>
      <c r="F253" s="145">
        <f t="shared" si="130"/>
        <v>0.28359601964628434</v>
      </c>
      <c r="G253" s="145">
        <f t="shared" si="130"/>
        <v>0.26891334982322301</v>
      </c>
      <c r="H253" s="145">
        <f t="shared" si="130"/>
        <v>0.25393784448962808</v>
      </c>
      <c r="I253" s="145">
        <f t="shared" si="130"/>
        <v>0.23822150773016854</v>
      </c>
      <c r="J253" s="145">
        <f t="shared" si="130"/>
        <v>0.22311883667008622</v>
      </c>
      <c r="K253" s="145">
        <f t="shared" si="130"/>
        <v>0.20858872155950101</v>
      </c>
      <c r="L253" s="145">
        <f t="shared" si="130"/>
        <v>0.19502546234487811</v>
      </c>
    </row>
    <row r="254" spans="1:12">
      <c r="A254" s="35" t="s">
        <v>224</v>
      </c>
      <c r="B254" s="145">
        <f t="shared" ref="B254:L255" si="131">B239/B$14*100</f>
        <v>0</v>
      </c>
      <c r="C254" s="145">
        <f t="shared" si="131"/>
        <v>8.091160275847481E-2</v>
      </c>
      <c r="D254" s="145">
        <f t="shared" si="131"/>
        <v>0.15626441015654083</v>
      </c>
      <c r="E254" s="145">
        <f t="shared" si="131"/>
        <v>0.15035240464165514</v>
      </c>
      <c r="F254" s="145">
        <f t="shared" si="131"/>
        <v>0.14324869473266688</v>
      </c>
      <c r="G254" s="145">
        <f t="shared" si="131"/>
        <v>0.13583225323970249</v>
      </c>
      <c r="H254" s="145">
        <f t="shared" si="131"/>
        <v>0.12826789604359232</v>
      </c>
      <c r="I254" s="145">
        <f t="shared" si="131"/>
        <v>0.12032933354338654</v>
      </c>
      <c r="J254" s="145">
        <f t="shared" si="131"/>
        <v>0.11270074299041621</v>
      </c>
      <c r="K254" s="145">
        <f t="shared" si="131"/>
        <v>0.10536135922014052</v>
      </c>
      <c r="L254" s="145">
        <f t="shared" si="131"/>
        <v>9.8510349176914772E-2</v>
      </c>
    </row>
    <row r="255" spans="1:12">
      <c r="A255" s="432" t="s">
        <v>992</v>
      </c>
      <c r="B255" s="145">
        <f t="shared" si="131"/>
        <v>0</v>
      </c>
      <c r="C255" s="145">
        <f t="shared" si="131"/>
        <v>7.023188012086809E-2</v>
      </c>
      <c r="D255" s="145">
        <f t="shared" si="131"/>
        <v>0.18444492121615544</v>
      </c>
      <c r="E255" s="145">
        <f t="shared" si="131"/>
        <v>0.21755412769922078</v>
      </c>
      <c r="F255" s="145">
        <f t="shared" si="131"/>
        <v>0.21454534046804924</v>
      </c>
      <c r="G255" s="145">
        <f t="shared" si="131"/>
        <v>0.24530679061350574</v>
      </c>
      <c r="H255" s="145">
        <f t="shared" si="131"/>
        <v>0.28660622975957339</v>
      </c>
      <c r="I255" s="145">
        <f t="shared" si="131"/>
        <v>0.22690374378427283</v>
      </c>
      <c r="J255" s="145">
        <f t="shared" si="131"/>
        <v>0.24388603876898882</v>
      </c>
      <c r="K255" s="145">
        <f t="shared" si="131"/>
        <v>0.25748369643311475</v>
      </c>
      <c r="L255" s="145">
        <f t="shared" si="131"/>
        <v>0.49512555818935938</v>
      </c>
    </row>
    <row r="256" spans="1:12" ht="30">
      <c r="A256" s="44" t="s">
        <v>482</v>
      </c>
      <c r="B256" s="180">
        <f>B252+B253+B254+B255</f>
        <v>0</v>
      </c>
      <c r="C256" s="180">
        <f t="shared" ref="C256:L256" si="132">C252+C253+C254+C255</f>
        <v>0.31132789871871491</v>
      </c>
      <c r="D256" s="180">
        <f t="shared" si="132"/>
        <v>0.72524281168247784</v>
      </c>
      <c r="E256" s="180">
        <f t="shared" si="132"/>
        <v>0.91509823826438896</v>
      </c>
      <c r="F256" s="180">
        <f t="shared" si="132"/>
        <v>1.0912218666103004</v>
      </c>
      <c r="G256" s="180">
        <f t="shared" si="132"/>
        <v>1.2659825378481531</v>
      </c>
      <c r="H256" s="180">
        <f t="shared" si="132"/>
        <v>1.49628385944236</v>
      </c>
      <c r="I256" s="180">
        <f t="shared" si="132"/>
        <v>1.6344720075093091</v>
      </c>
      <c r="J256" s="180">
        <f t="shared" si="132"/>
        <v>1.8122797950112064</v>
      </c>
      <c r="K256" s="180">
        <f t="shared" si="132"/>
        <v>2.0695915352798795</v>
      </c>
      <c r="L256" s="180">
        <f t="shared" si="132"/>
        <v>2.4491624334452364</v>
      </c>
    </row>
    <row r="257" spans="1:12">
      <c r="A257" s="32"/>
      <c r="B257" s="75"/>
      <c r="C257" s="75"/>
      <c r="D257" s="75"/>
      <c r="E257" s="75"/>
      <c r="F257" s="75"/>
      <c r="G257" s="75"/>
      <c r="H257" s="75"/>
      <c r="I257" s="75"/>
      <c r="J257" s="75"/>
      <c r="K257" s="75"/>
      <c r="L257" s="75"/>
    </row>
    <row r="258" spans="1:12">
      <c r="A258" s="191"/>
      <c r="B258" s="139"/>
      <c r="C258" s="139"/>
      <c r="D258" s="139"/>
      <c r="E258" s="139"/>
      <c r="F258" s="139"/>
      <c r="G258" s="139"/>
      <c r="H258" s="139"/>
      <c r="I258" s="139"/>
      <c r="J258" s="139"/>
      <c r="K258" s="139"/>
      <c r="L258" s="139"/>
    </row>
    <row r="260" spans="1:12" ht="30">
      <c r="A260" s="35" t="s">
        <v>348</v>
      </c>
    </row>
    <row r="261" spans="1:12">
      <c r="A261" s="32"/>
      <c r="B261" s="75"/>
      <c r="C261" s="75"/>
      <c r="D261" s="75"/>
      <c r="E261" s="75"/>
      <c r="F261" s="75"/>
      <c r="G261" s="75"/>
      <c r="H261" s="75"/>
      <c r="I261" s="75"/>
      <c r="J261" s="75"/>
      <c r="K261" s="75"/>
      <c r="L261" s="75"/>
    </row>
    <row r="262" spans="1:12" ht="93.75" hidden="1">
      <c r="A262" s="185" t="s">
        <v>347</v>
      </c>
      <c r="B262" s="75"/>
      <c r="C262" s="75"/>
      <c r="D262" s="75"/>
      <c r="E262" s="75"/>
      <c r="F262" s="75"/>
      <c r="G262" s="75"/>
      <c r="H262" s="75"/>
      <c r="I262" s="75"/>
      <c r="J262" s="75"/>
      <c r="K262" s="75"/>
      <c r="L262" s="75"/>
    </row>
    <row r="263" spans="1:12" ht="15.75" hidden="1">
      <c r="B263" s="80">
        <v>2010</v>
      </c>
      <c r="C263" s="80">
        <v>2011</v>
      </c>
      <c r="D263" s="80">
        <v>2012</v>
      </c>
      <c r="E263" s="80">
        <v>2013</v>
      </c>
      <c r="F263" s="80">
        <v>2014</v>
      </c>
      <c r="G263" s="80">
        <v>2015</v>
      </c>
      <c r="H263" s="80">
        <v>2016</v>
      </c>
      <c r="I263" s="80">
        <v>2017</v>
      </c>
      <c r="J263" s="80">
        <v>2018</v>
      </c>
      <c r="K263" s="80">
        <v>2019</v>
      </c>
      <c r="L263" s="80">
        <v>2020</v>
      </c>
    </row>
    <row r="264" spans="1:12" hidden="1">
      <c r="A264" s="188" t="s">
        <v>82</v>
      </c>
      <c r="B264" s="142"/>
      <c r="C264" s="142"/>
      <c r="D264" s="142"/>
      <c r="E264" s="142"/>
      <c r="F264" s="142"/>
      <c r="G264" s="142"/>
      <c r="H264" s="142"/>
      <c r="I264" s="142"/>
      <c r="J264" s="142"/>
      <c r="K264" s="142"/>
      <c r="L264" s="142"/>
    </row>
    <row r="265" spans="1:12" hidden="1">
      <c r="A265" s="35" t="s">
        <v>230</v>
      </c>
      <c r="B265" s="176">
        <f>SUM(POP!G$346:G$381)</f>
        <v>6266.0305708736087</v>
      </c>
      <c r="C265" s="176">
        <f>SUM(POP!H$346:H$381)</f>
        <v>6378.2420222139399</v>
      </c>
      <c r="D265" s="176">
        <f>SUM(POP!I$346:I$381)</f>
        <v>6494.388621808268</v>
      </c>
      <c r="E265" s="176">
        <f>SUM(POP!J$346:J$381)</f>
        <v>6624.4452765007127</v>
      </c>
      <c r="F265" s="176">
        <f>SUM(POP!K$346:K$381)</f>
        <v>6780.7732062872346</v>
      </c>
      <c r="G265" s="176">
        <f>SUM(POP!L$346:L$381)</f>
        <v>6972.8988427545573</v>
      </c>
      <c r="H265" s="176">
        <f>SUM(POP!M$346:M$381)</f>
        <v>7204.7054696045288</v>
      </c>
      <c r="I265" s="176">
        <f>SUM(POP!N$346:N$381)</f>
        <v>7476.6064397786995</v>
      </c>
      <c r="J265" s="176">
        <f>SUM(POP!O$346:O$381)</f>
        <v>7790.1440600045871</v>
      </c>
      <c r="K265" s="176">
        <f>SUM(POP!P$346:P$381)</f>
        <v>8145.6665099886859</v>
      </c>
      <c r="L265" s="176">
        <f>SUM(POP!Q$346:Q$381)</f>
        <v>8542.9307131586502</v>
      </c>
    </row>
    <row r="266" spans="1:12" hidden="1">
      <c r="A266" s="35" t="s">
        <v>214</v>
      </c>
      <c r="B266" s="176">
        <f>SUM(POP!G$361:G$381)</f>
        <v>1716.6341858408505</v>
      </c>
      <c r="C266" s="176">
        <f>SUM(POP!H$361:H$381)</f>
        <v>1801.9271167661336</v>
      </c>
      <c r="D266" s="176">
        <f>SUM(POP!I$361:I$381)</f>
        <v>1892.6351874871725</v>
      </c>
      <c r="E266" s="176">
        <f>SUM(POP!J$361:J$381)</f>
        <v>1984.0496149257222</v>
      </c>
      <c r="F266" s="176">
        <f>SUM(POP!K$361:K$381)</f>
        <v>2069.6005672417396</v>
      </c>
      <c r="G266" s="176">
        <f>SUM(POP!L$361:L$381)</f>
        <v>2144.716875512242</v>
      </c>
      <c r="H266" s="176">
        <f>SUM(POP!M$361:M$381)</f>
        <v>2207.5533986197543</v>
      </c>
      <c r="I266" s="176">
        <f>SUM(POP!N$361:N$381)</f>
        <v>2260.1197914950194</v>
      </c>
      <c r="J266" s="176">
        <f>SUM(POP!O$361:O$381)</f>
        <v>2306.5203761755433</v>
      </c>
      <c r="K266" s="176">
        <f>SUM(POP!P$361:P$381)</f>
        <v>2352.8479829237617</v>
      </c>
      <c r="L266" s="176">
        <f>SUM(POP!Q$361:Q$381)</f>
        <v>2403.5591788746024</v>
      </c>
    </row>
    <row r="267" spans="1:12" hidden="1">
      <c r="A267" s="35" t="s">
        <v>231</v>
      </c>
      <c r="B267" s="176">
        <f>B265-B266</f>
        <v>4549.3963850327582</v>
      </c>
      <c r="C267" s="176">
        <f t="shared" ref="C267:L267" si="133">C265-C266</f>
        <v>4576.3149054478063</v>
      </c>
      <c r="D267" s="176">
        <f t="shared" si="133"/>
        <v>4601.7534343210955</v>
      </c>
      <c r="E267" s="176">
        <f t="shared" si="133"/>
        <v>4640.3956615749903</v>
      </c>
      <c r="F267" s="176">
        <f t="shared" si="133"/>
        <v>4711.1726390454951</v>
      </c>
      <c r="G267" s="176">
        <f t="shared" si="133"/>
        <v>4828.1819672423153</v>
      </c>
      <c r="H267" s="176">
        <f t="shared" si="133"/>
        <v>4997.1520709847746</v>
      </c>
      <c r="I267" s="176">
        <f t="shared" si="133"/>
        <v>5216.4866482836806</v>
      </c>
      <c r="J267" s="176">
        <f t="shared" si="133"/>
        <v>5483.6236838290442</v>
      </c>
      <c r="K267" s="176">
        <f t="shared" si="133"/>
        <v>5792.8185270649246</v>
      </c>
      <c r="L267" s="176">
        <f t="shared" si="133"/>
        <v>6139.3715342840478</v>
      </c>
    </row>
    <row r="268" spans="1:12" hidden="1">
      <c r="A268" s="35" t="s">
        <v>975</v>
      </c>
      <c r="B268" s="176">
        <f>SUM(POP!G$358:G$381)</f>
        <v>2460.9597751115061</v>
      </c>
      <c r="C268" s="176">
        <f>SUM(POP!H$358:H$381)</f>
        <v>2551.7400203195984</v>
      </c>
      <c r="D268" s="176">
        <f>SUM(POP!I$358:I$381)</f>
        <v>2637.495096915884</v>
      </c>
      <c r="E268" s="176">
        <f>SUM(POP!J$358:J$381)</f>
        <v>2718.476385028207</v>
      </c>
      <c r="F268" s="176">
        <f>SUM(POP!K$358:K$381)</f>
        <v>2795.2588757852986</v>
      </c>
      <c r="G268" s="176">
        <f>SUM(POP!L$358:L$381)</f>
        <v>2868.3621821525016</v>
      </c>
      <c r="H268" s="176">
        <f>SUM(POP!M$358:M$381)</f>
        <v>2938.7872482485363</v>
      </c>
      <c r="I268" s="176">
        <f>SUM(POP!N$358:N$381)</f>
        <v>3007.0169580745646</v>
      </c>
      <c r="J268" s="176">
        <f>SUM(POP!O$358:O$381)</f>
        <v>3072.7328054528648</v>
      </c>
      <c r="K268" s="176">
        <f>SUM(POP!P$358:P$381)</f>
        <v>3135.3872871183335</v>
      </c>
      <c r="L268" s="176">
        <f>SUM(POP!Q$358:Q$381)</f>
        <v>3195.2979666109063</v>
      </c>
    </row>
    <row r="269" spans="1:12" hidden="1">
      <c r="A269" s="35" t="s">
        <v>977</v>
      </c>
      <c r="B269" s="176">
        <f>SUM(POP!G$356:G$381)</f>
        <v>2967.0620220765054</v>
      </c>
      <c r="C269" s="176">
        <f>SUM(POP!H$356:H$381)</f>
        <v>3057.9025661980463</v>
      </c>
      <c r="D269" s="176">
        <f>SUM(POP!I$356:I$381)</f>
        <v>3139.5023223122939</v>
      </c>
      <c r="E269" s="176">
        <f>SUM(POP!J$356:J$381)</f>
        <v>3214.3016713245497</v>
      </c>
      <c r="F269" s="176">
        <f>SUM(POP!K$356:K$381)</f>
        <v>3285.9262644276769</v>
      </c>
      <c r="G269" s="176">
        <f>SUM(POP!L$356:L$381)</f>
        <v>3357.1847249420161</v>
      </c>
      <c r="H269" s="176">
        <f>SUM(POP!M$356:M$381)</f>
        <v>3430.3667938551234</v>
      </c>
      <c r="I269" s="176">
        <f>SUM(POP!N$356:N$381)</f>
        <v>3505.7392534100345</v>
      </c>
      <c r="J269" s="176">
        <f>SUM(POP!O$356:O$381)</f>
        <v>3581.9861971524579</v>
      </c>
      <c r="K269" s="176">
        <f>SUM(POP!P$356:P$381)</f>
        <v>3656.8607190777097</v>
      </c>
      <c r="L269" s="176">
        <f>SUM(POP!Q$356:Q$381)</f>
        <v>3729.7284123787426</v>
      </c>
    </row>
    <row r="270" spans="1:12" hidden="1">
      <c r="A270" s="35" t="s">
        <v>976</v>
      </c>
      <c r="B270" s="176">
        <f>SUM(POP!G$351:G$381)</f>
        <v>4455.0806425735227</v>
      </c>
      <c r="C270" s="176">
        <f>SUM(POP!H$351:H$381)</f>
        <v>4554.2109820288551</v>
      </c>
      <c r="D270" s="176">
        <f>SUM(POP!I$351:I$381)</f>
        <v>4661.5464343494923</v>
      </c>
      <c r="E270" s="176">
        <f>SUM(POP!J$351:J$381)</f>
        <v>4772.1905401176855</v>
      </c>
      <c r="F270" s="176">
        <f>SUM(POP!K$351:K$381)</f>
        <v>4878.340501215258</v>
      </c>
      <c r="G270" s="176">
        <f>SUM(POP!L$351:L$381)</f>
        <v>4975.677758851225</v>
      </c>
      <c r="H270" s="176">
        <f>SUM(POP!M$351:M$381)</f>
        <v>5062.8180727084873</v>
      </c>
      <c r="I270" s="176">
        <f>SUM(POP!N$351:N$381)</f>
        <v>5146.1804558174308</v>
      </c>
      <c r="J270" s="176">
        <f>SUM(POP!O$351:O$381)</f>
        <v>5238.8212080788817</v>
      </c>
      <c r="K270" s="176">
        <f>SUM(POP!P$351:P$381)</f>
        <v>5358.233636915128</v>
      </c>
      <c r="L270" s="176">
        <f>SUM(POP!Q$351:Q$381)</f>
        <v>5517.3644975232401</v>
      </c>
    </row>
    <row r="271" spans="1:12" hidden="1">
      <c r="A271" s="35" t="s">
        <v>978</v>
      </c>
      <c r="B271" s="176">
        <f>B268-B$73</f>
        <v>744.32558927065566</v>
      </c>
      <c r="C271" s="176">
        <f t="shared" ref="C271:L271" si="134">C268-C$73</f>
        <v>749.81290355346482</v>
      </c>
      <c r="D271" s="176">
        <f t="shared" si="134"/>
        <v>744.85990942871149</v>
      </c>
      <c r="E271" s="176">
        <f t="shared" si="134"/>
        <v>734.42677010248485</v>
      </c>
      <c r="F271" s="176">
        <f t="shared" si="134"/>
        <v>725.65830854355909</v>
      </c>
      <c r="G271" s="176">
        <f t="shared" si="134"/>
        <v>723.64530664025961</v>
      </c>
      <c r="H271" s="176">
        <f t="shared" si="134"/>
        <v>731.23384962878208</v>
      </c>
      <c r="I271" s="176">
        <f t="shared" si="134"/>
        <v>746.89716657954523</v>
      </c>
      <c r="J271" s="176">
        <f t="shared" si="134"/>
        <v>766.21242927732146</v>
      </c>
      <c r="K271" s="176">
        <f t="shared" si="134"/>
        <v>782.53930419457174</v>
      </c>
      <c r="L271" s="176">
        <f t="shared" si="134"/>
        <v>791.73878773630395</v>
      </c>
    </row>
    <row r="272" spans="1:12" hidden="1">
      <c r="A272" s="35" t="s">
        <v>979</v>
      </c>
      <c r="B272" s="176">
        <f>B269-B$73</f>
        <v>1250.4278362356549</v>
      </c>
      <c r="C272" s="176">
        <f t="shared" ref="C272:L272" si="135">C269-C$73</f>
        <v>1255.9754494319127</v>
      </c>
      <c r="D272" s="176">
        <f t="shared" si="135"/>
        <v>1246.8671348251214</v>
      </c>
      <c r="E272" s="176">
        <f t="shared" si="135"/>
        <v>1230.2520563988276</v>
      </c>
      <c r="F272" s="176">
        <f t="shared" si="135"/>
        <v>1216.3256971859373</v>
      </c>
      <c r="G272" s="176">
        <f t="shared" si="135"/>
        <v>1212.4678494297741</v>
      </c>
      <c r="H272" s="176">
        <f t="shared" si="135"/>
        <v>1222.8133952353692</v>
      </c>
      <c r="I272" s="176">
        <f t="shared" si="135"/>
        <v>1245.6194619150151</v>
      </c>
      <c r="J272" s="176">
        <f t="shared" si="135"/>
        <v>1275.4658209769145</v>
      </c>
      <c r="K272" s="176">
        <f t="shared" si="135"/>
        <v>1304.012736153948</v>
      </c>
      <c r="L272" s="176">
        <f t="shared" si="135"/>
        <v>1326.1692335041403</v>
      </c>
    </row>
    <row r="273" spans="1:12" hidden="1">
      <c r="A273" s="35" t="s">
        <v>980</v>
      </c>
      <c r="B273" s="176">
        <f>B270-B$73</f>
        <v>2738.4464567326722</v>
      </c>
      <c r="C273" s="176">
        <f t="shared" ref="C273:L273" si="136">C270-C$73</f>
        <v>2752.2838652627215</v>
      </c>
      <c r="D273" s="176">
        <f t="shared" si="136"/>
        <v>2768.9112468623198</v>
      </c>
      <c r="E273" s="176">
        <f t="shared" si="136"/>
        <v>2788.1409251919631</v>
      </c>
      <c r="F273" s="176">
        <f t="shared" si="136"/>
        <v>2808.7399339735184</v>
      </c>
      <c r="G273" s="176">
        <f t="shared" si="136"/>
        <v>2830.960883338983</v>
      </c>
      <c r="H273" s="176">
        <f t="shared" si="136"/>
        <v>2855.264674088733</v>
      </c>
      <c r="I273" s="176">
        <f t="shared" si="136"/>
        <v>2886.0606643224114</v>
      </c>
      <c r="J273" s="176">
        <f t="shared" si="136"/>
        <v>2932.3008319033383</v>
      </c>
      <c r="K273" s="176">
        <f t="shared" si="136"/>
        <v>3005.3856539913663</v>
      </c>
      <c r="L273" s="176">
        <f t="shared" si="136"/>
        <v>3113.8053186486377</v>
      </c>
    </row>
    <row r="274" spans="1:12" hidden="1">
      <c r="A274" s="1255" t="s">
        <v>981</v>
      </c>
      <c r="B274" s="1256">
        <f>B266</f>
        <v>1716.6341858408505</v>
      </c>
      <c r="C274" s="1256">
        <f>C266</f>
        <v>1801.9271167661336</v>
      </c>
      <c r="D274" s="1256">
        <f>D268</f>
        <v>2637.495096915884</v>
      </c>
      <c r="E274" s="1256">
        <f>E268</f>
        <v>2718.476385028207</v>
      </c>
      <c r="F274" s="1256">
        <f>F269</f>
        <v>3285.9262644276769</v>
      </c>
      <c r="G274" s="1256">
        <f>G269</f>
        <v>3357.1847249420161</v>
      </c>
      <c r="H274" s="1256">
        <f>H269</f>
        <v>3430.3667938551234</v>
      </c>
      <c r="I274" s="1256">
        <f>I270</f>
        <v>5146.1804558174308</v>
      </c>
      <c r="J274" s="1256">
        <f>J270</f>
        <v>5238.8212080788817</v>
      </c>
      <c r="K274" s="1256">
        <f>K270</f>
        <v>5358.233636915128</v>
      </c>
      <c r="L274" s="1256">
        <f>L265</f>
        <v>8542.9307131586502</v>
      </c>
    </row>
    <row r="275" spans="1:12" hidden="1">
      <c r="A275" s="1255" t="s">
        <v>990</v>
      </c>
      <c r="B275" s="1256">
        <v>0</v>
      </c>
      <c r="C275" s="1256">
        <v>0</v>
      </c>
      <c r="D275" s="1256">
        <f>D271</f>
        <v>744.85990942871149</v>
      </c>
      <c r="E275" s="1256">
        <f>E271</f>
        <v>734.42677010248485</v>
      </c>
      <c r="F275" s="1256">
        <f>F272</f>
        <v>1216.3256971859373</v>
      </c>
      <c r="G275" s="1256">
        <f>G272</f>
        <v>1212.4678494297741</v>
      </c>
      <c r="H275" s="1256">
        <f>H272</f>
        <v>1222.8133952353692</v>
      </c>
      <c r="I275" s="1256">
        <f>I273</f>
        <v>2886.0606643224114</v>
      </c>
      <c r="J275" s="1256">
        <f>J273</f>
        <v>2932.3008319033383</v>
      </c>
      <c r="K275" s="1256">
        <f>K273</f>
        <v>3005.3856539913663</v>
      </c>
      <c r="L275" s="1256">
        <f>L267</f>
        <v>6139.3715342840478</v>
      </c>
    </row>
    <row r="276" spans="1:12" hidden="1">
      <c r="A276" s="35" t="s">
        <v>345</v>
      </c>
      <c r="B276" s="153">
        <v>0.75</v>
      </c>
      <c r="C276" s="153">
        <f t="shared" ref="C276:L276" si="137">B276</f>
        <v>0.75</v>
      </c>
      <c r="D276" s="153">
        <f t="shared" si="137"/>
        <v>0.75</v>
      </c>
      <c r="E276" s="153">
        <f t="shared" si="137"/>
        <v>0.75</v>
      </c>
      <c r="F276" s="153">
        <f t="shared" si="137"/>
        <v>0.75</v>
      </c>
      <c r="G276" s="153">
        <f t="shared" si="137"/>
        <v>0.75</v>
      </c>
      <c r="H276" s="153">
        <f t="shared" si="137"/>
        <v>0.75</v>
      </c>
      <c r="I276" s="153">
        <f t="shared" si="137"/>
        <v>0.75</v>
      </c>
      <c r="J276" s="153">
        <f t="shared" si="137"/>
        <v>0.75</v>
      </c>
      <c r="K276" s="153">
        <f t="shared" si="137"/>
        <v>0.75</v>
      </c>
      <c r="L276" s="153">
        <f t="shared" si="137"/>
        <v>0.75</v>
      </c>
    </row>
    <row r="277" spans="1:12" hidden="1">
      <c r="A277" s="35" t="s">
        <v>346</v>
      </c>
      <c r="B277" s="17">
        <v>0.3</v>
      </c>
      <c r="C277" s="17">
        <f t="shared" ref="C277:L277" si="138">B277</f>
        <v>0.3</v>
      </c>
      <c r="D277" s="17">
        <f t="shared" si="138"/>
        <v>0.3</v>
      </c>
      <c r="E277" s="17">
        <f t="shared" si="138"/>
        <v>0.3</v>
      </c>
      <c r="F277" s="17">
        <f t="shared" si="138"/>
        <v>0.3</v>
      </c>
      <c r="G277" s="17">
        <f t="shared" si="138"/>
        <v>0.3</v>
      </c>
      <c r="H277" s="17">
        <f t="shared" si="138"/>
        <v>0.3</v>
      </c>
      <c r="I277" s="17">
        <f t="shared" si="138"/>
        <v>0.3</v>
      </c>
      <c r="J277" s="17">
        <f t="shared" si="138"/>
        <v>0.3</v>
      </c>
      <c r="K277" s="17">
        <f t="shared" si="138"/>
        <v>0.3</v>
      </c>
      <c r="L277" s="17">
        <f t="shared" si="138"/>
        <v>0.3</v>
      </c>
    </row>
    <row r="278" spans="1:12" hidden="1"/>
    <row r="279" spans="1:12" hidden="1">
      <c r="A279" s="187" t="s">
        <v>216</v>
      </c>
      <c r="B279" s="177"/>
      <c r="C279" s="177"/>
      <c r="D279" s="177"/>
      <c r="E279" s="177"/>
      <c r="F279" s="177"/>
      <c r="G279" s="177"/>
      <c r="H279" s="177"/>
      <c r="I279" s="177"/>
      <c r="J279" s="177"/>
      <c r="K279" s="177"/>
      <c r="L279" s="177"/>
    </row>
    <row r="280" spans="1:12" hidden="1">
      <c r="A280" s="35" t="s">
        <v>217</v>
      </c>
      <c r="B280" s="176">
        <f>B266*B$20</f>
        <v>343.32683716817013</v>
      </c>
      <c r="C280" s="176">
        <f t="shared" ref="C280:L280" si="139">C266*C$20</f>
        <v>375.29807991017975</v>
      </c>
      <c r="D280" s="176">
        <f t="shared" si="139"/>
        <v>410.50188680106049</v>
      </c>
      <c r="E280" s="176">
        <f t="shared" si="139"/>
        <v>448.13607048214374</v>
      </c>
      <c r="F280" s="176">
        <f t="shared" si="139"/>
        <v>486.80276242763506</v>
      </c>
      <c r="G280" s="176">
        <f t="shared" si="139"/>
        <v>525.3461987741224</v>
      </c>
      <c r="H280" s="176">
        <f t="shared" si="139"/>
        <v>563.1135382078736</v>
      </c>
      <c r="I280" s="176">
        <f t="shared" si="139"/>
        <v>600.37878189683113</v>
      </c>
      <c r="J280" s="176">
        <f t="shared" si="139"/>
        <v>638.05820605958399</v>
      </c>
      <c r="K280" s="176">
        <f t="shared" si="139"/>
        <v>677.80691812867917</v>
      </c>
      <c r="L280" s="176">
        <f t="shared" si="139"/>
        <v>721.06775366238071</v>
      </c>
    </row>
    <row r="281" spans="1:12" hidden="1">
      <c r="A281" s="35" t="s">
        <v>232</v>
      </c>
      <c r="B281" s="176">
        <f>B267*B$20</f>
        <v>909.87927700655166</v>
      </c>
      <c r="C281" s="176">
        <f t="shared" ref="C281:L281" si="140">C267*C$20</f>
        <v>953.13632893277793</v>
      </c>
      <c r="D281" s="176">
        <f t="shared" si="140"/>
        <v>998.09433950665823</v>
      </c>
      <c r="E281" s="176">
        <f t="shared" si="140"/>
        <v>1048.1233239414007</v>
      </c>
      <c r="F281" s="176">
        <f t="shared" si="140"/>
        <v>1108.1422624547226</v>
      </c>
      <c r="G281" s="176">
        <f t="shared" si="140"/>
        <v>1182.6582205050759</v>
      </c>
      <c r="H281" s="176">
        <f t="shared" si="140"/>
        <v>1274.6980369373787</v>
      </c>
      <c r="I281" s="176">
        <f t="shared" si="140"/>
        <v>1385.7088068796468</v>
      </c>
      <c r="J281" s="176">
        <f t="shared" si="140"/>
        <v>1516.9478347342019</v>
      </c>
      <c r="K281" s="176">
        <f t="shared" si="140"/>
        <v>1668.7913973215741</v>
      </c>
      <c r="L281" s="176">
        <f t="shared" si="140"/>
        <v>1841.8114602852143</v>
      </c>
    </row>
    <row r="282" spans="1:12" hidden="1">
      <c r="A282" s="35" t="s">
        <v>233</v>
      </c>
      <c r="B282" s="176">
        <f t="shared" ref="B282:L282" si="141">B280+B281</f>
        <v>1253.2061141747217</v>
      </c>
      <c r="C282" s="176">
        <f t="shared" si="141"/>
        <v>1328.4344088429577</v>
      </c>
      <c r="D282" s="176">
        <f t="shared" si="141"/>
        <v>1408.5962263077188</v>
      </c>
      <c r="E282" s="176">
        <f t="shared" si="141"/>
        <v>1496.2593944235446</v>
      </c>
      <c r="F282" s="176">
        <f t="shared" si="141"/>
        <v>1594.9450248823578</v>
      </c>
      <c r="G282" s="176">
        <f t="shared" si="141"/>
        <v>1708.0044192791984</v>
      </c>
      <c r="H282" s="176">
        <f t="shared" si="141"/>
        <v>1837.8115751452524</v>
      </c>
      <c r="I282" s="176">
        <f t="shared" si="141"/>
        <v>1986.0875887764778</v>
      </c>
      <c r="J282" s="176">
        <f t="shared" si="141"/>
        <v>2155.0060407937858</v>
      </c>
      <c r="K282" s="176">
        <f t="shared" si="141"/>
        <v>2346.5983154502533</v>
      </c>
      <c r="L282" s="176">
        <f t="shared" si="141"/>
        <v>2562.879213947595</v>
      </c>
    </row>
    <row r="283" spans="1:12" hidden="1">
      <c r="A283" s="35" t="s">
        <v>982</v>
      </c>
      <c r="B283" s="176">
        <f>B271*B$20</f>
        <v>148.86511785413114</v>
      </c>
      <c r="C283" s="176">
        <f t="shared" ref="C283:L283" si="142">C271*C$20</f>
        <v>156.16799390894266</v>
      </c>
      <c r="D283" s="176">
        <f t="shared" si="142"/>
        <v>161.55590905446243</v>
      </c>
      <c r="E283" s="176">
        <f t="shared" si="142"/>
        <v>165.88452442654358</v>
      </c>
      <c r="F283" s="176">
        <f t="shared" si="142"/>
        <v>170.68630283976341</v>
      </c>
      <c r="G283" s="176">
        <f t="shared" si="142"/>
        <v>177.25617560285036</v>
      </c>
      <c r="H283" s="176">
        <f t="shared" si="142"/>
        <v>186.52671350069284</v>
      </c>
      <c r="I283" s="176">
        <f t="shared" si="142"/>
        <v>198.40594855222307</v>
      </c>
      <c r="J283" s="176">
        <f t="shared" si="142"/>
        <v>211.95916287367564</v>
      </c>
      <c r="K283" s="176">
        <f t="shared" si="142"/>
        <v>225.4334142878071</v>
      </c>
      <c r="L283" s="176">
        <f t="shared" si="142"/>
        <v>237.52163632089116</v>
      </c>
    </row>
    <row r="284" spans="1:12" hidden="1">
      <c r="A284" s="35" t="s">
        <v>983</v>
      </c>
      <c r="B284" s="176">
        <f t="shared" ref="B284:L284" si="143">B283+B280</f>
        <v>492.19195502230127</v>
      </c>
      <c r="C284" s="176">
        <f t="shared" si="143"/>
        <v>531.46607381912236</v>
      </c>
      <c r="D284" s="176">
        <f t="shared" si="143"/>
        <v>572.05779585552295</v>
      </c>
      <c r="E284" s="176">
        <f t="shared" si="143"/>
        <v>614.02059490868737</v>
      </c>
      <c r="F284" s="176">
        <f t="shared" si="143"/>
        <v>657.48906526739847</v>
      </c>
      <c r="G284" s="176">
        <f t="shared" si="143"/>
        <v>702.60237437697276</v>
      </c>
      <c r="H284" s="176">
        <f t="shared" si="143"/>
        <v>749.64025170856644</v>
      </c>
      <c r="I284" s="176">
        <f t="shared" si="143"/>
        <v>798.78473044905422</v>
      </c>
      <c r="J284" s="176">
        <f t="shared" si="143"/>
        <v>850.0173689332596</v>
      </c>
      <c r="K284" s="176">
        <f t="shared" si="143"/>
        <v>903.24033241648624</v>
      </c>
      <c r="L284" s="176">
        <f t="shared" si="143"/>
        <v>958.58938998327187</v>
      </c>
    </row>
    <row r="285" spans="1:12" hidden="1">
      <c r="A285" s="35" t="s">
        <v>984</v>
      </c>
      <c r="B285" s="176">
        <f>B272*B$20</f>
        <v>250.085567247131</v>
      </c>
      <c r="C285" s="176">
        <f t="shared" ref="C285:L285" si="144">C272*C$20</f>
        <v>261.58947839803164</v>
      </c>
      <c r="D285" s="176">
        <f t="shared" si="144"/>
        <v>270.43844203039981</v>
      </c>
      <c r="E285" s="176">
        <f t="shared" si="144"/>
        <v>277.87627794670209</v>
      </c>
      <c r="F285" s="176">
        <f t="shared" si="144"/>
        <v>286.09902740361588</v>
      </c>
      <c r="G285" s="176">
        <f t="shared" si="144"/>
        <v>296.99275606326108</v>
      </c>
      <c r="H285" s="176">
        <f t="shared" si="144"/>
        <v>311.92123279531978</v>
      </c>
      <c r="I285" s="176">
        <f t="shared" si="144"/>
        <v>330.88666276261449</v>
      </c>
      <c r="J285" s="176">
        <f t="shared" si="144"/>
        <v>352.83513730420509</v>
      </c>
      <c r="K285" s="176">
        <f t="shared" si="144"/>
        <v>375.65914173286973</v>
      </c>
      <c r="L285" s="176">
        <f t="shared" si="144"/>
        <v>397.85077005124208</v>
      </c>
    </row>
    <row r="286" spans="1:12" hidden="1">
      <c r="A286" s="35" t="s">
        <v>985</v>
      </c>
      <c r="B286" s="176">
        <f t="shared" ref="B286:L286" si="145">B285+B280</f>
        <v>593.41240441530113</v>
      </c>
      <c r="C286" s="176">
        <f t="shared" si="145"/>
        <v>636.8875583082114</v>
      </c>
      <c r="D286" s="176">
        <f t="shared" si="145"/>
        <v>680.94032883146031</v>
      </c>
      <c r="E286" s="176">
        <f t="shared" si="145"/>
        <v>726.01234842884583</v>
      </c>
      <c r="F286" s="176">
        <f t="shared" si="145"/>
        <v>772.90178983125088</v>
      </c>
      <c r="G286" s="176">
        <f t="shared" si="145"/>
        <v>822.33895483738343</v>
      </c>
      <c r="H286" s="176">
        <f t="shared" si="145"/>
        <v>875.03477100319333</v>
      </c>
      <c r="I286" s="176">
        <f t="shared" si="145"/>
        <v>931.26544465944562</v>
      </c>
      <c r="J286" s="176">
        <f t="shared" si="145"/>
        <v>990.89334336378909</v>
      </c>
      <c r="K286" s="176">
        <f t="shared" si="145"/>
        <v>1053.466059861549</v>
      </c>
      <c r="L286" s="176">
        <f t="shared" si="145"/>
        <v>1118.9185237136228</v>
      </c>
    </row>
    <row r="287" spans="1:12" hidden="1">
      <c r="A287" s="35" t="s">
        <v>986</v>
      </c>
      <c r="B287" s="176">
        <f>B273*B$20</f>
        <v>547.68929134653445</v>
      </c>
      <c r="C287" s="176">
        <f t="shared" ref="C287:L287" si="146">C273*C$20</f>
        <v>573.23453340034712</v>
      </c>
      <c r="D287" s="176">
        <f t="shared" si="146"/>
        <v>600.5612168348016</v>
      </c>
      <c r="E287" s="176">
        <f t="shared" si="146"/>
        <v>629.75568189747707</v>
      </c>
      <c r="F287" s="176">
        <f t="shared" si="146"/>
        <v>660.66002321471842</v>
      </c>
      <c r="G287" s="176">
        <f t="shared" si="146"/>
        <v>693.44096459592447</v>
      </c>
      <c r="H287" s="176">
        <f t="shared" si="146"/>
        <v>728.33490422081695</v>
      </c>
      <c r="I287" s="176">
        <f t="shared" si="146"/>
        <v>766.65387058094223</v>
      </c>
      <c r="J287" s="176">
        <f t="shared" si="146"/>
        <v>811.16933878275631</v>
      </c>
      <c r="K287" s="176">
        <f t="shared" si="146"/>
        <v>865.78954641543419</v>
      </c>
      <c r="L287" s="176">
        <f t="shared" si="146"/>
        <v>934.14159559459131</v>
      </c>
    </row>
    <row r="288" spans="1:12" hidden="1">
      <c r="A288" s="35" t="s">
        <v>987</v>
      </c>
      <c r="B288" s="176">
        <f t="shared" ref="B288:L288" si="147">B287+B280</f>
        <v>891.01612851470463</v>
      </c>
      <c r="C288" s="176">
        <f t="shared" si="147"/>
        <v>948.53261331052681</v>
      </c>
      <c r="D288" s="176">
        <f t="shared" si="147"/>
        <v>1011.063103635862</v>
      </c>
      <c r="E288" s="176">
        <f t="shared" si="147"/>
        <v>1077.8917523796208</v>
      </c>
      <c r="F288" s="176">
        <f t="shared" si="147"/>
        <v>1147.4627856423535</v>
      </c>
      <c r="G288" s="176">
        <f t="shared" si="147"/>
        <v>1218.787163370047</v>
      </c>
      <c r="H288" s="176">
        <f t="shared" si="147"/>
        <v>1291.4484424286907</v>
      </c>
      <c r="I288" s="176">
        <f t="shared" si="147"/>
        <v>1367.0326524777734</v>
      </c>
      <c r="J288" s="176">
        <f t="shared" si="147"/>
        <v>1449.2275448423402</v>
      </c>
      <c r="K288" s="176">
        <f t="shared" si="147"/>
        <v>1543.5964645441134</v>
      </c>
      <c r="L288" s="176">
        <f t="shared" si="147"/>
        <v>1655.209349256972</v>
      </c>
    </row>
    <row r="289" spans="1:12" hidden="1">
      <c r="B289" s="176"/>
      <c r="C289" s="176"/>
      <c r="D289" s="176"/>
      <c r="E289" s="176"/>
      <c r="F289" s="176"/>
      <c r="G289" s="176"/>
      <c r="H289" s="176"/>
      <c r="I289" s="176"/>
      <c r="J289" s="176"/>
      <c r="K289" s="176"/>
      <c r="L289" s="176"/>
    </row>
    <row r="290" spans="1:12" hidden="1">
      <c r="A290" s="1255" t="s">
        <v>988</v>
      </c>
      <c r="B290" s="1256">
        <f>B280</f>
        <v>343.32683716817013</v>
      </c>
      <c r="C290" s="1256">
        <f>C280</f>
        <v>375.29807991017975</v>
      </c>
      <c r="D290" s="1256">
        <f>D284</f>
        <v>572.05779585552295</v>
      </c>
      <c r="E290" s="1256">
        <f>E284</f>
        <v>614.02059490868737</v>
      </c>
      <c r="F290" s="1256">
        <f>F286</f>
        <v>772.90178983125088</v>
      </c>
      <c r="G290" s="1256">
        <f>G286</f>
        <v>822.33895483738343</v>
      </c>
      <c r="H290" s="1256">
        <f>H286</f>
        <v>875.03477100319333</v>
      </c>
      <c r="I290" s="1256">
        <f>I288</f>
        <v>1367.0326524777734</v>
      </c>
      <c r="J290" s="1256">
        <f>J288</f>
        <v>1449.2275448423402</v>
      </c>
      <c r="K290" s="1256">
        <f>K288</f>
        <v>1543.5964645441134</v>
      </c>
      <c r="L290" s="1256">
        <f>L282</f>
        <v>2562.879213947595</v>
      </c>
    </row>
    <row r="291" spans="1:12" hidden="1">
      <c r="A291" s="1255" t="s">
        <v>991</v>
      </c>
      <c r="B291" s="1256">
        <v>0</v>
      </c>
      <c r="C291" s="1256">
        <v>0</v>
      </c>
      <c r="D291" s="1256">
        <f>D283</f>
        <v>161.55590905446243</v>
      </c>
      <c r="E291" s="1256">
        <f>E283</f>
        <v>165.88452442654358</v>
      </c>
      <c r="F291" s="1256">
        <f>F285</f>
        <v>286.09902740361588</v>
      </c>
      <c r="G291" s="1256">
        <f>G285</f>
        <v>296.99275606326108</v>
      </c>
      <c r="H291" s="1256">
        <f>H285</f>
        <v>311.92123279531978</v>
      </c>
      <c r="I291" s="1256">
        <f>I287</f>
        <v>766.65387058094223</v>
      </c>
      <c r="J291" s="1256">
        <f>J287</f>
        <v>811.16933878275631</v>
      </c>
      <c r="K291" s="1256">
        <f>K287</f>
        <v>865.78954641543419</v>
      </c>
      <c r="L291" s="1256">
        <f>L281</f>
        <v>1841.8114602852143</v>
      </c>
    </row>
    <row r="292" spans="1:12" hidden="1">
      <c r="B292" s="176"/>
      <c r="C292" s="176"/>
      <c r="D292" s="176"/>
      <c r="E292" s="176"/>
      <c r="F292" s="176"/>
      <c r="G292" s="176"/>
      <c r="H292" s="176"/>
      <c r="I292" s="176"/>
      <c r="J292" s="176"/>
      <c r="K292" s="176"/>
      <c r="L292" s="176"/>
    </row>
    <row r="293" spans="1:12" hidden="1">
      <c r="A293" s="35" t="s">
        <v>220</v>
      </c>
      <c r="B293" s="176">
        <f t="shared" ref="B293:L293" si="148">(B266-B280)*0.7</f>
        <v>961.31514407087616</v>
      </c>
      <c r="C293" s="176">
        <f t="shared" si="148"/>
        <v>998.64032579916773</v>
      </c>
      <c r="D293" s="176">
        <f t="shared" si="148"/>
        <v>1037.4933104802783</v>
      </c>
      <c r="E293" s="176">
        <f t="shared" si="148"/>
        <v>1075.1394811105047</v>
      </c>
      <c r="F293" s="176">
        <f t="shared" si="148"/>
        <v>1107.958463369873</v>
      </c>
      <c r="G293" s="176">
        <f t="shared" si="148"/>
        <v>1133.5594737166837</v>
      </c>
      <c r="H293" s="176">
        <f t="shared" si="148"/>
        <v>1151.1079022883164</v>
      </c>
      <c r="I293" s="176">
        <f t="shared" si="148"/>
        <v>1161.8187067187316</v>
      </c>
      <c r="J293" s="176">
        <f t="shared" si="148"/>
        <v>1167.9235190811714</v>
      </c>
      <c r="K293" s="176">
        <f t="shared" si="148"/>
        <v>1172.5287453565577</v>
      </c>
      <c r="L293" s="176">
        <f t="shared" si="148"/>
        <v>1177.743997648555</v>
      </c>
    </row>
    <row r="294" spans="1:12" hidden="1"/>
    <row r="295" spans="1:12" hidden="1">
      <c r="A295" s="188" t="s">
        <v>221</v>
      </c>
      <c r="B295" s="142"/>
      <c r="C295" s="142"/>
      <c r="D295" s="142"/>
      <c r="E295" s="142"/>
      <c r="F295" s="142"/>
      <c r="G295" s="142"/>
      <c r="H295" s="142"/>
      <c r="I295" s="142"/>
      <c r="J295" s="142"/>
      <c r="K295" s="142"/>
      <c r="L295" s="142"/>
    </row>
    <row r="296" spans="1:12" hidden="1">
      <c r="A296" s="35" t="s">
        <v>993</v>
      </c>
      <c r="B296" s="176">
        <f>B275-B291*B$18/100</f>
        <v>0</v>
      </c>
      <c r="C296" s="176">
        <f t="shared" ref="C296:L296" si="149">C275-C291*C$18/100</f>
        <v>0</v>
      </c>
      <c r="D296" s="176">
        <f t="shared" si="149"/>
        <v>704.47093216509586</v>
      </c>
      <c r="E296" s="176">
        <f t="shared" si="149"/>
        <v>651.48450788921309</v>
      </c>
      <c r="F296" s="176">
        <f t="shared" si="149"/>
        <v>930.22666978232144</v>
      </c>
      <c r="G296" s="176">
        <f t="shared" si="149"/>
        <v>915.47509336651297</v>
      </c>
      <c r="H296" s="176">
        <f t="shared" si="149"/>
        <v>910.89216244004933</v>
      </c>
      <c r="I296" s="176">
        <f t="shared" si="149"/>
        <v>2119.4067937414693</v>
      </c>
      <c r="J296" s="176">
        <f t="shared" si="149"/>
        <v>2121.131493120582</v>
      </c>
      <c r="K296" s="176">
        <f t="shared" si="149"/>
        <v>2139.5961075759324</v>
      </c>
      <c r="L296" s="176">
        <f t="shared" si="149"/>
        <v>4297.560073998834</v>
      </c>
    </row>
    <row r="297" spans="1:12" hidden="1">
      <c r="A297" s="35" t="s">
        <v>223</v>
      </c>
      <c r="B297" s="176">
        <f>(B266-B280-B293)*B$17/100</f>
        <v>0</v>
      </c>
      <c r="C297" s="176">
        <f t="shared" ref="C297:L297" si="150">(C266-C280-C293)*C$17/100</f>
        <v>213.9943555283931</v>
      </c>
      <c r="D297" s="176">
        <f t="shared" si="150"/>
        <v>444.63999020583373</v>
      </c>
      <c r="E297" s="176">
        <f t="shared" si="150"/>
        <v>460.77406333307363</v>
      </c>
      <c r="F297" s="176">
        <f t="shared" si="150"/>
        <v>474.83934144423142</v>
      </c>
      <c r="G297" s="176">
        <f t="shared" si="150"/>
        <v>485.81120302143586</v>
      </c>
      <c r="H297" s="176">
        <f t="shared" si="150"/>
        <v>493.33195812356416</v>
      </c>
      <c r="I297" s="176">
        <f t="shared" si="150"/>
        <v>497.92230287945654</v>
      </c>
      <c r="J297" s="176">
        <f t="shared" si="150"/>
        <v>500.53865103478807</v>
      </c>
      <c r="K297" s="176">
        <f t="shared" si="150"/>
        <v>502.51231943852486</v>
      </c>
      <c r="L297" s="176">
        <f t="shared" si="150"/>
        <v>504.74742756366663</v>
      </c>
    </row>
    <row r="298" spans="1:12" hidden="1">
      <c r="A298" s="35" t="s">
        <v>224</v>
      </c>
      <c r="B298" s="176">
        <f>B293*B$17/100</f>
        <v>0</v>
      </c>
      <c r="C298" s="176">
        <f t="shared" ref="C298:L298" si="151">C293*C$17/100</f>
        <v>499.32016289958386</v>
      </c>
      <c r="D298" s="176">
        <f t="shared" si="151"/>
        <v>1037.4933104802783</v>
      </c>
      <c r="E298" s="176">
        <f t="shared" si="151"/>
        <v>1075.1394811105047</v>
      </c>
      <c r="F298" s="176">
        <f t="shared" si="151"/>
        <v>1107.958463369873</v>
      </c>
      <c r="G298" s="176">
        <f t="shared" si="151"/>
        <v>1133.5594737166837</v>
      </c>
      <c r="H298" s="176">
        <f t="shared" si="151"/>
        <v>1151.1079022883164</v>
      </c>
      <c r="I298" s="176">
        <f t="shared" si="151"/>
        <v>1161.8187067187316</v>
      </c>
      <c r="J298" s="176">
        <f t="shared" si="151"/>
        <v>1167.9235190811714</v>
      </c>
      <c r="K298" s="176">
        <f t="shared" si="151"/>
        <v>1172.5287453565577</v>
      </c>
      <c r="L298" s="176">
        <f t="shared" si="151"/>
        <v>1177.743997648555</v>
      </c>
    </row>
    <row r="299" spans="1:12" hidden="1"/>
    <row r="300" spans="1:12" hidden="1">
      <c r="A300" s="188" t="s">
        <v>225</v>
      </c>
    </row>
    <row r="301" spans="1:12" hidden="1">
      <c r="A301" s="35" t="s">
        <v>993</v>
      </c>
      <c r="B301" s="806">
        <f>ECO!G$25*B$276</f>
        <v>258448.38910150141</v>
      </c>
      <c r="C301" s="806">
        <f>ECO!H$25*C$276</f>
        <v>310728.6120375467</v>
      </c>
      <c r="D301" s="806">
        <f>ECO!I$25*D$276</f>
        <v>331762.66163172491</v>
      </c>
      <c r="E301" s="806">
        <f>ECO!J$25*E$276</f>
        <v>351925.13492869999</v>
      </c>
      <c r="F301" s="806">
        <f>ECO!K$25*F$276</f>
        <v>371550.89026425692</v>
      </c>
      <c r="G301" s="806">
        <f>ECO!L$25*G$276</f>
        <v>391340.34649760136</v>
      </c>
      <c r="H301" s="806">
        <f>ECO!M$25*H$276</f>
        <v>411203.49670296017</v>
      </c>
      <c r="I301" s="806">
        <f>ECO!N$25*I$276</f>
        <v>432073.50897705636</v>
      </c>
      <c r="J301" s="806">
        <f>ECO!O$25*J$276</f>
        <v>454001.36064848519</v>
      </c>
      <c r="K301" s="806">
        <f>ECO!P$25*K$276</f>
        <v>477040.60726320284</v>
      </c>
      <c r="L301" s="806">
        <f>ECO!Q$25*L$276</f>
        <v>501247.51285370544</v>
      </c>
    </row>
    <row r="302" spans="1:12" hidden="1">
      <c r="A302" s="35" t="s">
        <v>223</v>
      </c>
      <c r="B302" s="806">
        <f>ECO!G$25*B$276</f>
        <v>258448.38910150141</v>
      </c>
      <c r="C302" s="806">
        <f>ECO!H$25*C$276</f>
        <v>310728.6120375467</v>
      </c>
      <c r="D302" s="806">
        <f>ECO!I$25*D$276</f>
        <v>331762.66163172491</v>
      </c>
      <c r="E302" s="806">
        <f>ECO!J$25*E$276</f>
        <v>351925.13492869999</v>
      </c>
      <c r="F302" s="806">
        <f>ECO!K$25*F$276</f>
        <v>371550.89026425692</v>
      </c>
      <c r="G302" s="806">
        <f>ECO!L$25*G$276</f>
        <v>391340.34649760136</v>
      </c>
      <c r="H302" s="806">
        <f>ECO!M$25*H$276</f>
        <v>411203.49670296017</v>
      </c>
      <c r="I302" s="806">
        <f>ECO!N$25*I$276</f>
        <v>432073.50897705636</v>
      </c>
      <c r="J302" s="806">
        <f>ECO!O$25*J$276</f>
        <v>454001.36064848519</v>
      </c>
      <c r="K302" s="806">
        <f>ECO!P$25*K$276</f>
        <v>477040.60726320284</v>
      </c>
      <c r="L302" s="806">
        <f>ECO!Q$25*L$276</f>
        <v>501247.51285370544</v>
      </c>
    </row>
    <row r="303" spans="1:12" hidden="1">
      <c r="A303" s="35" t="s">
        <v>224</v>
      </c>
      <c r="B303" s="806">
        <f>ECO!G$25-270000</f>
        <v>74597.852135335212</v>
      </c>
      <c r="C303" s="806">
        <f t="shared" ref="C303:L303" si="152">B303*C302/B302</f>
        <v>89687.875925941276</v>
      </c>
      <c r="D303" s="806">
        <f t="shared" si="152"/>
        <v>95759.087771713617</v>
      </c>
      <c r="E303" s="806">
        <f t="shared" si="152"/>
        <v>101578.73016499505</v>
      </c>
      <c r="F303" s="806">
        <f t="shared" si="152"/>
        <v>107243.45572066942</v>
      </c>
      <c r="G303" s="806">
        <f t="shared" si="152"/>
        <v>112955.43146586913</v>
      </c>
      <c r="H303" s="806">
        <f t="shared" si="152"/>
        <v>118688.6780421493</v>
      </c>
      <c r="I303" s="806">
        <f t="shared" si="152"/>
        <v>124712.54259436451</v>
      </c>
      <c r="J303" s="806">
        <f t="shared" si="152"/>
        <v>131041.73908236579</v>
      </c>
      <c r="K303" s="806">
        <f t="shared" si="152"/>
        <v>137691.72563577103</v>
      </c>
      <c r="L303" s="806">
        <f t="shared" si="152"/>
        <v>144678.74215451258</v>
      </c>
    </row>
    <row r="304" spans="1:12" hidden="1"/>
    <row r="305" spans="1:12" hidden="1"/>
    <row r="306" spans="1:12" hidden="1">
      <c r="A306" s="189" t="s">
        <v>226</v>
      </c>
      <c r="B306" s="19"/>
      <c r="C306" s="19"/>
      <c r="D306" s="19"/>
      <c r="E306" s="19"/>
      <c r="F306" s="19"/>
      <c r="G306" s="19"/>
      <c r="H306" s="19"/>
      <c r="I306" s="19"/>
      <c r="J306" s="19"/>
      <c r="K306" s="19"/>
      <c r="L306" s="19"/>
    </row>
    <row r="307" spans="1:12" hidden="1">
      <c r="A307" s="35" t="s">
        <v>993</v>
      </c>
      <c r="B307" s="155">
        <f>B301*B296*12/1000</f>
        <v>0</v>
      </c>
      <c r="C307" s="155">
        <f t="shared" ref="C307:L307" si="153">C301*C296*12/1000</f>
        <v>0</v>
      </c>
      <c r="D307" s="155">
        <f t="shared" si="153"/>
        <v>2804605.8179672942</v>
      </c>
      <c r="E307" s="155">
        <f t="shared" si="153"/>
        <v>2751285.2801144286</v>
      </c>
      <c r="F307" s="155">
        <f t="shared" si="153"/>
        <v>4147518.567662118</v>
      </c>
      <c r="G307" s="155">
        <f t="shared" si="153"/>
        <v>4299148.0829757024</v>
      </c>
      <c r="H307" s="155">
        <f t="shared" si="153"/>
        <v>4494744.5077760285</v>
      </c>
      <c r="I307" s="155">
        <f t="shared" si="153"/>
        <v>10988874.363860268</v>
      </c>
      <c r="J307" s="155">
        <f t="shared" si="153"/>
        <v>11555959.007893166</v>
      </c>
      <c r="K307" s="155">
        <f t="shared" si="153"/>
        <v>12248090.717472093</v>
      </c>
      <c r="L307" s="155">
        <f t="shared" si="153"/>
        <v>25849695.581175625</v>
      </c>
    </row>
    <row r="308" spans="1:12" hidden="1">
      <c r="A308" s="35" t="s">
        <v>223</v>
      </c>
      <c r="B308" s="155">
        <f t="shared" ref="B308:L309" si="154">B302*B297*12/1000</f>
        <v>0</v>
      </c>
      <c r="C308" s="155">
        <f t="shared" si="154"/>
        <v>797930.02892648266</v>
      </c>
      <c r="D308" s="155">
        <f t="shared" si="154"/>
        <v>1770179.3594230979</v>
      </c>
      <c r="E308" s="155">
        <f t="shared" si="154"/>
        <v>1945895.6929216476</v>
      </c>
      <c r="F308" s="155">
        <f t="shared" si="154"/>
        <v>2117123.7605531719</v>
      </c>
      <c r="G308" s="155">
        <f t="shared" si="154"/>
        <v>2281410.2942739036</v>
      </c>
      <c r="H308" s="155">
        <f t="shared" si="154"/>
        <v>2434317.9145887345</v>
      </c>
      <c r="I308" s="155">
        <f t="shared" si="154"/>
        <v>2581668.4392367611</v>
      </c>
      <c r="J308" s="155">
        <f t="shared" si="154"/>
        <v>2726942.7435234133</v>
      </c>
      <c r="K308" s="155">
        <f t="shared" si="154"/>
        <v>2876625.3842663337</v>
      </c>
      <c r="L308" s="155">
        <f t="shared" si="154"/>
        <v>3036040.7122271252</v>
      </c>
    </row>
    <row r="309" spans="1:12" hidden="1">
      <c r="A309" s="35" t="s">
        <v>224</v>
      </c>
      <c r="B309" s="155">
        <f t="shared" si="154"/>
        <v>0</v>
      </c>
      <c r="C309" s="155">
        <f t="shared" si="154"/>
        <v>537395.577809504</v>
      </c>
      <c r="D309" s="155">
        <f t="shared" si="154"/>
        <v>1192192.9557701605</v>
      </c>
      <c r="E309" s="155">
        <f t="shared" si="154"/>
        <v>1310535.6388974809</v>
      </c>
      <c r="F309" s="155">
        <f t="shared" si="154"/>
        <v>1425855.5328809747</v>
      </c>
      <c r="G309" s="155">
        <f t="shared" si="154"/>
        <v>1536500.3933506985</v>
      </c>
      <c r="H309" s="155">
        <f t="shared" si="154"/>
        <v>1639481.7024776621</v>
      </c>
      <c r="I309" s="155">
        <f t="shared" si="154"/>
        <v>1738720.3793830713</v>
      </c>
      <c r="J309" s="155">
        <f t="shared" si="154"/>
        <v>1836560.74866712</v>
      </c>
      <c r="K309" s="155">
        <f t="shared" si="154"/>
        <v>1937370.0756682795</v>
      </c>
      <c r="L309" s="155">
        <f t="shared" si="154"/>
        <v>2044734.2419178418</v>
      </c>
    </row>
    <row r="310" spans="1:12" hidden="1">
      <c r="A310" s="40" t="s">
        <v>227</v>
      </c>
      <c r="B310" s="157">
        <f t="shared" ref="B310:L310" si="155">B307+B308+B309</f>
        <v>0</v>
      </c>
      <c r="C310" s="805">
        <f t="shared" si="155"/>
        <v>1335325.6067359867</v>
      </c>
      <c r="D310" s="805">
        <f t="shared" si="155"/>
        <v>5766978.133160552</v>
      </c>
      <c r="E310" s="805">
        <f t="shared" si="155"/>
        <v>6007716.6119335573</v>
      </c>
      <c r="F310" s="805">
        <f t="shared" si="155"/>
        <v>7690497.8610962648</v>
      </c>
      <c r="G310" s="805">
        <f t="shared" si="155"/>
        <v>8117058.770600304</v>
      </c>
      <c r="H310" s="805">
        <f t="shared" si="155"/>
        <v>8568544.1248424258</v>
      </c>
      <c r="I310" s="805">
        <f t="shared" si="155"/>
        <v>15309263.182480101</v>
      </c>
      <c r="J310" s="805">
        <f t="shared" si="155"/>
        <v>16119462.5000837</v>
      </c>
      <c r="K310" s="805">
        <f t="shared" si="155"/>
        <v>17062086.177406706</v>
      </c>
      <c r="L310" s="805">
        <f t="shared" si="155"/>
        <v>30930470.535320591</v>
      </c>
    </row>
    <row r="311" spans="1:12" hidden="1"/>
    <row r="312" spans="1:12" hidden="1">
      <c r="A312" s="28" t="s">
        <v>478</v>
      </c>
      <c r="B312" s="19">
        <v>0.1</v>
      </c>
      <c r="C312" s="19">
        <f>B312</f>
        <v>0.1</v>
      </c>
      <c r="D312" s="19">
        <f t="shared" ref="D312:L312" si="156">C312</f>
        <v>0.1</v>
      </c>
      <c r="E312" s="19">
        <f t="shared" si="156"/>
        <v>0.1</v>
      </c>
      <c r="F312" s="19">
        <f t="shared" si="156"/>
        <v>0.1</v>
      </c>
      <c r="G312" s="19">
        <f t="shared" si="156"/>
        <v>0.1</v>
      </c>
      <c r="H312" s="19">
        <f t="shared" si="156"/>
        <v>0.1</v>
      </c>
      <c r="I312" s="19">
        <f t="shared" si="156"/>
        <v>0.1</v>
      </c>
      <c r="J312" s="19">
        <f t="shared" si="156"/>
        <v>0.1</v>
      </c>
      <c r="K312" s="19">
        <f t="shared" si="156"/>
        <v>0.1</v>
      </c>
      <c r="L312" s="19">
        <f t="shared" si="156"/>
        <v>0.1</v>
      </c>
    </row>
    <row r="313" spans="1:12" hidden="1"/>
    <row r="314" spans="1:12" hidden="1">
      <c r="A314" s="46" t="s">
        <v>477</v>
      </c>
    </row>
    <row r="315" spans="1:12" hidden="1">
      <c r="A315" s="189" t="s">
        <v>226</v>
      </c>
      <c r="B315" s="19"/>
      <c r="C315" s="19"/>
      <c r="D315" s="19"/>
      <c r="E315" s="19"/>
      <c r="F315" s="19"/>
      <c r="G315" s="19"/>
      <c r="H315" s="19"/>
      <c r="I315" s="19"/>
      <c r="J315" s="19"/>
      <c r="K315" s="19"/>
      <c r="L315" s="19"/>
    </row>
    <row r="316" spans="1:12" hidden="1">
      <c r="A316" s="35" t="s">
        <v>993</v>
      </c>
      <c r="B316" s="155">
        <f>B307*(1+B$137)</f>
        <v>0</v>
      </c>
      <c r="C316" s="804">
        <f t="shared" ref="C316:L316" si="157">C307*(1+C$137)</f>
        <v>0</v>
      </c>
      <c r="D316" s="804">
        <f t="shared" si="157"/>
        <v>3225296.6906623882</v>
      </c>
      <c r="E316" s="804">
        <f t="shared" si="157"/>
        <v>3163978.0721315928</v>
      </c>
      <c r="F316" s="804">
        <f t="shared" si="157"/>
        <v>4769646.3528114352</v>
      </c>
      <c r="G316" s="804">
        <f t="shared" si="157"/>
        <v>4944020.2954220576</v>
      </c>
      <c r="H316" s="804">
        <f t="shared" si="157"/>
        <v>5168956.1839424325</v>
      </c>
      <c r="I316" s="804">
        <f t="shared" si="157"/>
        <v>12637205.518439308</v>
      </c>
      <c r="J316" s="804">
        <f t="shared" si="157"/>
        <v>13289352.859077139</v>
      </c>
      <c r="K316" s="804">
        <f t="shared" si="157"/>
        <v>14085304.325092906</v>
      </c>
      <c r="L316" s="804">
        <f t="shared" si="157"/>
        <v>29727149.918351967</v>
      </c>
    </row>
    <row r="317" spans="1:12" hidden="1">
      <c r="A317" s="35" t="s">
        <v>223</v>
      </c>
      <c r="B317" s="155">
        <f t="shared" ref="B317:L317" si="158">B308*(1+B$137)</f>
        <v>0</v>
      </c>
      <c r="C317" s="804">
        <f t="shared" si="158"/>
        <v>917619.53326545493</v>
      </c>
      <c r="D317" s="804">
        <f t="shared" si="158"/>
        <v>2035706.2633365626</v>
      </c>
      <c r="E317" s="804">
        <f t="shared" si="158"/>
        <v>2237780.0468598944</v>
      </c>
      <c r="F317" s="804">
        <f t="shared" si="158"/>
        <v>2434692.3246361474</v>
      </c>
      <c r="G317" s="804">
        <f t="shared" si="158"/>
        <v>2623621.8384149889</v>
      </c>
      <c r="H317" s="804">
        <f t="shared" si="158"/>
        <v>2799465.6017770446</v>
      </c>
      <c r="I317" s="804">
        <f t="shared" si="158"/>
        <v>2968918.7051222748</v>
      </c>
      <c r="J317" s="804">
        <f t="shared" si="158"/>
        <v>3135984.1550519252</v>
      </c>
      <c r="K317" s="804">
        <f t="shared" si="158"/>
        <v>3308119.1919062836</v>
      </c>
      <c r="L317" s="804">
        <f t="shared" si="158"/>
        <v>3491446.8190611936</v>
      </c>
    </row>
    <row r="318" spans="1:12" hidden="1">
      <c r="A318" s="35" t="s">
        <v>224</v>
      </c>
      <c r="B318" s="155">
        <f t="shared" ref="B318:L318" si="159">B309*(1+B$137)</f>
        <v>0</v>
      </c>
      <c r="C318" s="804">
        <f t="shared" si="159"/>
        <v>618004.9144809295</v>
      </c>
      <c r="D318" s="804">
        <f t="shared" si="159"/>
        <v>1371021.8991356846</v>
      </c>
      <c r="E318" s="804">
        <f t="shared" si="159"/>
        <v>1507115.9847321028</v>
      </c>
      <c r="F318" s="804">
        <f t="shared" si="159"/>
        <v>1639733.8628131207</v>
      </c>
      <c r="G318" s="804">
        <f t="shared" si="159"/>
        <v>1766975.4523533031</v>
      </c>
      <c r="H318" s="804">
        <f t="shared" si="159"/>
        <v>1885403.9578493114</v>
      </c>
      <c r="I318" s="804">
        <f t="shared" si="159"/>
        <v>1999528.4362905319</v>
      </c>
      <c r="J318" s="804">
        <f t="shared" si="159"/>
        <v>2112044.8609671877</v>
      </c>
      <c r="K318" s="804">
        <f t="shared" si="159"/>
        <v>2227975.5870185215</v>
      </c>
      <c r="L318" s="804">
        <f t="shared" si="159"/>
        <v>2351444.3782055178</v>
      </c>
    </row>
    <row r="319" spans="1:12" hidden="1">
      <c r="A319" s="40" t="s">
        <v>227</v>
      </c>
      <c r="B319" s="157">
        <f t="shared" ref="B319:L319" si="160">B316+B317+B318</f>
        <v>0</v>
      </c>
      <c r="C319" s="805">
        <f t="shared" si="160"/>
        <v>1535624.4477463844</v>
      </c>
      <c r="D319" s="805">
        <f t="shared" si="160"/>
        <v>6632024.8531346358</v>
      </c>
      <c r="E319" s="805">
        <f t="shared" si="160"/>
        <v>6908874.1037235893</v>
      </c>
      <c r="F319" s="805">
        <f t="shared" si="160"/>
        <v>8844072.5402607024</v>
      </c>
      <c r="G319" s="805">
        <f t="shared" si="160"/>
        <v>9334617.5861903485</v>
      </c>
      <c r="H319" s="805">
        <f t="shared" si="160"/>
        <v>9853825.7435687874</v>
      </c>
      <c r="I319" s="805">
        <f t="shared" si="160"/>
        <v>17605652.659852114</v>
      </c>
      <c r="J319" s="805">
        <f t="shared" si="160"/>
        <v>18537381.875096254</v>
      </c>
      <c r="K319" s="805">
        <f t="shared" si="160"/>
        <v>19621399.104017712</v>
      </c>
      <c r="L319" s="805">
        <f t="shared" si="160"/>
        <v>35570041.115618676</v>
      </c>
    </row>
    <row r="320" spans="1:12" hidden="1">
      <c r="A320" s="40"/>
      <c r="B320" s="157"/>
      <c r="C320" s="157"/>
      <c r="D320" s="157"/>
      <c r="E320" s="157"/>
      <c r="F320" s="157"/>
      <c r="G320" s="157"/>
      <c r="H320" s="157"/>
      <c r="I320" s="157"/>
      <c r="J320" s="157"/>
      <c r="K320" s="157"/>
      <c r="L320" s="157"/>
    </row>
    <row r="321" spans="1:12" hidden="1">
      <c r="A321" s="169" t="s">
        <v>228</v>
      </c>
      <c r="B321" s="75"/>
      <c r="C321" s="75"/>
      <c r="D321" s="75"/>
      <c r="E321" s="75"/>
      <c r="F321" s="75"/>
      <c r="G321" s="75"/>
      <c r="H321" s="75"/>
      <c r="I321" s="75"/>
      <c r="J321" s="75"/>
      <c r="K321" s="75"/>
      <c r="L321" s="75"/>
    </row>
    <row r="322" spans="1:12" hidden="1">
      <c r="B322" s="157">
        <v>2010</v>
      </c>
      <c r="C322" s="157">
        <v>2011</v>
      </c>
      <c r="D322" s="157">
        <v>2012</v>
      </c>
      <c r="E322" s="157">
        <v>2013</v>
      </c>
      <c r="F322" s="157">
        <v>2014</v>
      </c>
      <c r="G322" s="157">
        <v>2015</v>
      </c>
      <c r="H322" s="157">
        <v>2016</v>
      </c>
      <c r="I322" s="157">
        <v>2017</v>
      </c>
      <c r="J322" s="157">
        <v>2018</v>
      </c>
      <c r="K322" s="157">
        <v>2019</v>
      </c>
      <c r="L322" s="157">
        <v>2020</v>
      </c>
    </row>
    <row r="323" spans="1:12" hidden="1">
      <c r="A323" s="35" t="s">
        <v>993</v>
      </c>
      <c r="B323" s="145">
        <f>B316/B$13*100</f>
        <v>0</v>
      </c>
      <c r="C323" s="145">
        <f t="shared" ref="C323:L323" si="161">C316/C$13*100</f>
        <v>0</v>
      </c>
      <c r="D323" s="145">
        <f t="shared" si="161"/>
        <v>0.11709942438850543</v>
      </c>
      <c r="E323" s="145">
        <f t="shared" si="161"/>
        <v>0.10003455653021717</v>
      </c>
      <c r="F323" s="145">
        <f t="shared" si="161"/>
        <v>0.1316767678005504</v>
      </c>
      <c r="G323" s="145">
        <f t="shared" si="161"/>
        <v>0.11972999419843013</v>
      </c>
      <c r="H323" s="145">
        <f t="shared" si="161"/>
        <v>0.11025685625007861</v>
      </c>
      <c r="I323" s="145">
        <f t="shared" si="161"/>
        <v>0.23784855116298176</v>
      </c>
      <c r="J323" s="145">
        <f t="shared" si="161"/>
        <v>0.22070011217539329</v>
      </c>
      <c r="K323" s="145">
        <f t="shared" si="161"/>
        <v>0.20633605671140867</v>
      </c>
      <c r="L323" s="145">
        <f t="shared" si="161"/>
        <v>0.38399588906299631</v>
      </c>
    </row>
    <row r="324" spans="1:12" hidden="1">
      <c r="A324" s="35" t="s">
        <v>223</v>
      </c>
      <c r="B324" s="145">
        <f t="shared" ref="B324:L324" si="162">B317/B$13*100</f>
        <v>0</v>
      </c>
      <c r="C324" s="145">
        <f t="shared" si="162"/>
        <v>3.8110911793226065E-2</v>
      </c>
      <c r="D324" s="145">
        <f t="shared" si="162"/>
        <v>7.3909489428034603E-2</v>
      </c>
      <c r="E324" s="145">
        <f t="shared" si="162"/>
        <v>7.0751228199563782E-2</v>
      </c>
      <c r="F324" s="145">
        <f t="shared" si="162"/>
        <v>6.7215133404581517E-2</v>
      </c>
      <c r="G324" s="145">
        <f t="shared" si="162"/>
        <v>6.3536597489935079E-2</v>
      </c>
      <c r="H324" s="145">
        <f t="shared" si="162"/>
        <v>5.9714237352414948E-2</v>
      </c>
      <c r="I324" s="145">
        <f t="shared" si="162"/>
        <v>5.5878889640881516E-2</v>
      </c>
      <c r="J324" s="145">
        <f t="shared" si="162"/>
        <v>5.2080192477354292E-2</v>
      </c>
      <c r="K324" s="145">
        <f t="shared" si="162"/>
        <v>4.8460739891381228E-2</v>
      </c>
      <c r="L324" s="145">
        <f t="shared" si="162"/>
        <v>4.5100227538930518E-2</v>
      </c>
    </row>
    <row r="325" spans="1:12" hidden="1">
      <c r="A325" s="35" t="s">
        <v>224</v>
      </c>
      <c r="B325" s="145">
        <f t="shared" ref="B325:L325" si="163">B318/B$13*100</f>
        <v>0</v>
      </c>
      <c r="C325" s="145">
        <f t="shared" si="163"/>
        <v>2.5667207300772921E-2</v>
      </c>
      <c r="D325" s="145">
        <f t="shared" si="163"/>
        <v>4.9777087384743041E-2</v>
      </c>
      <c r="E325" s="145">
        <f t="shared" si="163"/>
        <v>4.7650039202296685E-2</v>
      </c>
      <c r="F325" s="145">
        <f t="shared" si="163"/>
        <v>4.5268524988456085E-2</v>
      </c>
      <c r="G325" s="145">
        <f t="shared" si="163"/>
        <v>4.2791078518614599E-2</v>
      </c>
      <c r="H325" s="145">
        <f t="shared" si="163"/>
        <v>4.0216768290608516E-2</v>
      </c>
      <c r="I325" s="145">
        <f t="shared" si="163"/>
        <v>3.7633711099099076E-2</v>
      </c>
      <c r="J325" s="145">
        <f t="shared" si="163"/>
        <v>3.5075337578724726E-2</v>
      </c>
      <c r="K325" s="145">
        <f t="shared" si="163"/>
        <v>3.2637682968319925E-2</v>
      </c>
      <c r="L325" s="145">
        <f t="shared" si="163"/>
        <v>3.0374421263768107E-2</v>
      </c>
    </row>
    <row r="326" spans="1:12" ht="30" hidden="1">
      <c r="A326" s="44" t="s">
        <v>481</v>
      </c>
      <c r="B326" s="180">
        <f t="shared" ref="B326:L326" si="164">B323+B324+B325</f>
        <v>0</v>
      </c>
      <c r="C326" s="180">
        <f t="shared" si="164"/>
        <v>6.3778119093998983E-2</v>
      </c>
      <c r="D326" s="180">
        <f t="shared" si="164"/>
        <v>0.24078600120128307</v>
      </c>
      <c r="E326" s="180">
        <f t="shared" si="164"/>
        <v>0.21843582393207764</v>
      </c>
      <c r="F326" s="180">
        <f t="shared" si="164"/>
        <v>0.24416042619358802</v>
      </c>
      <c r="G326" s="180">
        <f t="shared" si="164"/>
        <v>0.22605767020697981</v>
      </c>
      <c r="H326" s="180">
        <f t="shared" si="164"/>
        <v>0.2101878618931021</v>
      </c>
      <c r="I326" s="180">
        <f t="shared" si="164"/>
        <v>0.33136115190296234</v>
      </c>
      <c r="J326" s="180">
        <f t="shared" si="164"/>
        <v>0.30785564223147233</v>
      </c>
      <c r="K326" s="180">
        <f t="shared" si="164"/>
        <v>0.28743447957110985</v>
      </c>
      <c r="L326" s="180">
        <f t="shared" si="164"/>
        <v>0.45947053786569492</v>
      </c>
    </row>
    <row r="327" spans="1:12" hidden="1">
      <c r="A327" s="169" t="s">
        <v>476</v>
      </c>
      <c r="B327" s="75"/>
      <c r="C327" s="75"/>
      <c r="D327" s="75"/>
      <c r="E327" s="75"/>
      <c r="F327" s="75"/>
      <c r="G327" s="75"/>
      <c r="H327" s="75"/>
      <c r="I327" s="75"/>
      <c r="J327" s="75"/>
      <c r="K327" s="75"/>
      <c r="L327" s="75"/>
    </row>
    <row r="328" spans="1:12" hidden="1">
      <c r="B328" s="157">
        <v>2010</v>
      </c>
      <c r="C328" s="157">
        <v>2011</v>
      </c>
      <c r="D328" s="157">
        <v>2012</v>
      </c>
      <c r="E328" s="157">
        <v>2013</v>
      </c>
      <c r="F328" s="157">
        <v>2014</v>
      </c>
      <c r="G328" s="157">
        <v>2015</v>
      </c>
      <c r="H328" s="157">
        <v>2016</v>
      </c>
      <c r="I328" s="157">
        <v>2017</v>
      </c>
      <c r="J328" s="157">
        <v>2018</v>
      </c>
      <c r="K328" s="157">
        <v>2019</v>
      </c>
      <c r="L328" s="157">
        <v>2020</v>
      </c>
    </row>
    <row r="329" spans="1:12" hidden="1">
      <c r="A329" s="35" t="s">
        <v>993</v>
      </c>
      <c r="B329" s="145">
        <f>B316/B$14*100</f>
        <v>0</v>
      </c>
      <c r="C329" s="145">
        <f t="shared" ref="C329:L329" si="165">C316/C$14*100</f>
        <v>0</v>
      </c>
      <c r="D329" s="145">
        <f t="shared" si="165"/>
        <v>0.36760834036562856</v>
      </c>
      <c r="E329" s="145">
        <f t="shared" si="165"/>
        <v>0.31564373027535331</v>
      </c>
      <c r="F329" s="145">
        <f t="shared" si="165"/>
        <v>0.41668079794637536</v>
      </c>
      <c r="G329" s="145">
        <f t="shared" si="165"/>
        <v>0.38006041108018818</v>
      </c>
      <c r="H329" s="145">
        <f t="shared" si="165"/>
        <v>0.35165468476692485</v>
      </c>
      <c r="I329" s="145">
        <f t="shared" si="165"/>
        <v>0.76049256929080311</v>
      </c>
      <c r="J329" s="145">
        <f t="shared" si="165"/>
        <v>0.70913263669690318</v>
      </c>
      <c r="K329" s="145">
        <f t="shared" si="165"/>
        <v>0.66609653057602225</v>
      </c>
      <c r="L329" s="145">
        <f t="shared" si="165"/>
        <v>1.2453757978005633</v>
      </c>
    </row>
    <row r="330" spans="1:12" hidden="1">
      <c r="A330" s="35" t="s">
        <v>223</v>
      </c>
      <c r="B330" s="145">
        <f t="shared" ref="B330:L330" si="166">B317/B$14*100</f>
        <v>0</v>
      </c>
      <c r="C330" s="145">
        <f t="shared" si="166"/>
        <v>0.12013831187952902</v>
      </c>
      <c r="D330" s="145">
        <f t="shared" si="166"/>
        <v>0.23202287191240686</v>
      </c>
      <c r="E330" s="145">
        <f t="shared" si="166"/>
        <v>0.22324467029278278</v>
      </c>
      <c r="F330" s="145">
        <f t="shared" si="166"/>
        <v>0.21269701473471328</v>
      </c>
      <c r="G330" s="145">
        <f t="shared" si="166"/>
        <v>0.20168501236741732</v>
      </c>
      <c r="H330" s="145">
        <f t="shared" si="166"/>
        <v>0.19045338336722109</v>
      </c>
      <c r="I330" s="145">
        <f t="shared" si="166"/>
        <v>0.17866613079762639</v>
      </c>
      <c r="J330" s="145">
        <f t="shared" si="166"/>
        <v>0.16733912750256469</v>
      </c>
      <c r="K330" s="145">
        <f t="shared" si="166"/>
        <v>0.15644154116962575</v>
      </c>
      <c r="L330" s="145">
        <f t="shared" si="166"/>
        <v>0.14626909675865854</v>
      </c>
    </row>
    <row r="331" spans="1:12" hidden="1">
      <c r="A331" s="35" t="s">
        <v>224</v>
      </c>
      <c r="B331" s="145">
        <f t="shared" ref="B331:L331" si="167">B318/B$14*100</f>
        <v>0</v>
      </c>
      <c r="C331" s="145">
        <f t="shared" si="167"/>
        <v>8.0911602758474824E-2</v>
      </c>
      <c r="D331" s="145">
        <f t="shared" si="167"/>
        <v>0.15626441015654083</v>
      </c>
      <c r="E331" s="145">
        <f t="shared" si="167"/>
        <v>0.15035240464165517</v>
      </c>
      <c r="F331" s="145">
        <f t="shared" si="167"/>
        <v>0.14324869473266694</v>
      </c>
      <c r="G331" s="145">
        <f t="shared" si="167"/>
        <v>0.13583225323970252</v>
      </c>
      <c r="H331" s="145">
        <f t="shared" si="167"/>
        <v>0.1282678960435924</v>
      </c>
      <c r="I331" s="145">
        <f t="shared" si="167"/>
        <v>0.12032933354338655</v>
      </c>
      <c r="J331" s="145">
        <f t="shared" si="167"/>
        <v>0.11270074299041626</v>
      </c>
      <c r="K331" s="145">
        <f t="shared" si="167"/>
        <v>0.10536135922014059</v>
      </c>
      <c r="L331" s="145">
        <f t="shared" si="167"/>
        <v>9.8510349176914772E-2</v>
      </c>
    </row>
    <row r="332" spans="1:12" ht="30" hidden="1">
      <c r="A332" s="44" t="s">
        <v>482</v>
      </c>
      <c r="B332" s="180">
        <f t="shared" ref="B332:L332" si="168">B329+B330+B331</f>
        <v>0</v>
      </c>
      <c r="C332" s="180">
        <f t="shared" si="168"/>
        <v>0.20104991463800384</v>
      </c>
      <c r="D332" s="180">
        <f t="shared" si="168"/>
        <v>0.7558956224345762</v>
      </c>
      <c r="E332" s="180">
        <f t="shared" si="168"/>
        <v>0.68924080520979114</v>
      </c>
      <c r="F332" s="180">
        <f t="shared" si="168"/>
        <v>0.77262650741375549</v>
      </c>
      <c r="G332" s="180">
        <f t="shared" si="168"/>
        <v>0.71757767668730799</v>
      </c>
      <c r="H332" s="180">
        <f t="shared" si="168"/>
        <v>0.67037596417773826</v>
      </c>
      <c r="I332" s="180">
        <f t="shared" si="168"/>
        <v>1.059488033631816</v>
      </c>
      <c r="J332" s="180">
        <f t="shared" si="168"/>
        <v>0.98917250718988414</v>
      </c>
      <c r="K332" s="180">
        <f t="shared" si="168"/>
        <v>0.92789943096578853</v>
      </c>
      <c r="L332" s="180">
        <f t="shared" si="168"/>
        <v>1.4901552437361367</v>
      </c>
    </row>
    <row r="333" spans="1:12" hidden="1">
      <c r="A333" s="32"/>
      <c r="B333" s="75"/>
      <c r="C333" s="75"/>
      <c r="D333" s="75"/>
      <c r="E333" s="75"/>
      <c r="F333" s="75"/>
      <c r="G333" s="75"/>
      <c r="H333" s="75"/>
      <c r="I333" s="75"/>
      <c r="J333" s="75"/>
      <c r="K333" s="75"/>
      <c r="L333" s="75"/>
    </row>
    <row r="334" spans="1:12" hidden="1">
      <c r="A334" s="191"/>
      <c r="B334" s="139"/>
      <c r="C334" s="139"/>
      <c r="D334" s="139"/>
      <c r="E334" s="139"/>
      <c r="F334" s="139"/>
      <c r="G334" s="139"/>
      <c r="H334" s="139"/>
      <c r="I334" s="139"/>
      <c r="J334" s="139"/>
      <c r="K334" s="139"/>
      <c r="L334" s="139"/>
    </row>
    <row r="335" spans="1:12" hidden="1"/>
    <row r="336" spans="1:12" hidden="1"/>
    <row r="337" spans="1:12" hidden="1">
      <c r="A337" s="32"/>
      <c r="B337" s="75"/>
      <c r="C337" s="75"/>
      <c r="D337" s="75"/>
      <c r="E337" s="75"/>
      <c r="F337" s="75"/>
      <c r="G337" s="75"/>
      <c r="H337" s="75"/>
      <c r="I337" s="75"/>
      <c r="J337" s="75"/>
      <c r="K337" s="75"/>
      <c r="L337" s="75"/>
    </row>
    <row r="338" spans="1:12" ht="15.75" hidden="1">
      <c r="A338" s="1534" t="s">
        <v>349</v>
      </c>
      <c r="B338" s="1535"/>
      <c r="C338" s="1535"/>
      <c r="D338" s="1535"/>
      <c r="E338" s="1535"/>
      <c r="F338" s="1535"/>
      <c r="G338" s="1535"/>
      <c r="H338" s="1535"/>
      <c r="I338" s="1535"/>
      <c r="J338" s="1535"/>
      <c r="K338" s="1535"/>
      <c r="L338" s="1535"/>
    </row>
    <row r="339" spans="1:12" ht="15.75" hidden="1">
      <c r="B339" s="80">
        <v>2010</v>
      </c>
      <c r="C339" s="80">
        <v>2011</v>
      </c>
      <c r="D339" s="80">
        <v>2012</v>
      </c>
      <c r="E339" s="80">
        <v>2013</v>
      </c>
      <c r="F339" s="80">
        <v>2014</v>
      </c>
      <c r="G339" s="80">
        <v>2015</v>
      </c>
      <c r="H339" s="80">
        <v>2016</v>
      </c>
      <c r="I339" s="80">
        <v>2017</v>
      </c>
      <c r="J339" s="80">
        <v>2018</v>
      </c>
      <c r="K339" s="80">
        <v>2019</v>
      </c>
      <c r="L339" s="80">
        <v>2020</v>
      </c>
    </row>
    <row r="340" spans="1:12" hidden="1">
      <c r="A340" s="188" t="s">
        <v>82</v>
      </c>
      <c r="B340" s="142"/>
      <c r="C340" s="142"/>
      <c r="D340" s="142"/>
      <c r="E340" s="142"/>
      <c r="F340" s="142"/>
      <c r="G340" s="142"/>
      <c r="H340" s="142"/>
      <c r="I340" s="142"/>
      <c r="J340" s="142"/>
      <c r="K340" s="142"/>
      <c r="L340" s="142"/>
    </row>
    <row r="341" spans="1:12" hidden="1">
      <c r="A341" s="35" t="s">
        <v>230</v>
      </c>
      <c r="B341" s="176">
        <f>SUM(POP!G$346:G$381)</f>
        <v>6266.0305708736087</v>
      </c>
      <c r="C341" s="176">
        <f>SUM(POP!H$346:H$381)</f>
        <v>6378.2420222139399</v>
      </c>
      <c r="D341" s="176">
        <f>SUM(POP!I$346:I$381)</f>
        <v>6494.388621808268</v>
      </c>
      <c r="E341" s="176">
        <f>SUM(POP!J$346:J$381)</f>
        <v>6624.4452765007127</v>
      </c>
      <c r="F341" s="176">
        <f>SUM(POP!K$346:K$381)</f>
        <v>6780.7732062872346</v>
      </c>
      <c r="G341" s="176">
        <f>SUM(POP!L$346:L$381)</f>
        <v>6972.8988427545573</v>
      </c>
      <c r="H341" s="176">
        <f>SUM(POP!M$346:M$381)</f>
        <v>7204.7054696045288</v>
      </c>
      <c r="I341" s="176">
        <f>SUM(POP!N$346:N$381)</f>
        <v>7476.6064397786995</v>
      </c>
      <c r="J341" s="176">
        <f>SUM(POP!O$346:O$381)</f>
        <v>7790.1440600045871</v>
      </c>
      <c r="K341" s="176">
        <f>SUM(POP!P$346:P$381)</f>
        <v>8145.6665099886859</v>
      </c>
      <c r="L341" s="176">
        <f>SUM(POP!Q$346:Q$381)</f>
        <v>8542.9307131586502</v>
      </c>
    </row>
    <row r="342" spans="1:12" hidden="1">
      <c r="A342" s="35" t="s">
        <v>214</v>
      </c>
      <c r="B342" s="176">
        <f>SUM(POP!G$361:G$381)</f>
        <v>1716.6341858408505</v>
      </c>
      <c r="C342" s="176">
        <f>SUM(POP!H$361:H$381)</f>
        <v>1801.9271167661336</v>
      </c>
      <c r="D342" s="176">
        <f>SUM(POP!I$361:I$381)</f>
        <v>1892.6351874871725</v>
      </c>
      <c r="E342" s="176">
        <f>SUM(POP!J$361:J$381)</f>
        <v>1984.0496149257222</v>
      </c>
      <c r="F342" s="176">
        <f>SUM(POP!K$361:K$381)</f>
        <v>2069.6005672417396</v>
      </c>
      <c r="G342" s="176">
        <f>SUM(POP!L$361:L$381)</f>
        <v>2144.716875512242</v>
      </c>
      <c r="H342" s="176">
        <f>SUM(POP!M$361:M$381)</f>
        <v>2207.5533986197543</v>
      </c>
      <c r="I342" s="176">
        <f>SUM(POP!N$361:N$381)</f>
        <v>2260.1197914950194</v>
      </c>
      <c r="J342" s="176">
        <f>SUM(POP!O$361:O$381)</f>
        <v>2306.5203761755433</v>
      </c>
      <c r="K342" s="176">
        <f>SUM(POP!P$361:P$381)</f>
        <v>2352.8479829237617</v>
      </c>
      <c r="L342" s="176">
        <f>SUM(POP!Q$361:Q$381)</f>
        <v>2403.5591788746024</v>
      </c>
    </row>
    <row r="343" spans="1:12" hidden="1">
      <c r="A343" s="35" t="s">
        <v>231</v>
      </c>
      <c r="B343" s="176">
        <f t="shared" ref="B343:L343" si="169">B341-B342</f>
        <v>4549.3963850327582</v>
      </c>
      <c r="C343" s="176">
        <f t="shared" si="169"/>
        <v>4576.3149054478063</v>
      </c>
      <c r="D343" s="176">
        <f t="shared" si="169"/>
        <v>4601.7534343210955</v>
      </c>
      <c r="E343" s="176">
        <f t="shared" si="169"/>
        <v>4640.3956615749903</v>
      </c>
      <c r="F343" s="176">
        <f t="shared" si="169"/>
        <v>4711.1726390454951</v>
      </c>
      <c r="G343" s="176">
        <f t="shared" si="169"/>
        <v>4828.1819672423153</v>
      </c>
      <c r="H343" s="176">
        <f t="shared" si="169"/>
        <v>4997.1520709847746</v>
      </c>
      <c r="I343" s="176">
        <f t="shared" si="169"/>
        <v>5216.4866482836806</v>
      </c>
      <c r="J343" s="176">
        <f t="shared" si="169"/>
        <v>5483.6236838290442</v>
      </c>
      <c r="K343" s="176">
        <f t="shared" si="169"/>
        <v>5792.8185270649246</v>
      </c>
      <c r="L343" s="176">
        <f t="shared" si="169"/>
        <v>6139.3715342840478</v>
      </c>
    </row>
    <row r="344" spans="1:12" hidden="1">
      <c r="A344" s="35" t="s">
        <v>975</v>
      </c>
      <c r="B344" s="176">
        <f>SUM(POP!G$358:G$381)</f>
        <v>2460.9597751115061</v>
      </c>
      <c r="C344" s="176">
        <f>SUM(POP!H$358:H$381)</f>
        <v>2551.7400203195984</v>
      </c>
      <c r="D344" s="176">
        <f>SUM(POP!I$358:I$381)</f>
        <v>2637.495096915884</v>
      </c>
      <c r="E344" s="176">
        <f>SUM(POP!J$358:J$381)</f>
        <v>2718.476385028207</v>
      </c>
      <c r="F344" s="176">
        <f>SUM(POP!K$358:K$381)</f>
        <v>2795.2588757852986</v>
      </c>
      <c r="G344" s="176">
        <f>SUM(POP!L$358:L$381)</f>
        <v>2868.3621821525016</v>
      </c>
      <c r="H344" s="176">
        <f>SUM(POP!M$358:M$381)</f>
        <v>2938.7872482485363</v>
      </c>
      <c r="I344" s="176">
        <f>SUM(POP!N$358:N$381)</f>
        <v>3007.0169580745646</v>
      </c>
      <c r="J344" s="176">
        <f>SUM(POP!O$358:O$381)</f>
        <v>3072.7328054528648</v>
      </c>
      <c r="K344" s="176">
        <f>SUM(POP!P$358:P$381)</f>
        <v>3135.3872871183335</v>
      </c>
      <c r="L344" s="176">
        <f>SUM(POP!Q$358:Q$381)</f>
        <v>3195.2979666109063</v>
      </c>
    </row>
    <row r="345" spans="1:12" hidden="1">
      <c r="A345" s="35" t="s">
        <v>977</v>
      </c>
      <c r="B345" s="176">
        <f>SUM(POP!G$356:G$381)</f>
        <v>2967.0620220765054</v>
      </c>
      <c r="C345" s="176">
        <f>SUM(POP!H$356:H$381)</f>
        <v>3057.9025661980463</v>
      </c>
      <c r="D345" s="176">
        <f>SUM(POP!I$356:I$381)</f>
        <v>3139.5023223122939</v>
      </c>
      <c r="E345" s="176">
        <f>SUM(POP!J$356:J$381)</f>
        <v>3214.3016713245497</v>
      </c>
      <c r="F345" s="176">
        <f>SUM(POP!K$356:K$381)</f>
        <v>3285.9262644276769</v>
      </c>
      <c r="G345" s="176">
        <f>SUM(POP!L$356:L$381)</f>
        <v>3357.1847249420161</v>
      </c>
      <c r="H345" s="176">
        <f>SUM(POP!M$356:M$381)</f>
        <v>3430.3667938551234</v>
      </c>
      <c r="I345" s="176">
        <f>SUM(POP!N$356:N$381)</f>
        <v>3505.7392534100345</v>
      </c>
      <c r="J345" s="176">
        <f>SUM(POP!O$356:O$381)</f>
        <v>3581.9861971524579</v>
      </c>
      <c r="K345" s="176">
        <f>SUM(POP!P$356:P$381)</f>
        <v>3656.8607190777097</v>
      </c>
      <c r="L345" s="176">
        <f>SUM(POP!Q$356:Q$381)</f>
        <v>3729.7284123787426</v>
      </c>
    </row>
    <row r="346" spans="1:12" hidden="1">
      <c r="A346" s="35" t="s">
        <v>976</v>
      </c>
      <c r="B346" s="176">
        <f>SUM(POP!G$351:G$381)</f>
        <v>4455.0806425735227</v>
      </c>
      <c r="C346" s="176">
        <f>SUM(POP!H$351:H$381)</f>
        <v>4554.2109820288551</v>
      </c>
      <c r="D346" s="176">
        <f>SUM(POP!I$351:I$381)</f>
        <v>4661.5464343494923</v>
      </c>
      <c r="E346" s="176">
        <f>SUM(POP!J$351:J$381)</f>
        <v>4772.1905401176855</v>
      </c>
      <c r="F346" s="176">
        <f>SUM(POP!K$351:K$381)</f>
        <v>4878.340501215258</v>
      </c>
      <c r="G346" s="176">
        <f>SUM(POP!L$351:L$381)</f>
        <v>4975.677758851225</v>
      </c>
      <c r="H346" s="176">
        <f>SUM(POP!M$351:M$381)</f>
        <v>5062.8180727084873</v>
      </c>
      <c r="I346" s="176">
        <f>SUM(POP!N$351:N$381)</f>
        <v>5146.1804558174308</v>
      </c>
      <c r="J346" s="176">
        <f>SUM(POP!O$351:O$381)</f>
        <v>5238.8212080788817</v>
      </c>
      <c r="K346" s="176">
        <f>SUM(POP!P$351:P$381)</f>
        <v>5358.233636915128</v>
      </c>
      <c r="L346" s="176">
        <f>SUM(POP!Q$351:Q$381)</f>
        <v>5517.3644975232401</v>
      </c>
    </row>
    <row r="347" spans="1:12" hidden="1">
      <c r="A347" s="35" t="s">
        <v>978</v>
      </c>
      <c r="B347" s="176">
        <f>B344-B$73</f>
        <v>744.32558927065566</v>
      </c>
      <c r="C347" s="176">
        <f t="shared" ref="C347:L347" si="170">C344-C$73</f>
        <v>749.81290355346482</v>
      </c>
      <c r="D347" s="176">
        <f t="shared" si="170"/>
        <v>744.85990942871149</v>
      </c>
      <c r="E347" s="176">
        <f t="shared" si="170"/>
        <v>734.42677010248485</v>
      </c>
      <c r="F347" s="176">
        <f t="shared" si="170"/>
        <v>725.65830854355909</v>
      </c>
      <c r="G347" s="176">
        <f t="shared" si="170"/>
        <v>723.64530664025961</v>
      </c>
      <c r="H347" s="176">
        <f t="shared" si="170"/>
        <v>731.23384962878208</v>
      </c>
      <c r="I347" s="176">
        <f t="shared" si="170"/>
        <v>746.89716657954523</v>
      </c>
      <c r="J347" s="176">
        <f t="shared" si="170"/>
        <v>766.21242927732146</v>
      </c>
      <c r="K347" s="176">
        <f t="shared" si="170"/>
        <v>782.53930419457174</v>
      </c>
      <c r="L347" s="176">
        <f t="shared" si="170"/>
        <v>791.73878773630395</v>
      </c>
    </row>
    <row r="348" spans="1:12" hidden="1">
      <c r="A348" s="35" t="s">
        <v>979</v>
      </c>
      <c r="B348" s="176">
        <f t="shared" ref="B348:L349" si="171">B345-B$73</f>
        <v>1250.4278362356549</v>
      </c>
      <c r="C348" s="176">
        <f t="shared" si="171"/>
        <v>1255.9754494319127</v>
      </c>
      <c r="D348" s="176">
        <f t="shared" si="171"/>
        <v>1246.8671348251214</v>
      </c>
      <c r="E348" s="176">
        <f t="shared" si="171"/>
        <v>1230.2520563988276</v>
      </c>
      <c r="F348" s="176">
        <f t="shared" si="171"/>
        <v>1216.3256971859373</v>
      </c>
      <c r="G348" s="176">
        <f t="shared" si="171"/>
        <v>1212.4678494297741</v>
      </c>
      <c r="H348" s="176">
        <f t="shared" si="171"/>
        <v>1222.8133952353692</v>
      </c>
      <c r="I348" s="176">
        <f t="shared" si="171"/>
        <v>1245.6194619150151</v>
      </c>
      <c r="J348" s="176">
        <f t="shared" si="171"/>
        <v>1275.4658209769145</v>
      </c>
      <c r="K348" s="176">
        <f t="shared" si="171"/>
        <v>1304.012736153948</v>
      </c>
      <c r="L348" s="176">
        <f t="shared" si="171"/>
        <v>1326.1692335041403</v>
      </c>
    </row>
    <row r="349" spans="1:12" hidden="1">
      <c r="A349" s="35" t="s">
        <v>980</v>
      </c>
      <c r="B349" s="176">
        <f t="shared" si="171"/>
        <v>2738.4464567326722</v>
      </c>
      <c r="C349" s="176">
        <f t="shared" si="171"/>
        <v>2752.2838652627215</v>
      </c>
      <c r="D349" s="176">
        <f t="shared" si="171"/>
        <v>2768.9112468623198</v>
      </c>
      <c r="E349" s="176">
        <f t="shared" si="171"/>
        <v>2788.1409251919631</v>
      </c>
      <c r="F349" s="176">
        <f t="shared" si="171"/>
        <v>2808.7399339735184</v>
      </c>
      <c r="G349" s="176">
        <f t="shared" si="171"/>
        <v>2830.960883338983</v>
      </c>
      <c r="H349" s="176">
        <f t="shared" si="171"/>
        <v>2855.264674088733</v>
      </c>
      <c r="I349" s="176">
        <f t="shared" si="171"/>
        <v>2886.0606643224114</v>
      </c>
      <c r="J349" s="176">
        <f t="shared" si="171"/>
        <v>2932.3008319033383</v>
      </c>
      <c r="K349" s="176">
        <f t="shared" si="171"/>
        <v>3005.3856539913663</v>
      </c>
      <c r="L349" s="176">
        <f t="shared" si="171"/>
        <v>3113.8053186486377</v>
      </c>
    </row>
    <row r="350" spans="1:12" hidden="1">
      <c r="A350" s="1255" t="s">
        <v>981</v>
      </c>
      <c r="B350" s="1256">
        <f>B342</f>
        <v>1716.6341858408505</v>
      </c>
      <c r="C350" s="1256">
        <f>C342</f>
        <v>1801.9271167661336</v>
      </c>
      <c r="D350" s="1256">
        <f>D344</f>
        <v>2637.495096915884</v>
      </c>
      <c r="E350" s="1256">
        <f>E344</f>
        <v>2718.476385028207</v>
      </c>
      <c r="F350" s="1256">
        <f>F345</f>
        <v>3285.9262644276769</v>
      </c>
      <c r="G350" s="1256">
        <f>G345</f>
        <v>3357.1847249420161</v>
      </c>
      <c r="H350" s="1256">
        <f>H345</f>
        <v>3430.3667938551234</v>
      </c>
      <c r="I350" s="1256">
        <f>I346</f>
        <v>5146.1804558174308</v>
      </c>
      <c r="J350" s="1256">
        <f>J346</f>
        <v>5238.8212080788817</v>
      </c>
      <c r="K350" s="1256">
        <f>K346</f>
        <v>5358.233636915128</v>
      </c>
      <c r="L350" s="1256">
        <f>L341</f>
        <v>8542.9307131586502</v>
      </c>
    </row>
    <row r="351" spans="1:12" hidden="1">
      <c r="A351" s="1255" t="s">
        <v>990</v>
      </c>
      <c r="B351" s="1256">
        <v>0</v>
      </c>
      <c r="C351" s="1256">
        <v>0</v>
      </c>
      <c r="D351" s="1256">
        <f>D347</f>
        <v>744.85990942871149</v>
      </c>
      <c r="E351" s="1256">
        <f>E347</f>
        <v>734.42677010248485</v>
      </c>
      <c r="F351" s="1256">
        <f>F348</f>
        <v>1216.3256971859373</v>
      </c>
      <c r="G351" s="1256">
        <f>G348</f>
        <v>1212.4678494297741</v>
      </c>
      <c r="H351" s="1256">
        <f>H348</f>
        <v>1222.8133952353692</v>
      </c>
      <c r="I351" s="1256">
        <f>I349</f>
        <v>2886.0606643224114</v>
      </c>
      <c r="J351" s="1256">
        <f>J349</f>
        <v>2932.3008319033383</v>
      </c>
      <c r="K351" s="1256">
        <f>K349</f>
        <v>3005.3856539913663</v>
      </c>
      <c r="L351" s="1256">
        <f>L343</f>
        <v>6139.3715342840478</v>
      </c>
    </row>
    <row r="352" spans="1:12" hidden="1">
      <c r="A352" s="35" t="s">
        <v>345</v>
      </c>
      <c r="B352" s="153">
        <v>0.75</v>
      </c>
      <c r="C352" s="153">
        <f t="shared" ref="C352:L352" si="172">B352</f>
        <v>0.75</v>
      </c>
      <c r="D352" s="153">
        <f t="shared" si="172"/>
        <v>0.75</v>
      </c>
      <c r="E352" s="153">
        <f t="shared" si="172"/>
        <v>0.75</v>
      </c>
      <c r="F352" s="153">
        <f t="shared" si="172"/>
        <v>0.75</v>
      </c>
      <c r="G352" s="153">
        <f t="shared" si="172"/>
        <v>0.75</v>
      </c>
      <c r="H352" s="153">
        <f t="shared" si="172"/>
        <v>0.75</v>
      </c>
      <c r="I352" s="153">
        <f t="shared" si="172"/>
        <v>0.75</v>
      </c>
      <c r="J352" s="153">
        <f t="shared" si="172"/>
        <v>0.75</v>
      </c>
      <c r="K352" s="153">
        <f t="shared" si="172"/>
        <v>0.75</v>
      </c>
      <c r="L352" s="153">
        <f t="shared" si="172"/>
        <v>0.75</v>
      </c>
    </row>
    <row r="353" spans="1:12" hidden="1">
      <c r="A353" s="35" t="s">
        <v>346</v>
      </c>
      <c r="B353" s="17">
        <v>0.3</v>
      </c>
      <c r="C353" s="17">
        <f t="shared" ref="C353:L353" si="173">B353</f>
        <v>0.3</v>
      </c>
      <c r="D353" s="17">
        <f t="shared" si="173"/>
        <v>0.3</v>
      </c>
      <c r="E353" s="17">
        <f t="shared" si="173"/>
        <v>0.3</v>
      </c>
      <c r="F353" s="17">
        <f t="shared" si="173"/>
        <v>0.3</v>
      </c>
      <c r="G353" s="17">
        <f t="shared" si="173"/>
        <v>0.3</v>
      </c>
      <c r="H353" s="17">
        <f t="shared" si="173"/>
        <v>0.3</v>
      </c>
      <c r="I353" s="17">
        <f t="shared" si="173"/>
        <v>0.3</v>
      </c>
      <c r="J353" s="17">
        <f t="shared" si="173"/>
        <v>0.3</v>
      </c>
      <c r="K353" s="17">
        <f t="shared" si="173"/>
        <v>0.3</v>
      </c>
      <c r="L353" s="17">
        <f t="shared" si="173"/>
        <v>0.3</v>
      </c>
    </row>
    <row r="354" spans="1:12" hidden="1"/>
    <row r="355" spans="1:12" hidden="1">
      <c r="A355" s="187" t="s">
        <v>216</v>
      </c>
      <c r="B355" s="177"/>
      <c r="C355" s="177"/>
      <c r="D355" s="177"/>
      <c r="E355" s="177"/>
      <c r="F355" s="177"/>
      <c r="G355" s="177"/>
      <c r="H355" s="177"/>
      <c r="I355" s="177"/>
      <c r="J355" s="177"/>
      <c r="K355" s="177"/>
      <c r="L355" s="177"/>
    </row>
    <row r="356" spans="1:12" hidden="1">
      <c r="A356" s="35" t="s">
        <v>217</v>
      </c>
      <c r="B356" s="176">
        <f>B342*0.2</f>
        <v>343.32683716817013</v>
      </c>
      <c r="C356" s="176">
        <f t="shared" ref="C356:L356" si="174">C342*0.2</f>
        <v>360.38542335322677</v>
      </c>
      <c r="D356" s="176">
        <f t="shared" si="174"/>
        <v>378.52703749743455</v>
      </c>
      <c r="E356" s="176">
        <f t="shared" si="174"/>
        <v>396.80992298514445</v>
      </c>
      <c r="F356" s="176">
        <f t="shared" si="174"/>
        <v>413.92011344834793</v>
      </c>
      <c r="G356" s="176">
        <f t="shared" si="174"/>
        <v>428.94337510244844</v>
      </c>
      <c r="H356" s="176">
        <f t="shared" si="174"/>
        <v>441.51067972395089</v>
      </c>
      <c r="I356" s="176">
        <f t="shared" si="174"/>
        <v>452.02395829900388</v>
      </c>
      <c r="J356" s="176">
        <f t="shared" si="174"/>
        <v>461.30407523510871</v>
      </c>
      <c r="K356" s="176">
        <f t="shared" si="174"/>
        <v>470.56959658475239</v>
      </c>
      <c r="L356" s="176">
        <f t="shared" si="174"/>
        <v>480.71183577492047</v>
      </c>
    </row>
    <row r="357" spans="1:12" hidden="1">
      <c r="A357" s="35" t="s">
        <v>232</v>
      </c>
      <c r="B357" s="176">
        <f>B343*0.2</f>
        <v>909.87927700655166</v>
      </c>
      <c r="C357" s="176">
        <f t="shared" ref="C357:L357" si="175">C343*0.2</f>
        <v>915.26298108956132</v>
      </c>
      <c r="D357" s="176">
        <f t="shared" si="175"/>
        <v>920.35068686421914</v>
      </c>
      <c r="E357" s="176">
        <f t="shared" si="175"/>
        <v>928.07913231499811</v>
      </c>
      <c r="F357" s="176">
        <f t="shared" si="175"/>
        <v>942.23452780909906</v>
      </c>
      <c r="G357" s="176">
        <f t="shared" si="175"/>
        <v>965.63639344846308</v>
      </c>
      <c r="H357" s="176">
        <f t="shared" si="175"/>
        <v>999.43041419695498</v>
      </c>
      <c r="I357" s="176">
        <f t="shared" si="175"/>
        <v>1043.2973296567361</v>
      </c>
      <c r="J357" s="176">
        <f t="shared" si="175"/>
        <v>1096.724736765809</v>
      </c>
      <c r="K357" s="176">
        <f t="shared" si="175"/>
        <v>1158.563705412985</v>
      </c>
      <c r="L357" s="176">
        <f t="shared" si="175"/>
        <v>1227.8743068568097</v>
      </c>
    </row>
    <row r="358" spans="1:12" hidden="1">
      <c r="A358" s="35" t="s">
        <v>233</v>
      </c>
      <c r="B358" s="176">
        <f>B356+B357</f>
        <v>1253.2061141747217</v>
      </c>
      <c r="C358" s="176">
        <f t="shared" ref="C358:L358" si="176">C356+C357</f>
        <v>1275.648404442788</v>
      </c>
      <c r="D358" s="176">
        <f t="shared" si="176"/>
        <v>1298.8777243616537</v>
      </c>
      <c r="E358" s="176">
        <f t="shared" si="176"/>
        <v>1324.8890553001424</v>
      </c>
      <c r="F358" s="176">
        <f t="shared" si="176"/>
        <v>1356.1546412574471</v>
      </c>
      <c r="G358" s="176">
        <f t="shared" si="176"/>
        <v>1394.5797685509115</v>
      </c>
      <c r="H358" s="176">
        <f t="shared" si="176"/>
        <v>1440.9410939209058</v>
      </c>
      <c r="I358" s="176">
        <f t="shared" si="176"/>
        <v>1495.32128795574</v>
      </c>
      <c r="J358" s="176">
        <f t="shared" si="176"/>
        <v>1558.0288120009177</v>
      </c>
      <c r="K358" s="176">
        <f t="shared" si="176"/>
        <v>1629.1333019977374</v>
      </c>
      <c r="L358" s="176">
        <f t="shared" si="176"/>
        <v>1708.5861426317301</v>
      </c>
    </row>
    <row r="359" spans="1:12" hidden="1">
      <c r="A359" s="35" t="s">
        <v>982</v>
      </c>
      <c r="B359" s="176">
        <f>B347*0.2</f>
        <v>148.86511785413114</v>
      </c>
      <c r="C359" s="176">
        <f t="shared" ref="C359:L359" si="177">C347*0.2</f>
        <v>149.96258071069298</v>
      </c>
      <c r="D359" s="176">
        <f t="shared" si="177"/>
        <v>148.97198188574231</v>
      </c>
      <c r="E359" s="176">
        <f t="shared" si="177"/>
        <v>146.88535402049698</v>
      </c>
      <c r="F359" s="176">
        <f t="shared" si="177"/>
        <v>145.13166170871182</v>
      </c>
      <c r="G359" s="176">
        <f t="shared" si="177"/>
        <v>144.72906132805193</v>
      </c>
      <c r="H359" s="176">
        <f t="shared" si="177"/>
        <v>146.24676992575641</v>
      </c>
      <c r="I359" s="176">
        <f t="shared" si="177"/>
        <v>149.37943331590904</v>
      </c>
      <c r="J359" s="176">
        <f t="shared" si="177"/>
        <v>153.24248585546431</v>
      </c>
      <c r="K359" s="176">
        <f t="shared" si="177"/>
        <v>156.50786083891435</v>
      </c>
      <c r="L359" s="176">
        <f t="shared" si="177"/>
        <v>158.34775754726081</v>
      </c>
    </row>
    <row r="360" spans="1:12" hidden="1">
      <c r="A360" s="35" t="s">
        <v>983</v>
      </c>
      <c r="B360" s="176">
        <f t="shared" ref="B360:L360" si="178">B359+B356</f>
        <v>492.19195502230127</v>
      </c>
      <c r="C360" s="176">
        <f t="shared" si="178"/>
        <v>510.34800406391975</v>
      </c>
      <c r="D360" s="176">
        <f t="shared" si="178"/>
        <v>527.4990193831768</v>
      </c>
      <c r="E360" s="176">
        <f t="shared" si="178"/>
        <v>543.6952770056414</v>
      </c>
      <c r="F360" s="176">
        <f t="shared" si="178"/>
        <v>559.05177515705975</v>
      </c>
      <c r="G360" s="176">
        <f t="shared" si="178"/>
        <v>573.6724364305004</v>
      </c>
      <c r="H360" s="176">
        <f t="shared" si="178"/>
        <v>587.75744964970727</v>
      </c>
      <c r="I360" s="176">
        <f t="shared" si="178"/>
        <v>601.40339161491295</v>
      </c>
      <c r="J360" s="176">
        <f t="shared" si="178"/>
        <v>614.54656109057305</v>
      </c>
      <c r="K360" s="176">
        <f t="shared" si="178"/>
        <v>627.07745742366671</v>
      </c>
      <c r="L360" s="176">
        <f t="shared" si="178"/>
        <v>639.05959332218129</v>
      </c>
    </row>
    <row r="361" spans="1:12" hidden="1">
      <c r="A361" s="35" t="s">
        <v>984</v>
      </c>
      <c r="B361" s="176">
        <f>B348*0.2</f>
        <v>250.085567247131</v>
      </c>
      <c r="C361" s="176">
        <f t="shared" ref="C361:L361" si="179">C348*0.2</f>
        <v>251.19508988638256</v>
      </c>
      <c r="D361" s="176">
        <f t="shared" si="179"/>
        <v>249.37342696502429</v>
      </c>
      <c r="E361" s="176">
        <f t="shared" si="179"/>
        <v>246.05041127976551</v>
      </c>
      <c r="F361" s="176">
        <f t="shared" si="179"/>
        <v>243.26513943718749</v>
      </c>
      <c r="G361" s="176">
        <f t="shared" si="179"/>
        <v>242.49356988595483</v>
      </c>
      <c r="H361" s="176">
        <f t="shared" si="179"/>
        <v>244.56267904707386</v>
      </c>
      <c r="I361" s="176">
        <f t="shared" si="179"/>
        <v>249.12389238300304</v>
      </c>
      <c r="J361" s="176">
        <f t="shared" si="179"/>
        <v>255.09316419538291</v>
      </c>
      <c r="K361" s="176">
        <f t="shared" si="179"/>
        <v>260.80254723078963</v>
      </c>
      <c r="L361" s="176">
        <f t="shared" si="179"/>
        <v>265.23384670082805</v>
      </c>
    </row>
    <row r="362" spans="1:12" hidden="1">
      <c r="A362" s="35" t="s">
        <v>985</v>
      </c>
      <c r="B362" s="176">
        <f t="shared" ref="B362:L362" si="180">B361+B356</f>
        <v>593.41240441530113</v>
      </c>
      <c r="C362" s="176">
        <f t="shared" si="180"/>
        <v>611.58051323960933</v>
      </c>
      <c r="D362" s="176">
        <f t="shared" si="180"/>
        <v>627.90046446245879</v>
      </c>
      <c r="E362" s="176">
        <f t="shared" si="180"/>
        <v>642.86033426490997</v>
      </c>
      <c r="F362" s="176">
        <f t="shared" si="180"/>
        <v>657.18525288553542</v>
      </c>
      <c r="G362" s="176">
        <f t="shared" si="180"/>
        <v>671.4369449884033</v>
      </c>
      <c r="H362" s="176">
        <f t="shared" si="180"/>
        <v>686.07335877102469</v>
      </c>
      <c r="I362" s="176">
        <f t="shared" si="180"/>
        <v>701.14785068200695</v>
      </c>
      <c r="J362" s="176">
        <f t="shared" si="180"/>
        <v>716.3972394304916</v>
      </c>
      <c r="K362" s="176">
        <f t="shared" si="180"/>
        <v>731.37214381554202</v>
      </c>
      <c r="L362" s="176">
        <f t="shared" si="180"/>
        <v>745.94568247574853</v>
      </c>
    </row>
    <row r="363" spans="1:12" hidden="1">
      <c r="A363" s="35" t="s">
        <v>986</v>
      </c>
      <c r="B363" s="176">
        <f>B349*0.2</f>
        <v>547.68929134653445</v>
      </c>
      <c r="C363" s="176">
        <f t="shared" ref="C363:L363" si="181">C349*0.2</f>
        <v>550.45677305254435</v>
      </c>
      <c r="D363" s="176">
        <f t="shared" si="181"/>
        <v>553.78224937246398</v>
      </c>
      <c r="E363" s="176">
        <f t="shared" si="181"/>
        <v>557.62818503839264</v>
      </c>
      <c r="F363" s="176">
        <f t="shared" si="181"/>
        <v>561.74798679470371</v>
      </c>
      <c r="G363" s="176">
        <f t="shared" si="181"/>
        <v>566.19217666779662</v>
      </c>
      <c r="H363" s="176">
        <f t="shared" si="181"/>
        <v>571.05293481774663</v>
      </c>
      <c r="I363" s="176">
        <f t="shared" si="181"/>
        <v>577.21213286448233</v>
      </c>
      <c r="J363" s="176">
        <f t="shared" si="181"/>
        <v>586.46016638066772</v>
      </c>
      <c r="K363" s="176">
        <f t="shared" si="181"/>
        <v>601.07713079827329</v>
      </c>
      <c r="L363" s="176">
        <f t="shared" si="181"/>
        <v>622.76106372972754</v>
      </c>
    </row>
    <row r="364" spans="1:12" hidden="1">
      <c r="A364" s="35" t="s">
        <v>987</v>
      </c>
      <c r="B364" s="176">
        <f t="shared" ref="B364:L364" si="182">B363+B356</f>
        <v>891.01612851470463</v>
      </c>
      <c r="C364" s="176">
        <f t="shared" si="182"/>
        <v>910.84219640577112</v>
      </c>
      <c r="D364" s="176">
        <f t="shared" si="182"/>
        <v>932.30928686989853</v>
      </c>
      <c r="E364" s="176">
        <f t="shared" si="182"/>
        <v>954.4381080235371</v>
      </c>
      <c r="F364" s="176">
        <f t="shared" si="182"/>
        <v>975.66810024305164</v>
      </c>
      <c r="G364" s="176">
        <f t="shared" si="182"/>
        <v>995.135551770245</v>
      </c>
      <c r="H364" s="176">
        <f t="shared" si="182"/>
        <v>1012.5636145416975</v>
      </c>
      <c r="I364" s="176">
        <f t="shared" si="182"/>
        <v>1029.2360911634862</v>
      </c>
      <c r="J364" s="176">
        <f t="shared" si="182"/>
        <v>1047.7642416157764</v>
      </c>
      <c r="K364" s="176">
        <f t="shared" si="182"/>
        <v>1071.6467273830258</v>
      </c>
      <c r="L364" s="176">
        <f t="shared" si="182"/>
        <v>1103.472899504648</v>
      </c>
    </row>
    <row r="365" spans="1:12" hidden="1">
      <c r="B365" s="176"/>
      <c r="C365" s="176"/>
      <c r="D365" s="176"/>
      <c r="E365" s="176"/>
      <c r="F365" s="176"/>
      <c r="G365" s="176"/>
      <c r="H365" s="176"/>
      <c r="I365" s="176"/>
      <c r="J365" s="176"/>
      <c r="K365" s="176"/>
      <c r="L365" s="176"/>
    </row>
    <row r="366" spans="1:12" hidden="1">
      <c r="A366" s="1255" t="s">
        <v>988</v>
      </c>
      <c r="B366" s="1256">
        <f>B356</f>
        <v>343.32683716817013</v>
      </c>
      <c r="C366" s="1256">
        <f>C356</f>
        <v>360.38542335322677</v>
      </c>
      <c r="D366" s="1256">
        <f>D360</f>
        <v>527.4990193831768</v>
      </c>
      <c r="E366" s="1256">
        <f>E360</f>
        <v>543.6952770056414</v>
      </c>
      <c r="F366" s="1256">
        <f>F362</f>
        <v>657.18525288553542</v>
      </c>
      <c r="G366" s="1256">
        <f>G362</f>
        <v>671.4369449884033</v>
      </c>
      <c r="H366" s="1256">
        <f>H362</f>
        <v>686.07335877102469</v>
      </c>
      <c r="I366" s="1256">
        <f>I364</f>
        <v>1029.2360911634862</v>
      </c>
      <c r="J366" s="1256">
        <f>J364</f>
        <v>1047.7642416157764</v>
      </c>
      <c r="K366" s="1256">
        <f>K364</f>
        <v>1071.6467273830258</v>
      </c>
      <c r="L366" s="1256">
        <f>L358</f>
        <v>1708.5861426317301</v>
      </c>
    </row>
    <row r="367" spans="1:12" hidden="1">
      <c r="A367" s="1255" t="s">
        <v>991</v>
      </c>
      <c r="B367" s="1256">
        <v>0</v>
      </c>
      <c r="C367" s="1256">
        <v>0</v>
      </c>
      <c r="D367" s="1256">
        <f>D359</f>
        <v>148.97198188574231</v>
      </c>
      <c r="E367" s="1256">
        <f>E359</f>
        <v>146.88535402049698</v>
      </c>
      <c r="F367" s="1256">
        <f>F361</f>
        <v>243.26513943718749</v>
      </c>
      <c r="G367" s="1256">
        <f>G361</f>
        <v>242.49356988595483</v>
      </c>
      <c r="H367" s="1256">
        <f>H361</f>
        <v>244.56267904707386</v>
      </c>
      <c r="I367" s="1256">
        <f>I363</f>
        <v>577.21213286448233</v>
      </c>
      <c r="J367" s="1256">
        <f>J363</f>
        <v>586.46016638066772</v>
      </c>
      <c r="K367" s="1256">
        <f>K363</f>
        <v>601.07713079827329</v>
      </c>
      <c r="L367" s="1256">
        <f>L357</f>
        <v>1227.8743068568097</v>
      </c>
    </row>
    <row r="368" spans="1:12" hidden="1">
      <c r="B368" s="176"/>
      <c r="C368" s="176"/>
      <c r="D368" s="176"/>
      <c r="E368" s="176"/>
      <c r="F368" s="176"/>
      <c r="G368" s="176"/>
      <c r="H368" s="176"/>
      <c r="I368" s="176"/>
      <c r="J368" s="176"/>
      <c r="K368" s="176"/>
      <c r="L368" s="176"/>
    </row>
    <row r="369" spans="1:12" hidden="1">
      <c r="A369" s="35" t="s">
        <v>220</v>
      </c>
      <c r="B369" s="176">
        <f t="shared" ref="B369:L369" si="183">(B342-B356)*0.7</f>
        <v>961.31514407087616</v>
      </c>
      <c r="C369" s="176">
        <f t="shared" si="183"/>
        <v>1009.0791853890347</v>
      </c>
      <c r="D369" s="176">
        <f t="shared" si="183"/>
        <v>1059.8757049928165</v>
      </c>
      <c r="E369" s="176">
        <f t="shared" si="183"/>
        <v>1111.0677843584044</v>
      </c>
      <c r="F369" s="176">
        <f t="shared" si="183"/>
        <v>1158.976317655374</v>
      </c>
      <c r="G369" s="176">
        <f t="shared" si="183"/>
        <v>1201.0414502868555</v>
      </c>
      <c r="H369" s="176">
        <f t="shared" si="183"/>
        <v>1236.2299032270623</v>
      </c>
      <c r="I369" s="176">
        <f t="shared" si="183"/>
        <v>1265.6670832372108</v>
      </c>
      <c r="J369" s="176">
        <f t="shared" si="183"/>
        <v>1291.6514106583043</v>
      </c>
      <c r="K369" s="176">
        <f t="shared" si="183"/>
        <v>1317.5948704373066</v>
      </c>
      <c r="L369" s="176">
        <f t="shared" si="183"/>
        <v>1345.9931401697772</v>
      </c>
    </row>
    <row r="370" spans="1:12" hidden="1"/>
    <row r="371" spans="1:12" hidden="1">
      <c r="A371" s="188" t="s">
        <v>221</v>
      </c>
      <c r="B371" s="142"/>
      <c r="C371" s="142"/>
      <c r="D371" s="142"/>
      <c r="E371" s="142"/>
      <c r="F371" s="142"/>
      <c r="G371" s="142"/>
      <c r="H371" s="142"/>
      <c r="I371" s="142"/>
      <c r="J371" s="142"/>
      <c r="K371" s="142"/>
      <c r="L371" s="142"/>
    </row>
    <row r="372" spans="1:12" hidden="1">
      <c r="A372" s="35" t="s">
        <v>989</v>
      </c>
      <c r="B372" s="176">
        <f>B351-B367*B$18/100</f>
        <v>0</v>
      </c>
      <c r="C372" s="176">
        <f t="shared" ref="C372:L372" si="184">C351-C367*C$18/100</f>
        <v>0</v>
      </c>
      <c r="D372" s="176">
        <f t="shared" si="184"/>
        <v>707.61691395727587</v>
      </c>
      <c r="E372" s="176">
        <f t="shared" si="184"/>
        <v>660.98409309223632</v>
      </c>
      <c r="F372" s="176">
        <f t="shared" si="184"/>
        <v>973.06055774874983</v>
      </c>
      <c r="G372" s="176">
        <f t="shared" si="184"/>
        <v>969.97427954381931</v>
      </c>
      <c r="H372" s="176">
        <f t="shared" si="184"/>
        <v>978.25071618829531</v>
      </c>
      <c r="I372" s="176">
        <f t="shared" si="184"/>
        <v>2308.8485314579293</v>
      </c>
      <c r="J372" s="176">
        <f t="shared" si="184"/>
        <v>2345.8406655226709</v>
      </c>
      <c r="K372" s="176">
        <f t="shared" si="184"/>
        <v>2404.3085231930932</v>
      </c>
      <c r="L372" s="176">
        <f t="shared" si="184"/>
        <v>4911.4972274272386</v>
      </c>
    </row>
    <row r="373" spans="1:12" hidden="1">
      <c r="A373" s="35" t="s">
        <v>223</v>
      </c>
      <c r="B373" s="176">
        <f>(B342-B356-B369)*B$17/100</f>
        <v>0</v>
      </c>
      <c r="C373" s="176">
        <f t="shared" ref="C373:L373" si="185">(C342-C356-C369)*C$17/100</f>
        <v>216.23125401193607</v>
      </c>
      <c r="D373" s="176">
        <f t="shared" si="185"/>
        <v>454.23244499692146</v>
      </c>
      <c r="E373" s="176">
        <f t="shared" si="185"/>
        <v>476.17190758217339</v>
      </c>
      <c r="F373" s="176">
        <f t="shared" si="185"/>
        <v>496.7041361380177</v>
      </c>
      <c r="G373" s="176">
        <f t="shared" si="185"/>
        <v>514.73205012293806</v>
      </c>
      <c r="H373" s="176">
        <f t="shared" si="185"/>
        <v>529.812815668741</v>
      </c>
      <c r="I373" s="176">
        <f t="shared" si="185"/>
        <v>542.4287499588047</v>
      </c>
      <c r="J373" s="176">
        <f t="shared" si="185"/>
        <v>553.56489028213036</v>
      </c>
      <c r="K373" s="176">
        <f t="shared" si="185"/>
        <v>564.68351590170278</v>
      </c>
      <c r="L373" s="176">
        <f t="shared" si="185"/>
        <v>576.85420292990466</v>
      </c>
    </row>
    <row r="374" spans="1:12" hidden="1">
      <c r="A374" s="35" t="s">
        <v>224</v>
      </c>
      <c r="B374" s="176">
        <f>B369*B$17/100</f>
        <v>0</v>
      </c>
      <c r="C374" s="176">
        <f t="shared" ref="C374:L374" si="186">C369*C$17/100</f>
        <v>504.53959269451735</v>
      </c>
      <c r="D374" s="176">
        <f t="shared" si="186"/>
        <v>1059.8757049928165</v>
      </c>
      <c r="E374" s="176">
        <f t="shared" si="186"/>
        <v>1111.0677843584044</v>
      </c>
      <c r="F374" s="176">
        <f t="shared" si="186"/>
        <v>1158.976317655374</v>
      </c>
      <c r="G374" s="176">
        <f t="shared" si="186"/>
        <v>1201.0414502868555</v>
      </c>
      <c r="H374" s="176">
        <f t="shared" si="186"/>
        <v>1236.2299032270623</v>
      </c>
      <c r="I374" s="176">
        <f t="shared" si="186"/>
        <v>1265.6670832372108</v>
      </c>
      <c r="J374" s="176">
        <f t="shared" si="186"/>
        <v>1291.6514106583043</v>
      </c>
      <c r="K374" s="176">
        <f t="shared" si="186"/>
        <v>1317.5948704373066</v>
      </c>
      <c r="L374" s="176">
        <f t="shared" si="186"/>
        <v>1345.9931401697772</v>
      </c>
    </row>
    <row r="375" spans="1:12" hidden="1">
      <c r="A375" s="432" t="s">
        <v>992</v>
      </c>
      <c r="B375" s="176">
        <f>B366*B$18/100</f>
        <v>0</v>
      </c>
      <c r="C375" s="176">
        <f>C366*C$18/100</f>
        <v>36.038542335322674</v>
      </c>
      <c r="D375" s="176">
        <f t="shared" ref="D375:L375" si="187">D366*D$18/100</f>
        <v>131.8747548457942</v>
      </c>
      <c r="E375" s="176">
        <f t="shared" si="187"/>
        <v>271.8476385028207</v>
      </c>
      <c r="F375" s="176">
        <f t="shared" si="187"/>
        <v>657.18525288553542</v>
      </c>
      <c r="G375" s="176">
        <f t="shared" si="187"/>
        <v>671.4369449884033</v>
      </c>
      <c r="H375" s="176">
        <f t="shared" si="187"/>
        <v>686.07335877102469</v>
      </c>
      <c r="I375" s="176">
        <f t="shared" si="187"/>
        <v>1029.2360911634862</v>
      </c>
      <c r="J375" s="176">
        <f t="shared" si="187"/>
        <v>1047.7642416157764</v>
      </c>
      <c r="K375" s="176">
        <f t="shared" si="187"/>
        <v>1071.6467273830258</v>
      </c>
      <c r="L375" s="176">
        <f t="shared" si="187"/>
        <v>1708.5861426317301</v>
      </c>
    </row>
    <row r="376" spans="1:12" hidden="1"/>
    <row r="377" spans="1:12" hidden="1">
      <c r="A377" s="188" t="s">
        <v>225</v>
      </c>
    </row>
    <row r="378" spans="1:12" hidden="1">
      <c r="A378" s="35" t="s">
        <v>222</v>
      </c>
      <c r="B378" s="806">
        <f>ECO!G$25*B$352</f>
        <v>258448.38910150141</v>
      </c>
      <c r="C378" s="806">
        <f>ECO!H$25*C$352</f>
        <v>310728.6120375467</v>
      </c>
      <c r="D378" s="806">
        <f>ECO!I$25*D$352</f>
        <v>331762.66163172491</v>
      </c>
      <c r="E378" s="806">
        <f>ECO!J$25*E$352</f>
        <v>351925.13492869999</v>
      </c>
      <c r="F378" s="806">
        <f>ECO!K$25*F$352</f>
        <v>371550.89026425692</v>
      </c>
      <c r="G378" s="806">
        <f>ECO!L$25*G$352</f>
        <v>391340.34649760136</v>
      </c>
      <c r="H378" s="806">
        <f>ECO!M$25*H$352</f>
        <v>411203.49670296017</v>
      </c>
      <c r="I378" s="806">
        <f>ECO!N$25*I$352</f>
        <v>432073.50897705636</v>
      </c>
      <c r="J378" s="806">
        <f>ECO!O$25*J$352</f>
        <v>454001.36064848519</v>
      </c>
      <c r="K378" s="806">
        <f>ECO!P$25*K$352</f>
        <v>477040.60726320284</v>
      </c>
      <c r="L378" s="806">
        <f>ECO!Q$25*L$352</f>
        <v>501247.51285370544</v>
      </c>
    </row>
    <row r="379" spans="1:12" hidden="1">
      <c r="A379" s="35" t="s">
        <v>223</v>
      </c>
      <c r="B379" s="806">
        <f>ECO!G$25*B$352</f>
        <v>258448.38910150141</v>
      </c>
      <c r="C379" s="806">
        <f>ECO!H$25*C$352</f>
        <v>310728.6120375467</v>
      </c>
      <c r="D379" s="806">
        <f>ECO!I$25*D$352</f>
        <v>331762.66163172491</v>
      </c>
      <c r="E379" s="806">
        <f>ECO!J$25*E$352</f>
        <v>351925.13492869999</v>
      </c>
      <c r="F379" s="806">
        <f>ECO!K$25*F$352</f>
        <v>371550.89026425692</v>
      </c>
      <c r="G379" s="806">
        <f>ECO!L$25*G$352</f>
        <v>391340.34649760136</v>
      </c>
      <c r="H379" s="806">
        <f>ECO!M$25*H$352</f>
        <v>411203.49670296017</v>
      </c>
      <c r="I379" s="806">
        <f>ECO!N$25*I$352</f>
        <v>432073.50897705636</v>
      </c>
      <c r="J379" s="806">
        <f>ECO!O$25*J$352</f>
        <v>454001.36064848519</v>
      </c>
      <c r="K379" s="806">
        <f>ECO!P$25*K$352</f>
        <v>477040.60726320284</v>
      </c>
      <c r="L379" s="806">
        <f>ECO!Q$25*L$352</f>
        <v>501247.51285370544</v>
      </c>
    </row>
    <row r="380" spans="1:12" hidden="1">
      <c r="A380" s="35" t="s">
        <v>224</v>
      </c>
      <c r="B380" s="806">
        <f>ECO!G$25-270000</f>
        <v>74597.852135335212</v>
      </c>
      <c r="C380" s="806">
        <f>B380*C379/B379</f>
        <v>89687.875925941276</v>
      </c>
      <c r="D380" s="806">
        <f t="shared" ref="D380:L380" si="188">C380*D379/C379</f>
        <v>95759.087771713617</v>
      </c>
      <c r="E380" s="806">
        <f t="shared" si="188"/>
        <v>101578.73016499505</v>
      </c>
      <c r="F380" s="806">
        <f t="shared" si="188"/>
        <v>107243.45572066942</v>
      </c>
      <c r="G380" s="806">
        <f t="shared" si="188"/>
        <v>112955.43146586913</v>
      </c>
      <c r="H380" s="806">
        <f t="shared" si="188"/>
        <v>118688.6780421493</v>
      </c>
      <c r="I380" s="806">
        <f t="shared" si="188"/>
        <v>124712.54259436451</v>
      </c>
      <c r="J380" s="806">
        <f t="shared" si="188"/>
        <v>131041.73908236579</v>
      </c>
      <c r="K380" s="806">
        <f t="shared" si="188"/>
        <v>137691.72563577103</v>
      </c>
      <c r="L380" s="806">
        <f t="shared" si="188"/>
        <v>144678.74215451258</v>
      </c>
    </row>
    <row r="381" spans="1:12" hidden="1">
      <c r="A381" s="432" t="s">
        <v>557</v>
      </c>
      <c r="B381" s="806">
        <f>ECO!G$25*B$19</f>
        <v>172298.92606766761</v>
      </c>
      <c r="C381" s="806">
        <f>ECO!H$25*C$19</f>
        <v>207152.40802503112</v>
      </c>
      <c r="D381" s="806">
        <f>ECO!I$25*D$19</f>
        <v>221175.1077544833</v>
      </c>
      <c r="E381" s="806">
        <f>ECO!J$25*E$19</f>
        <v>234616.75661913332</v>
      </c>
      <c r="F381" s="806">
        <f>ECO!K$25*F$19</f>
        <v>247700.5935095046</v>
      </c>
      <c r="G381" s="806">
        <f>ECO!L$25*G$19</f>
        <v>260893.56433173426</v>
      </c>
      <c r="H381" s="806">
        <f>ECO!M$25*H$19</f>
        <v>274135.66446864011</v>
      </c>
      <c r="I381" s="806">
        <f>ECO!N$25*I$19</f>
        <v>288049.00598470424</v>
      </c>
      <c r="J381" s="806">
        <f>ECO!O$25*J$19</f>
        <v>302667.57376565679</v>
      </c>
      <c r="K381" s="806">
        <f>ECO!P$25*K$19</f>
        <v>318027.07150880189</v>
      </c>
      <c r="L381" s="806">
        <f>ECO!Q$25*L$19</f>
        <v>334165.00856913696</v>
      </c>
    </row>
    <row r="382" spans="1:12" hidden="1"/>
    <row r="383" spans="1:12" hidden="1">
      <c r="A383" s="189" t="s">
        <v>226</v>
      </c>
      <c r="B383" s="19"/>
      <c r="C383" s="19"/>
      <c r="D383" s="19"/>
      <c r="E383" s="19"/>
      <c r="F383" s="19"/>
      <c r="G383" s="19"/>
      <c r="H383" s="19"/>
      <c r="I383" s="19"/>
      <c r="J383" s="19"/>
      <c r="K383" s="19"/>
      <c r="L383" s="19"/>
    </row>
    <row r="384" spans="1:12" hidden="1">
      <c r="A384" s="32" t="s">
        <v>234</v>
      </c>
      <c r="B384" s="155">
        <f>B372*B378*12/1000</f>
        <v>0</v>
      </c>
      <c r="C384" s="804">
        <f t="shared" ref="C384:L384" si="189">C372*C378*12/1000</f>
        <v>0</v>
      </c>
      <c r="D384" s="804">
        <f t="shared" si="189"/>
        <v>2817130.4494811171</v>
      </c>
      <c r="E384" s="804">
        <f t="shared" si="189"/>
        <v>2791402.993766516</v>
      </c>
      <c r="F384" s="804">
        <f t="shared" si="189"/>
        <v>4338498.1981509887</v>
      </c>
      <c r="G384" s="804">
        <f t="shared" si="189"/>
        <v>4555080.8478052737</v>
      </c>
      <c r="H384" s="804">
        <f t="shared" si="189"/>
        <v>4827121.3817856256</v>
      </c>
      <c r="I384" s="804">
        <f t="shared" si="189"/>
        <v>11971107.440202614</v>
      </c>
      <c r="J384" s="804">
        <f t="shared" si="189"/>
        <v>12780178.248142086</v>
      </c>
      <c r="K384" s="804">
        <f t="shared" si="189"/>
        <v>13763433.57542553</v>
      </c>
      <c r="L384" s="804">
        <f t="shared" si="189"/>
        <v>29542509.235629283</v>
      </c>
    </row>
    <row r="385" spans="1:12" hidden="1">
      <c r="A385" s="32" t="s">
        <v>223</v>
      </c>
      <c r="B385" s="155">
        <f>B373*B379*12/1000</f>
        <v>0</v>
      </c>
      <c r="C385" s="804">
        <f t="shared" ref="C385:L385" si="190">C373*C379*12/1000</f>
        <v>806270.84925920505</v>
      </c>
      <c r="D385" s="804">
        <f t="shared" si="190"/>
        <v>1808368.3794199768</v>
      </c>
      <c r="E385" s="804">
        <f t="shared" si="190"/>
        <v>2010922.3539013539</v>
      </c>
      <c r="F385" s="804">
        <f t="shared" si="190"/>
        <v>2214610.3677602299</v>
      </c>
      <c r="G385" s="804">
        <f t="shared" si="190"/>
        <v>2417225.0261823758</v>
      </c>
      <c r="H385" s="804">
        <f t="shared" si="190"/>
        <v>2614330.5888123261</v>
      </c>
      <c r="I385" s="804">
        <f t="shared" si="190"/>
        <v>2812429.1203768686</v>
      </c>
      <c r="J385" s="804">
        <f t="shared" si="190"/>
        <v>3015830.5607437994</v>
      </c>
      <c r="K385" s="804">
        <f t="shared" si="190"/>
        <v>3232523.608047225</v>
      </c>
      <c r="L385" s="804">
        <f t="shared" si="190"/>
        <v>3469760.8139738571</v>
      </c>
    </row>
    <row r="386" spans="1:12" hidden="1">
      <c r="A386" s="32" t="s">
        <v>224</v>
      </c>
      <c r="B386" s="155">
        <f t="shared" ref="B386:L386" si="191">B374*B380*12/1000</f>
        <v>0</v>
      </c>
      <c r="C386" s="804">
        <f t="shared" si="191"/>
        <v>543013.01267172978</v>
      </c>
      <c r="D386" s="804">
        <f t="shared" si="191"/>
        <v>1217912.7679381676</v>
      </c>
      <c r="E386" s="804">
        <f t="shared" si="191"/>
        <v>1354330.2559483354</v>
      </c>
      <c r="F386" s="804">
        <f t="shared" si="191"/>
        <v>1491511.5048453431</v>
      </c>
      <c r="G386" s="804">
        <f t="shared" si="191"/>
        <v>1627969.8627065397</v>
      </c>
      <c r="H386" s="804">
        <f t="shared" si="191"/>
        <v>1760717.9156423302</v>
      </c>
      <c r="I386" s="804">
        <f t="shared" si="191"/>
        <v>1894134.7203420689</v>
      </c>
      <c r="J386" s="804">
        <f t="shared" si="191"/>
        <v>2031122.9656902628</v>
      </c>
      <c r="K386" s="804">
        <f t="shared" si="191"/>
        <v>2177062.9367922344</v>
      </c>
      <c r="L386" s="804">
        <f t="shared" si="191"/>
        <v>2336839.1336203907</v>
      </c>
    </row>
    <row r="387" spans="1:12" hidden="1">
      <c r="A387" s="35" t="s">
        <v>557</v>
      </c>
      <c r="B387" s="155">
        <f t="shared" ref="B387:L387" si="192">B375*B381*12/1000</f>
        <v>0</v>
      </c>
      <c r="C387" s="804">
        <f t="shared" si="192"/>
        <v>89585.649917689443</v>
      </c>
      <c r="D387" s="804">
        <f t="shared" si="192"/>
        <v>350008.95735737518</v>
      </c>
      <c r="E387" s="804">
        <f t="shared" si="192"/>
        <v>765360.13488122902</v>
      </c>
      <c r="F387" s="804">
        <f t="shared" si="192"/>
        <v>1953422.1262252918</v>
      </c>
      <c r="G387" s="804">
        <f t="shared" si="192"/>
        <v>2102082.9336244217</v>
      </c>
      <c r="H387" s="804">
        <f t="shared" si="192"/>
        <v>2256926.1129711191</v>
      </c>
      <c r="I387" s="804">
        <f t="shared" si="192"/>
        <v>3557645.1957986956</v>
      </c>
      <c r="J387" s="804">
        <f t="shared" si="192"/>
        <v>3805491.1306591257</v>
      </c>
      <c r="K387" s="804">
        <f t="shared" si="192"/>
        <v>4089752.0448193806</v>
      </c>
      <c r="L387" s="804">
        <f t="shared" si="192"/>
        <v>6851396.435923689</v>
      </c>
    </row>
    <row r="388" spans="1:12" hidden="1">
      <c r="A388" s="40" t="s">
        <v>227</v>
      </c>
      <c r="B388" s="157">
        <f t="shared" ref="B388:L388" si="193">B384+B385+B386+B387</f>
        <v>0</v>
      </c>
      <c r="C388" s="805">
        <f t="shared" si="193"/>
        <v>1438869.5118486241</v>
      </c>
      <c r="D388" s="805">
        <f t="shared" si="193"/>
        <v>6193420.5541966362</v>
      </c>
      <c r="E388" s="805">
        <f t="shared" si="193"/>
        <v>6922015.7384974351</v>
      </c>
      <c r="F388" s="805">
        <f t="shared" si="193"/>
        <v>9998042.1969818547</v>
      </c>
      <c r="G388" s="805">
        <f t="shared" si="193"/>
        <v>10702358.670318611</v>
      </c>
      <c r="H388" s="805">
        <f t="shared" si="193"/>
        <v>11459095.999211401</v>
      </c>
      <c r="I388" s="805">
        <f t="shared" si="193"/>
        <v>20235316.476720247</v>
      </c>
      <c r="J388" s="805">
        <f t="shared" si="193"/>
        <v>21632622.905235276</v>
      </c>
      <c r="K388" s="805">
        <f t="shared" si="193"/>
        <v>23262772.165084373</v>
      </c>
      <c r="L388" s="805">
        <f t="shared" si="193"/>
        <v>42200505.619147219</v>
      </c>
    </row>
    <row r="389" spans="1:12" hidden="1"/>
    <row r="390" spans="1:12" hidden="1">
      <c r="A390" s="28" t="s">
        <v>478</v>
      </c>
      <c r="B390" s="19">
        <v>0.15</v>
      </c>
      <c r="C390" s="19">
        <f>B390</f>
        <v>0.15</v>
      </c>
      <c r="D390" s="19">
        <f t="shared" ref="D390:L390" si="194">C390</f>
        <v>0.15</v>
      </c>
      <c r="E390" s="19">
        <f t="shared" si="194"/>
        <v>0.15</v>
      </c>
      <c r="F390" s="19">
        <f t="shared" si="194"/>
        <v>0.15</v>
      </c>
      <c r="G390" s="19">
        <f t="shared" si="194"/>
        <v>0.15</v>
      </c>
      <c r="H390" s="19">
        <f t="shared" si="194"/>
        <v>0.15</v>
      </c>
      <c r="I390" s="19">
        <f t="shared" si="194"/>
        <v>0.15</v>
      </c>
      <c r="J390" s="19">
        <f t="shared" si="194"/>
        <v>0.15</v>
      </c>
      <c r="K390" s="19">
        <f t="shared" si="194"/>
        <v>0.15</v>
      </c>
      <c r="L390" s="19">
        <f t="shared" si="194"/>
        <v>0.15</v>
      </c>
    </row>
    <row r="391" spans="1:12" hidden="1"/>
    <row r="392" spans="1:12" hidden="1">
      <c r="A392" s="46" t="s">
        <v>477</v>
      </c>
    </row>
    <row r="393" spans="1:12" hidden="1">
      <c r="A393" s="189" t="s">
        <v>226</v>
      </c>
      <c r="B393" s="19"/>
      <c r="C393" s="19"/>
      <c r="D393" s="19"/>
      <c r="E393" s="19"/>
      <c r="F393" s="19"/>
      <c r="G393" s="19"/>
      <c r="H393" s="19"/>
      <c r="I393" s="19"/>
      <c r="J393" s="19"/>
      <c r="K393" s="19"/>
      <c r="L393" s="19"/>
    </row>
    <row r="394" spans="1:12" hidden="1">
      <c r="A394" s="32" t="s">
        <v>234</v>
      </c>
      <c r="B394" s="155">
        <f>B384*(1+B$137)</f>
        <v>0</v>
      </c>
      <c r="C394" s="804">
        <f t="shared" ref="C394:L394" si="195">C384*(1+C$137)</f>
        <v>0</v>
      </c>
      <c r="D394" s="804">
        <f t="shared" si="195"/>
        <v>3239700.0169032845</v>
      </c>
      <c r="E394" s="804">
        <f t="shared" si="195"/>
        <v>3210113.442831493</v>
      </c>
      <c r="F394" s="804">
        <f t="shared" si="195"/>
        <v>4989272.9278736366</v>
      </c>
      <c r="G394" s="804">
        <f t="shared" si="195"/>
        <v>5238342.9749760646</v>
      </c>
      <c r="H394" s="804">
        <f t="shared" si="195"/>
        <v>5551189.5890534688</v>
      </c>
      <c r="I394" s="804">
        <f t="shared" si="195"/>
        <v>13766773.556233006</v>
      </c>
      <c r="J394" s="804">
        <f t="shared" si="195"/>
        <v>14697204.985363398</v>
      </c>
      <c r="K394" s="804">
        <f t="shared" si="195"/>
        <v>15827948.611739358</v>
      </c>
      <c r="L394" s="804">
        <f t="shared" si="195"/>
        <v>33973885.620973669</v>
      </c>
    </row>
    <row r="395" spans="1:12" hidden="1">
      <c r="A395" s="32" t="s">
        <v>223</v>
      </c>
      <c r="B395" s="155">
        <f>B385*(1+B$137)</f>
        <v>0</v>
      </c>
      <c r="C395" s="804">
        <f t="shared" ref="C395:L395" si="196">C385*(1+C$137)</f>
        <v>927211.47664808575</v>
      </c>
      <c r="D395" s="804">
        <f t="shared" si="196"/>
        <v>2079623.6363329731</v>
      </c>
      <c r="E395" s="804">
        <f t="shared" si="196"/>
        <v>2312560.7069865568</v>
      </c>
      <c r="F395" s="804">
        <f t="shared" si="196"/>
        <v>2546801.9229242643</v>
      </c>
      <c r="G395" s="804">
        <f t="shared" si="196"/>
        <v>2779808.7801097319</v>
      </c>
      <c r="H395" s="804">
        <f t="shared" si="196"/>
        <v>3006480.1771341749</v>
      </c>
      <c r="I395" s="804">
        <f t="shared" si="196"/>
        <v>3234293.4884333988</v>
      </c>
      <c r="J395" s="804">
        <f t="shared" si="196"/>
        <v>3468205.1448553689</v>
      </c>
      <c r="K395" s="804">
        <f t="shared" si="196"/>
        <v>3717402.1492543085</v>
      </c>
      <c r="L395" s="804">
        <f t="shared" si="196"/>
        <v>3990224.9360699356</v>
      </c>
    </row>
    <row r="396" spans="1:12" hidden="1">
      <c r="A396" s="32" t="s">
        <v>224</v>
      </c>
      <c r="B396" s="155">
        <f t="shared" ref="B396:L396" si="197">B386*(1+B$137)</f>
        <v>0</v>
      </c>
      <c r="C396" s="804">
        <f t="shared" si="197"/>
        <v>624464.96457248915</v>
      </c>
      <c r="D396" s="804">
        <f t="shared" si="197"/>
        <v>1400599.6831288927</v>
      </c>
      <c r="E396" s="804">
        <f t="shared" si="197"/>
        <v>1557479.7943405856</v>
      </c>
      <c r="F396" s="804">
        <f t="shared" si="197"/>
        <v>1715238.2305721445</v>
      </c>
      <c r="G396" s="804">
        <f t="shared" si="197"/>
        <v>1872165.3421125205</v>
      </c>
      <c r="H396" s="804">
        <f t="shared" si="197"/>
        <v>2024825.6029886797</v>
      </c>
      <c r="I396" s="804">
        <f t="shared" si="197"/>
        <v>2178254.9283933793</v>
      </c>
      <c r="J396" s="804">
        <f t="shared" si="197"/>
        <v>2335791.4105438022</v>
      </c>
      <c r="K396" s="804">
        <f t="shared" si="197"/>
        <v>2503622.3773110695</v>
      </c>
      <c r="L396" s="804">
        <f t="shared" si="197"/>
        <v>2687365.0036634491</v>
      </c>
    </row>
    <row r="397" spans="1:12" hidden="1">
      <c r="A397" s="35" t="s">
        <v>557</v>
      </c>
      <c r="B397" s="155">
        <f t="shared" ref="B397:L397" si="198">B387*(1+B$137)</f>
        <v>0</v>
      </c>
      <c r="C397" s="804">
        <f t="shared" si="198"/>
        <v>103023.49740534285</v>
      </c>
      <c r="D397" s="804">
        <f t="shared" si="198"/>
        <v>402510.3009609814</v>
      </c>
      <c r="E397" s="804">
        <f t="shared" si="198"/>
        <v>880164.15511341335</v>
      </c>
      <c r="F397" s="804">
        <f t="shared" si="198"/>
        <v>2246435.4451590856</v>
      </c>
      <c r="G397" s="804">
        <f t="shared" si="198"/>
        <v>2417395.3736680849</v>
      </c>
      <c r="H397" s="804">
        <f t="shared" si="198"/>
        <v>2595465.0299167866</v>
      </c>
      <c r="I397" s="804">
        <f t="shared" si="198"/>
        <v>4091291.9751684996</v>
      </c>
      <c r="J397" s="804">
        <f t="shared" si="198"/>
        <v>4376314.8002579939</v>
      </c>
      <c r="K397" s="804">
        <f t="shared" si="198"/>
        <v>4703214.8515422875</v>
      </c>
      <c r="L397" s="804">
        <f t="shared" si="198"/>
        <v>7879105.9013122413</v>
      </c>
    </row>
    <row r="398" spans="1:12" hidden="1">
      <c r="A398" s="40" t="s">
        <v>227</v>
      </c>
      <c r="B398" s="157">
        <f t="shared" ref="B398:L398" si="199">B394+B395+B396+B397</f>
        <v>0</v>
      </c>
      <c r="C398" s="805">
        <f t="shared" si="199"/>
        <v>1654699.9386259178</v>
      </c>
      <c r="D398" s="805">
        <f t="shared" si="199"/>
        <v>7122433.6373261316</v>
      </c>
      <c r="E398" s="805">
        <f t="shared" si="199"/>
        <v>7960318.0992720481</v>
      </c>
      <c r="F398" s="805">
        <f t="shared" si="199"/>
        <v>11497748.52652913</v>
      </c>
      <c r="G398" s="805">
        <f t="shared" si="199"/>
        <v>12307712.470866401</v>
      </c>
      <c r="H398" s="805">
        <f t="shared" si="199"/>
        <v>13177960.39909311</v>
      </c>
      <c r="I398" s="805">
        <f t="shared" si="199"/>
        <v>23270613.948228285</v>
      </c>
      <c r="J398" s="805">
        <f t="shared" si="199"/>
        <v>24877516.341020562</v>
      </c>
      <c r="K398" s="805">
        <f t="shared" si="199"/>
        <v>26752187.989847023</v>
      </c>
      <c r="L398" s="805">
        <f t="shared" si="199"/>
        <v>48530581.462019295</v>
      </c>
    </row>
    <row r="399" spans="1:12" hidden="1">
      <c r="B399" s="157"/>
      <c r="C399" s="805"/>
      <c r="D399" s="805"/>
      <c r="E399" s="805"/>
      <c r="F399" s="805"/>
      <c r="G399" s="805"/>
      <c r="H399" s="805"/>
      <c r="I399" s="805"/>
      <c r="J399" s="805"/>
      <c r="K399" s="805"/>
      <c r="L399" s="805"/>
    </row>
    <row r="400" spans="1:12" hidden="1">
      <c r="A400" s="169" t="s">
        <v>228</v>
      </c>
      <c r="B400" s="75"/>
      <c r="C400" s="75"/>
      <c r="D400" s="75"/>
      <c r="E400" s="75"/>
      <c r="F400" s="75"/>
      <c r="G400" s="75"/>
      <c r="H400" s="75"/>
      <c r="I400" s="75"/>
      <c r="J400" s="75"/>
      <c r="K400" s="75"/>
      <c r="L400" s="75"/>
    </row>
    <row r="401" spans="1:12" hidden="1">
      <c r="B401" s="157">
        <v>2010</v>
      </c>
      <c r="C401" s="157">
        <v>2011</v>
      </c>
      <c r="D401" s="157">
        <v>2012</v>
      </c>
      <c r="E401" s="157">
        <v>2013</v>
      </c>
      <c r="F401" s="157">
        <v>2014</v>
      </c>
      <c r="G401" s="157">
        <v>2015</v>
      </c>
      <c r="H401" s="157">
        <v>2016</v>
      </c>
      <c r="I401" s="157">
        <v>2017</v>
      </c>
      <c r="J401" s="157">
        <v>2018</v>
      </c>
      <c r="K401" s="157">
        <v>2019</v>
      </c>
      <c r="L401" s="157">
        <v>2020</v>
      </c>
    </row>
    <row r="402" spans="1:12" hidden="1">
      <c r="A402" s="32" t="s">
        <v>234</v>
      </c>
      <c r="B402" s="145">
        <f>B394/B$13*100</f>
        <v>0</v>
      </c>
      <c r="C402" s="145">
        <f t="shared" ref="C402:L402" si="200">C394/C$13*100</f>
        <v>0</v>
      </c>
      <c r="D402" s="145">
        <f t="shared" si="200"/>
        <v>0.11762235960155785</v>
      </c>
      <c r="E402" s="145">
        <f t="shared" si="200"/>
        <v>0.10149320486566929</v>
      </c>
      <c r="F402" s="145">
        <f t="shared" si="200"/>
        <v>0.13774005119476876</v>
      </c>
      <c r="G402" s="145">
        <f t="shared" si="200"/>
        <v>0.12685764550441234</v>
      </c>
      <c r="H402" s="145">
        <f t="shared" si="200"/>
        <v>0.11841011816632917</v>
      </c>
      <c r="I402" s="145">
        <f t="shared" si="200"/>
        <v>0.25910848246956891</v>
      </c>
      <c r="J402" s="145">
        <f t="shared" si="200"/>
        <v>0.24408071810049781</v>
      </c>
      <c r="K402" s="145">
        <f t="shared" si="200"/>
        <v>0.23186410651837819</v>
      </c>
      <c r="L402" s="145">
        <f t="shared" si="200"/>
        <v>0.43885244464342427</v>
      </c>
    </row>
    <row r="403" spans="1:12" hidden="1">
      <c r="A403" s="32" t="s">
        <v>223</v>
      </c>
      <c r="B403" s="145">
        <f t="shared" ref="B403:L403" si="201">B395/B$13*100</f>
        <v>0</v>
      </c>
      <c r="C403" s="145">
        <f t="shared" si="201"/>
        <v>3.8509287912008305E-2</v>
      </c>
      <c r="D403" s="145">
        <f t="shared" si="201"/>
        <v>7.5503978119082368E-2</v>
      </c>
      <c r="E403" s="145">
        <f t="shared" si="201"/>
        <v>7.3115546156978628E-2</v>
      </c>
      <c r="F403" s="145">
        <f t="shared" si="201"/>
        <v>7.0310169902055977E-2</v>
      </c>
      <c r="G403" s="145">
        <f t="shared" si="201"/>
        <v>6.7318997339769371E-2</v>
      </c>
      <c r="H403" s="145">
        <f t="shared" si="201"/>
        <v>6.4129979228449457E-2</v>
      </c>
      <c r="I403" s="145">
        <f t="shared" si="201"/>
        <v>6.0873586263773524E-2</v>
      </c>
      <c r="J403" s="145">
        <f t="shared" si="201"/>
        <v>5.7597482182440186E-2</v>
      </c>
      <c r="K403" s="145">
        <f t="shared" si="201"/>
        <v>5.4456338534424262E-2</v>
      </c>
      <c r="L403" s="145">
        <f t="shared" si="201"/>
        <v>5.154311718734917E-2</v>
      </c>
    </row>
    <row r="404" spans="1:12" hidden="1">
      <c r="A404" s="32" t="s">
        <v>224</v>
      </c>
      <c r="B404" s="145">
        <f t="shared" ref="B404:L404" si="202">B396/B$13*100</f>
        <v>0</v>
      </c>
      <c r="C404" s="145">
        <f t="shared" si="202"/>
        <v>2.5935508476035748E-2</v>
      </c>
      <c r="D404" s="145">
        <f t="shared" si="202"/>
        <v>5.0850954942515181E-2</v>
      </c>
      <c r="E404" s="145">
        <f t="shared" si="202"/>
        <v>4.9242376836913307E-2</v>
      </c>
      <c r="F404" s="145">
        <f t="shared" si="202"/>
        <v>4.7352992130442827E-2</v>
      </c>
      <c r="G404" s="145">
        <f t="shared" si="202"/>
        <v>4.5338476008521034E-2</v>
      </c>
      <c r="H404" s="145">
        <f t="shared" si="202"/>
        <v>4.3190713462369718E-2</v>
      </c>
      <c r="I404" s="145">
        <f t="shared" si="202"/>
        <v>4.09975748219037E-2</v>
      </c>
      <c r="J404" s="145">
        <f t="shared" si="202"/>
        <v>3.8791160998725725E-2</v>
      </c>
      <c r="K404" s="145">
        <f t="shared" si="202"/>
        <v>3.6675641285826545E-2</v>
      </c>
      <c r="L404" s="145">
        <f t="shared" si="202"/>
        <v>3.4713624301449267E-2</v>
      </c>
    </row>
    <row r="405" spans="1:12" hidden="1">
      <c r="A405" s="35" t="s">
        <v>557</v>
      </c>
      <c r="B405" s="137">
        <f t="shared" ref="B405:L405" si="203">B397/B$13*100</f>
        <v>0</v>
      </c>
      <c r="C405" s="137">
        <f t="shared" si="203"/>
        <v>4.278809768000923E-3</v>
      </c>
      <c r="D405" s="137">
        <f t="shared" si="203"/>
        <v>1.4613763964547097E-2</v>
      </c>
      <c r="E405" s="137">
        <f t="shared" si="203"/>
        <v>2.7827889107728827E-2</v>
      </c>
      <c r="F405" s="137">
        <f t="shared" si="203"/>
        <v>6.2017880700270311E-2</v>
      </c>
      <c r="G405" s="137">
        <f t="shared" si="203"/>
        <v>5.8542383883940619E-2</v>
      </c>
      <c r="H405" s="137">
        <f t="shared" si="203"/>
        <v>5.5362785932415677E-2</v>
      </c>
      <c r="I405" s="137">
        <f t="shared" si="203"/>
        <v>7.7003406113691206E-2</v>
      </c>
      <c r="J405" s="137">
        <f t="shared" si="203"/>
        <v>7.2678720895883078E-2</v>
      </c>
      <c r="K405" s="137">
        <f t="shared" si="203"/>
        <v>6.8897539161076521E-2</v>
      </c>
      <c r="L405" s="137">
        <f t="shared" si="203"/>
        <v>0.10177713921132024</v>
      </c>
    </row>
    <row r="406" spans="1:12" ht="30" hidden="1">
      <c r="A406" s="44" t="s">
        <v>481</v>
      </c>
      <c r="B406" s="180">
        <f t="shared" ref="B406:L406" si="204">B402+B403+B404+B405</f>
        <v>0</v>
      </c>
      <c r="C406" s="180">
        <f t="shared" si="204"/>
        <v>6.8723606156044975E-2</v>
      </c>
      <c r="D406" s="180">
        <f t="shared" si="204"/>
        <v>0.25859105662770249</v>
      </c>
      <c r="E406" s="180">
        <f t="shared" si="204"/>
        <v>0.25167901696729006</v>
      </c>
      <c r="F406" s="180">
        <f t="shared" si="204"/>
        <v>0.31742109392753787</v>
      </c>
      <c r="G406" s="180">
        <f t="shared" si="204"/>
        <v>0.29805750273664333</v>
      </c>
      <c r="H406" s="180">
        <f t="shared" si="204"/>
        <v>0.28109359678956403</v>
      </c>
      <c r="I406" s="180">
        <f t="shared" si="204"/>
        <v>0.43798304966893736</v>
      </c>
      <c r="J406" s="180">
        <f t="shared" si="204"/>
        <v>0.41314808217754678</v>
      </c>
      <c r="K406" s="180">
        <f t="shared" si="204"/>
        <v>0.39189362549970552</v>
      </c>
      <c r="L406" s="180">
        <f t="shared" si="204"/>
        <v>0.62688632534354294</v>
      </c>
    </row>
    <row r="407" spans="1:12" hidden="1">
      <c r="A407" s="169" t="s">
        <v>476</v>
      </c>
      <c r="B407" s="75"/>
      <c r="C407" s="75"/>
      <c r="D407" s="75"/>
      <c r="E407" s="75"/>
      <c r="F407" s="75"/>
      <c r="G407" s="75"/>
      <c r="H407" s="75"/>
      <c r="I407" s="75"/>
      <c r="J407" s="75"/>
      <c r="K407" s="75"/>
      <c r="L407" s="75"/>
    </row>
    <row r="408" spans="1:12" hidden="1">
      <c r="B408" s="157">
        <v>2010</v>
      </c>
      <c r="C408" s="157">
        <v>2011</v>
      </c>
      <c r="D408" s="157">
        <v>2012</v>
      </c>
      <c r="E408" s="157">
        <v>2013</v>
      </c>
      <c r="F408" s="157">
        <v>2014</v>
      </c>
      <c r="G408" s="157">
        <v>2015</v>
      </c>
      <c r="H408" s="157">
        <v>2016</v>
      </c>
      <c r="I408" s="157">
        <v>2017</v>
      </c>
      <c r="J408" s="157">
        <v>2018</v>
      </c>
      <c r="K408" s="157">
        <v>2019</v>
      </c>
      <c r="L408" s="157">
        <v>2020</v>
      </c>
    </row>
    <row r="409" spans="1:12" hidden="1">
      <c r="A409" s="32" t="s">
        <v>234</v>
      </c>
      <c r="B409" s="145">
        <f>B394/B$14*100</f>
        <v>0</v>
      </c>
      <c r="C409" s="145">
        <f t="shared" ref="C409:L409" si="205">C394/C$14*100</f>
        <v>0</v>
      </c>
      <c r="D409" s="145">
        <f t="shared" si="205"/>
        <v>0.36924998247269103</v>
      </c>
      <c r="E409" s="145">
        <f t="shared" si="205"/>
        <v>0.32024627181431597</v>
      </c>
      <c r="F409" s="145">
        <f t="shared" si="205"/>
        <v>0.43586758241168594</v>
      </c>
      <c r="G409" s="145">
        <f t="shared" si="205"/>
        <v>0.40268580335155413</v>
      </c>
      <c r="H409" s="145">
        <f t="shared" si="205"/>
        <v>0.37765880683692277</v>
      </c>
      <c r="I409" s="145">
        <f t="shared" si="205"/>
        <v>0.82846868141441055</v>
      </c>
      <c r="J409" s="145">
        <f t="shared" si="205"/>
        <v>0.78425697879086764</v>
      </c>
      <c r="K409" s="145">
        <f t="shared" si="205"/>
        <v>0.74850648683770005</v>
      </c>
      <c r="L409" s="145">
        <f t="shared" si="205"/>
        <v>1.4232866260577861</v>
      </c>
    </row>
    <row r="410" spans="1:12" hidden="1">
      <c r="A410" s="32" t="s">
        <v>223</v>
      </c>
      <c r="B410" s="145">
        <f t="shared" ref="B410:L410" si="206">B395/B$14*100</f>
        <v>0</v>
      </c>
      <c r="C410" s="145">
        <f t="shared" si="206"/>
        <v>0.12139412634713574</v>
      </c>
      <c r="D410" s="145">
        <f t="shared" si="206"/>
        <v>0.23702842462548548</v>
      </c>
      <c r="E410" s="145">
        <f t="shared" si="206"/>
        <v>0.23070491368787399</v>
      </c>
      <c r="F410" s="145">
        <f t="shared" si="206"/>
        <v>0.22249101483801342</v>
      </c>
      <c r="G410" s="145">
        <f t="shared" si="206"/>
        <v>0.21369153129712853</v>
      </c>
      <c r="H410" s="145">
        <f t="shared" si="206"/>
        <v>0.20453700927713286</v>
      </c>
      <c r="I410" s="145">
        <f t="shared" si="206"/>
        <v>0.19463608162977769</v>
      </c>
      <c r="J410" s="145">
        <f t="shared" si="206"/>
        <v>0.18506675870956169</v>
      </c>
      <c r="K410" s="145">
        <f t="shared" si="206"/>
        <v>0.17579660454782617</v>
      </c>
      <c r="L410" s="145">
        <f t="shared" si="206"/>
        <v>0.16716468200989551</v>
      </c>
    </row>
    <row r="411" spans="1:12" hidden="1">
      <c r="A411" s="32" t="s">
        <v>224</v>
      </c>
      <c r="B411" s="145">
        <f t="shared" ref="B411:L411" si="207">B396/B$14*100</f>
        <v>0</v>
      </c>
      <c r="C411" s="145">
        <f t="shared" si="207"/>
        <v>8.1757377597089398E-2</v>
      </c>
      <c r="D411" s="145">
        <f t="shared" si="207"/>
        <v>0.1596355853159967</v>
      </c>
      <c r="E411" s="145">
        <f t="shared" si="207"/>
        <v>0.15537678229955382</v>
      </c>
      <c r="F411" s="145">
        <f t="shared" si="207"/>
        <v>0.14984482741821123</v>
      </c>
      <c r="G411" s="145">
        <f t="shared" si="207"/>
        <v>0.14391848880398331</v>
      </c>
      <c r="H411" s="145">
        <f t="shared" si="207"/>
        <v>0.1377530363555724</v>
      </c>
      <c r="I411" s="145">
        <f t="shared" si="207"/>
        <v>0.13108488934892457</v>
      </c>
      <c r="J411" s="145">
        <f t="shared" si="207"/>
        <v>0.12464007384690141</v>
      </c>
      <c r="K411" s="145">
        <f t="shared" si="207"/>
        <v>0.11839674464317237</v>
      </c>
      <c r="L411" s="145">
        <f t="shared" si="207"/>
        <v>0.11258325620218833</v>
      </c>
    </row>
    <row r="412" spans="1:12" hidden="1">
      <c r="A412" s="35" t="s">
        <v>557</v>
      </c>
      <c r="B412" s="145">
        <f t="shared" ref="B412:L412" si="208">B397/B$14*100</f>
        <v>0</v>
      </c>
      <c r="C412" s="145">
        <f t="shared" si="208"/>
        <v>1.3488236260792858E-2</v>
      </c>
      <c r="D412" s="145">
        <f t="shared" si="208"/>
        <v>4.5876754267201329E-2</v>
      </c>
      <c r="E412" s="145">
        <f t="shared" si="208"/>
        <v>8.7806644306951356E-2</v>
      </c>
      <c r="F412" s="145">
        <f t="shared" si="208"/>
        <v>0.19625071642306616</v>
      </c>
      <c r="G412" s="145">
        <f t="shared" si="208"/>
        <v>0.18583181794588605</v>
      </c>
      <c r="H412" s="145">
        <f t="shared" si="208"/>
        <v>0.17657480629344985</v>
      </c>
      <c r="I412" s="145">
        <f t="shared" si="208"/>
        <v>0.24620927003005597</v>
      </c>
      <c r="J412" s="145">
        <f t="shared" si="208"/>
        <v>0.23352436241490115</v>
      </c>
      <c r="K412" s="145">
        <f t="shared" si="208"/>
        <v>0.22241586144396458</v>
      </c>
      <c r="L412" s="145">
        <f t="shared" si="208"/>
        <v>0.33008370545957294</v>
      </c>
    </row>
    <row r="413" spans="1:12" ht="30" hidden="1">
      <c r="A413" s="44" t="s">
        <v>482</v>
      </c>
      <c r="B413" s="180">
        <f t="shared" ref="B413:L413" si="209">B409+B410+B411+B412</f>
        <v>0</v>
      </c>
      <c r="C413" s="180">
        <f t="shared" si="209"/>
        <v>0.216639740205018</v>
      </c>
      <c r="D413" s="180">
        <f t="shared" si="209"/>
        <v>0.81179074668137441</v>
      </c>
      <c r="E413" s="180">
        <f t="shared" si="209"/>
        <v>0.79413461210869518</v>
      </c>
      <c r="F413" s="180">
        <f t="shared" si="209"/>
        <v>1.0044541410909769</v>
      </c>
      <c r="G413" s="180">
        <f t="shared" si="209"/>
        <v>0.94612764139855199</v>
      </c>
      <c r="H413" s="180">
        <f t="shared" si="209"/>
        <v>0.89652365876307782</v>
      </c>
      <c r="I413" s="180">
        <f t="shared" si="209"/>
        <v>1.4003989224231688</v>
      </c>
      <c r="J413" s="180">
        <f t="shared" si="209"/>
        <v>1.3274881737622319</v>
      </c>
      <c r="K413" s="180">
        <f t="shared" si="209"/>
        <v>1.2651156974726632</v>
      </c>
      <c r="L413" s="180">
        <f t="shared" si="209"/>
        <v>2.0331182697294428</v>
      </c>
    </row>
    <row r="414" spans="1:12">
      <c r="A414" s="32"/>
      <c r="B414" s="75"/>
      <c r="C414" s="75"/>
      <c r="D414" s="75"/>
      <c r="E414" s="75"/>
      <c r="F414" s="75"/>
      <c r="G414" s="75"/>
      <c r="H414" s="75"/>
      <c r="I414" s="75"/>
      <c r="J414" s="75"/>
      <c r="K414" s="75"/>
      <c r="L414" s="75"/>
    </row>
    <row r="415" spans="1:12">
      <c r="A415" s="191"/>
      <c r="B415" s="139"/>
      <c r="C415" s="139"/>
      <c r="D415" s="139"/>
      <c r="E415" s="139"/>
      <c r="F415" s="139"/>
      <c r="G415" s="139"/>
      <c r="H415" s="139"/>
      <c r="I415" s="139"/>
      <c r="J415" s="139"/>
      <c r="K415" s="139"/>
      <c r="L415" s="139"/>
    </row>
  </sheetData>
  <mergeCells count="3">
    <mergeCell ref="M6:M7"/>
    <mergeCell ref="A163:L163"/>
    <mergeCell ref="A338:L338"/>
  </mergeCells>
  <phoneticPr fontId="24" type="noConversion"/>
  <pageMargins left="0.51181102362204722" right="0.39370078740157483" top="0.36" bottom="0.41" header="0.27" footer="0.31496062992125984"/>
  <pageSetup paperSize="9" scale="50" orientation="landscape" horizontalDpi="200" verticalDpi="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sheetPr codeName="Sheet10">
    <tabColor rgb="FF75923C"/>
  </sheetPr>
  <dimension ref="A1:IV110"/>
  <sheetViews>
    <sheetView zoomScale="75" zoomScaleNormal="75" workbookViewId="0">
      <selection activeCell="F101" sqref="F101"/>
    </sheetView>
  </sheetViews>
  <sheetFormatPr defaultColWidth="8.85546875" defaultRowHeight="15"/>
  <cols>
    <col min="1" max="1" width="43.42578125" style="35" customWidth="1"/>
    <col min="2" max="3" width="14.42578125" style="35" bestFit="1" customWidth="1"/>
    <col min="4" max="12" width="15.140625" style="35" bestFit="1" customWidth="1"/>
    <col min="13" max="13" width="64" style="35" customWidth="1"/>
    <col min="14" max="16384" width="8.85546875" style="35"/>
  </cols>
  <sheetData>
    <row r="1" spans="1:256" ht="62.25" customHeight="1">
      <c r="A1" s="1536" t="s">
        <v>490</v>
      </c>
      <c r="B1" s="1537"/>
      <c r="C1" s="1537"/>
      <c r="D1" s="1537"/>
      <c r="E1" s="1537"/>
      <c r="F1" s="1537"/>
      <c r="G1" s="1537"/>
      <c r="H1" s="1537"/>
      <c r="I1" s="1537"/>
      <c r="J1" s="1537"/>
      <c r="K1" s="1537"/>
      <c r="L1" s="1537"/>
    </row>
    <row r="2" spans="1:256">
      <c r="J2" s="345"/>
      <c r="K2" s="346"/>
      <c r="L2" s="347"/>
    </row>
    <row r="3" spans="1:256">
      <c r="J3" s="345"/>
      <c r="K3" s="346"/>
      <c r="L3" s="347"/>
    </row>
    <row r="4" spans="1:256">
      <c r="J4" s="345"/>
      <c r="K4" s="1540"/>
      <c r="L4" s="1540"/>
    </row>
    <row r="5" spans="1:256">
      <c r="J5" s="345"/>
      <c r="K5" s="1540"/>
      <c r="L5" s="1540"/>
    </row>
    <row r="6" spans="1:256">
      <c r="J6" s="345"/>
      <c r="K6" s="346"/>
      <c r="L6" s="347"/>
    </row>
    <row r="7" spans="1:256">
      <c r="A7" s="183" t="s">
        <v>798</v>
      </c>
    </row>
    <row r="8" spans="1:256" ht="17.25">
      <c r="A8" s="184"/>
    </row>
    <row r="9" spans="1:256" s="32" customFormat="1" ht="17.25">
      <c r="A9" s="28"/>
      <c r="B9" s="209" t="s">
        <v>762</v>
      </c>
      <c r="C9" s="1538" t="s">
        <v>734</v>
      </c>
      <c r="D9" s="1538"/>
      <c r="E9" s="1538"/>
      <c r="F9" s="1538"/>
      <c r="G9" s="1538"/>
      <c r="H9" s="1538"/>
      <c r="I9" s="1538"/>
      <c r="J9" s="1538"/>
      <c r="K9" s="1538"/>
      <c r="L9" s="1541"/>
      <c r="M9" s="1538" t="s">
        <v>744</v>
      </c>
    </row>
    <row r="10" spans="1:256" s="32" customFormat="1">
      <c r="B10" s="210">
        <v>2010</v>
      </c>
      <c r="C10" s="37">
        <v>2011</v>
      </c>
      <c r="D10" s="37">
        <v>2012</v>
      </c>
      <c r="E10" s="37">
        <v>2013</v>
      </c>
      <c r="F10" s="37">
        <v>2014</v>
      </c>
      <c r="G10" s="37">
        <v>2015</v>
      </c>
      <c r="H10" s="37">
        <v>2016</v>
      </c>
      <c r="I10" s="37">
        <v>2017</v>
      </c>
      <c r="J10" s="37">
        <v>2018</v>
      </c>
      <c r="K10" s="37">
        <v>2019</v>
      </c>
      <c r="L10" s="38">
        <v>2020</v>
      </c>
      <c r="M10" s="1539"/>
    </row>
    <row r="11" spans="1:256" s="28" customFormat="1" ht="17.25">
      <c r="B11" s="211"/>
      <c r="C11" s="29"/>
      <c r="D11" s="29"/>
      <c r="E11" s="29"/>
      <c r="F11" s="29"/>
      <c r="G11" s="29"/>
      <c r="H11" s="29"/>
      <c r="I11" s="29"/>
      <c r="J11" s="29"/>
      <c r="K11" s="29"/>
      <c r="L11" s="30"/>
      <c r="M11" s="31"/>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32" customFormat="1" ht="17.25">
      <c r="A12" s="32" t="s">
        <v>644</v>
      </c>
      <c r="B12" s="210"/>
      <c r="C12" s="37"/>
      <c r="D12" s="37"/>
      <c r="E12" s="37"/>
      <c r="F12" s="37"/>
      <c r="G12" s="37"/>
      <c r="H12" s="37"/>
      <c r="I12" s="37"/>
      <c r="J12" s="37"/>
      <c r="K12" s="37"/>
      <c r="L12" s="38"/>
      <c r="M12" s="39"/>
    </row>
    <row r="13" spans="1:256" s="32" customFormat="1" ht="17.25">
      <c r="A13" s="32" t="s">
        <v>442</v>
      </c>
      <c r="B13" s="348">
        <f>ECO!G$64</f>
        <v>1980913600</v>
      </c>
      <c r="C13" s="349">
        <f>ECO!H$64</f>
        <v>2407760638.8534503</v>
      </c>
      <c r="D13" s="349">
        <f>ECO!I$64</f>
        <v>2754323266.3225503</v>
      </c>
      <c r="E13" s="349">
        <f>ECO!J$64</f>
        <v>3162885088.7901502</v>
      </c>
      <c r="F13" s="349">
        <f>ECO!K$64</f>
        <v>3622238328.3556705</v>
      </c>
      <c r="G13" s="349">
        <f>ECO!L$64</f>
        <v>4129308055.61409</v>
      </c>
      <c r="H13" s="349">
        <f>ECO!M$64</f>
        <v>4688104086.8955002</v>
      </c>
      <c r="I13" s="349">
        <f>ECO!N$64</f>
        <v>5313131173.8703308</v>
      </c>
      <c r="J13" s="349">
        <f>ECO!O$64</f>
        <v>6021452698.0013103</v>
      </c>
      <c r="K13" s="349">
        <f>ECO!P$64</f>
        <v>6826390185.7896204</v>
      </c>
      <c r="L13" s="350">
        <f>ECO!Q$64</f>
        <v>7741528168.671381</v>
      </c>
      <c r="M13" s="39"/>
    </row>
    <row r="14" spans="1:256" s="32" customFormat="1" ht="17.25">
      <c r="A14" s="32" t="s">
        <v>646</v>
      </c>
      <c r="B14" s="348">
        <f>'GGO(SQ) (SQ and Post SPF)'!H$190</f>
        <v>685042000</v>
      </c>
      <c r="C14" s="349">
        <f>'GGO(SQ) (SQ and Post SPF)'!I$190</f>
        <v>763802586.29371738</v>
      </c>
      <c r="D14" s="349">
        <f>'GGO(SQ) (SQ and Post SPF)'!J$190</f>
        <v>877373099.71108425</v>
      </c>
      <c r="E14" s="349">
        <f>'GGO(SQ) (SQ and Post SPF)'!K$190</f>
        <v>1002389012.8821763</v>
      </c>
      <c r="F14" s="349">
        <f>'GGO(SQ) (SQ and Post SPF)'!L$190</f>
        <v>1144676302.8963153</v>
      </c>
      <c r="G14" s="349">
        <f>'GGO(SQ) (SQ and Post SPF)'!M$190</f>
        <v>1300851167.6789532</v>
      </c>
      <c r="H14" s="349">
        <f>'GGO(SQ) (SQ and Post SPF)'!N$190</f>
        <v>1469895442.276958</v>
      </c>
      <c r="I14" s="349">
        <f>'GGO(SQ) (SQ and Post SPF)'!O$190</f>
        <v>1661713214.4005201</v>
      </c>
      <c r="J14" s="349">
        <f>'GGO(SQ) (SQ and Post SPF)'!P$190</f>
        <v>1874029225.4743962</v>
      </c>
      <c r="K14" s="349">
        <f>'GGO(SQ) (SQ and Post SPF)'!Q$190</f>
        <v>2114604066.9078875</v>
      </c>
      <c r="L14" s="350">
        <f>'GGO(SQ) (SQ and Post SPF)'!R$190</f>
        <v>2387002378.7881999</v>
      </c>
      <c r="M14" s="39"/>
    </row>
    <row r="15" spans="1:256" s="32" customFormat="1" ht="17.25">
      <c r="B15" s="210"/>
      <c r="C15" s="37"/>
      <c r="D15" s="37"/>
      <c r="E15" s="37"/>
      <c r="F15" s="37"/>
      <c r="G15" s="37"/>
      <c r="H15" s="37"/>
      <c r="I15" s="37"/>
      <c r="J15" s="37"/>
      <c r="K15" s="37"/>
      <c r="L15" s="38"/>
      <c r="M15" s="39"/>
    </row>
    <row r="16" spans="1:256">
      <c r="A16" s="33" t="s">
        <v>83</v>
      </c>
      <c r="B16" s="212"/>
      <c r="C16" s="32"/>
      <c r="D16" s="32"/>
      <c r="E16" s="32"/>
      <c r="F16" s="32"/>
      <c r="G16" s="32"/>
      <c r="H16" s="32"/>
      <c r="I16" s="32"/>
      <c r="J16" s="32"/>
      <c r="K16" s="32"/>
      <c r="L16" s="34"/>
    </row>
    <row r="17" spans="1:13">
      <c r="B17" s="212"/>
      <c r="C17" s="32"/>
      <c r="D17" s="32"/>
      <c r="E17" s="32"/>
      <c r="F17" s="32"/>
      <c r="G17" s="32"/>
      <c r="H17" s="32"/>
      <c r="I17" s="32"/>
      <c r="J17" s="32"/>
      <c r="K17" s="32"/>
      <c r="L17" s="34"/>
    </row>
    <row r="18" spans="1:13" s="32" customFormat="1" ht="17.25">
      <c r="A18" s="36" t="s">
        <v>766</v>
      </c>
      <c r="B18" s="210"/>
      <c r="C18" s="37" t="s">
        <v>491</v>
      </c>
      <c r="D18" s="37"/>
      <c r="E18" s="37"/>
      <c r="F18" s="37"/>
      <c r="G18" s="37"/>
      <c r="H18" s="37"/>
      <c r="I18" s="37"/>
      <c r="J18" s="37"/>
      <c r="K18" s="37"/>
      <c r="L18" s="38"/>
      <c r="M18" s="39"/>
    </row>
    <row r="19" spans="1:13" s="32" customFormat="1" ht="17.25">
      <c r="A19" s="36" t="s">
        <v>767</v>
      </c>
      <c r="B19" s="210"/>
      <c r="C19" s="37"/>
      <c r="D19" s="37"/>
      <c r="E19" s="37"/>
      <c r="F19" s="37"/>
      <c r="G19" s="37"/>
      <c r="H19" s="37"/>
      <c r="I19" s="37"/>
      <c r="J19" s="37"/>
      <c r="K19" s="37"/>
      <c r="L19" s="38"/>
      <c r="M19" s="39"/>
    </row>
    <row r="20" spans="1:13" s="32" customFormat="1" ht="17.25">
      <c r="B20" s="210"/>
      <c r="C20" s="37"/>
      <c r="D20" s="37"/>
      <c r="E20" s="37"/>
      <c r="F20" s="37"/>
      <c r="G20" s="37"/>
      <c r="H20" s="37"/>
      <c r="I20" s="37"/>
      <c r="J20" s="37"/>
      <c r="K20" s="37"/>
      <c r="L20" s="38"/>
      <c r="M20" s="39"/>
    </row>
    <row r="21" spans="1:13">
      <c r="A21" s="172" t="s">
        <v>838</v>
      </c>
      <c r="B21" s="213"/>
      <c r="C21" s="28"/>
      <c r="D21" s="28"/>
      <c r="E21" s="28"/>
      <c r="F21" s="28"/>
      <c r="G21" s="28"/>
      <c r="H21" s="28"/>
      <c r="I21" s="28"/>
      <c r="J21" s="28"/>
      <c r="K21" s="28"/>
      <c r="L21" s="194"/>
      <c r="M21" s="28"/>
    </row>
    <row r="22" spans="1:13">
      <c r="A22" s="40" t="s">
        <v>82</v>
      </c>
      <c r="B22" s="1333">
        <f>SUM(POP!G296:G345)</f>
        <v>59555.840767407084</v>
      </c>
      <c r="C22" s="1334">
        <f>SUM(POP!H296:H345)</f>
        <v>60766.089065146691</v>
      </c>
      <c r="D22" s="1334">
        <f>SUM(POP!I296:I345)</f>
        <v>61900.856093872098</v>
      </c>
      <c r="E22" s="1334">
        <f>SUM(POP!J296:J345)</f>
        <v>62964.248226461423</v>
      </c>
      <c r="F22" s="1334">
        <f>SUM(POP!K296:K345)</f>
        <v>63966.113980814778</v>
      </c>
      <c r="G22" s="1334">
        <f>SUM(POP!L296:L345)</f>
        <v>64912.901390545609</v>
      </c>
      <c r="H22" s="1334">
        <f>SUM(POP!M296:M345)</f>
        <v>65805.244106832542</v>
      </c>
      <c r="I22" s="1334">
        <f>SUM(POP!N296:N345)</f>
        <v>66636.955323652073</v>
      </c>
      <c r="J22" s="1334">
        <f>SUM(POP!O296:O345)</f>
        <v>67400.177285227037</v>
      </c>
      <c r="K22" s="1334">
        <f>SUM(POP!P296:P345)</f>
        <v>68084.59414984248</v>
      </c>
      <c r="L22" s="1335">
        <f>SUM(POP!Q296:Q345)</f>
        <v>68683.822282145265</v>
      </c>
      <c r="M22" s="32"/>
    </row>
    <row r="23" spans="1:13">
      <c r="A23" s="32" t="s">
        <v>274</v>
      </c>
      <c r="B23" s="1075">
        <f>SUM(EAP!G50:G59)</f>
        <v>48646.277346691146</v>
      </c>
      <c r="C23" s="1076">
        <f>SUM(EAP!H50:H59)</f>
        <v>49609.968041294567</v>
      </c>
      <c r="D23" s="1076">
        <f>SUM(EAP!I50:I59)</f>
        <v>50523.047145015189</v>
      </c>
      <c r="E23" s="1076">
        <f>SUM(EAP!J50:J59)</f>
        <v>51385.677009561034</v>
      </c>
      <c r="F23" s="1076">
        <f>SUM(EAP!K50:K59)</f>
        <v>52202.49298334276</v>
      </c>
      <c r="G23" s="1076">
        <f>SUM(EAP!L50:L59)</f>
        <v>52976.023189032334</v>
      </c>
      <c r="H23" s="1076">
        <f>SUM(EAP!M50:M59)</f>
        <v>53704.673086061346</v>
      </c>
      <c r="I23" s="1076">
        <f>SUM(EAP!N50:N59)</f>
        <v>54382.274811887284</v>
      </c>
      <c r="J23" s="1076">
        <f>SUM(EAP!O50:O59)</f>
        <v>55002.112067981427</v>
      </c>
      <c r="K23" s="1076">
        <f>SUM(EAP!P50:P59)</f>
        <v>55556.231357894081</v>
      </c>
      <c r="L23" s="1077">
        <f>SUM(EAP!Q50:Q59)</f>
        <v>56039.746117679279</v>
      </c>
      <c r="M23" s="32"/>
    </row>
    <row r="24" spans="1:13" ht="60">
      <c r="A24" s="32" t="s">
        <v>280</v>
      </c>
      <c r="B24" s="1336">
        <f>B34/100*B22</f>
        <v>2203.5661083940622</v>
      </c>
      <c r="C24" s="1337">
        <f t="shared" ref="C24:L24" si="0">C34/100*C22</f>
        <v>2248.3452954104278</v>
      </c>
      <c r="D24" s="1337">
        <f t="shared" si="0"/>
        <v>2290.3316754732678</v>
      </c>
      <c r="E24" s="1337">
        <f t="shared" si="0"/>
        <v>2329.677184379073</v>
      </c>
      <c r="F24" s="1337">
        <f t="shared" si="0"/>
        <v>2366.7462172901473</v>
      </c>
      <c r="G24" s="1337">
        <f t="shared" si="0"/>
        <v>2401.7773514501878</v>
      </c>
      <c r="H24" s="1337">
        <f t="shared" si="0"/>
        <v>2434.7940319528043</v>
      </c>
      <c r="I24" s="1337">
        <f t="shared" si="0"/>
        <v>2465.5673469751268</v>
      </c>
      <c r="J24" s="1337">
        <f t="shared" si="0"/>
        <v>2493.8065595534008</v>
      </c>
      <c r="K24" s="1337">
        <f t="shared" si="0"/>
        <v>2519.1299835441723</v>
      </c>
      <c r="L24" s="1338">
        <f t="shared" si="0"/>
        <v>2541.3014244393753</v>
      </c>
      <c r="M24" s="1331" t="s">
        <v>1039</v>
      </c>
    </row>
    <row r="25" spans="1:13">
      <c r="A25" s="32" t="s">
        <v>271</v>
      </c>
      <c r="B25" s="1075">
        <f>ECO!B91</f>
        <v>43452</v>
      </c>
      <c r="C25" s="1076">
        <f>ECO!C91</f>
        <v>44549</v>
      </c>
      <c r="D25" s="1076">
        <f>ECO!D91</f>
        <v>45579</v>
      </c>
      <c r="E25" s="1076">
        <f>ECO!E91</f>
        <v>46460.800000000003</v>
      </c>
      <c r="F25" s="1076">
        <f>ECO!F91</f>
        <v>48014.896999999997</v>
      </c>
      <c r="G25" s="1076">
        <f>ECO!G91</f>
        <v>48863.897754323953</v>
      </c>
      <c r="H25" s="1076">
        <f>ECO!H91</f>
        <v>49215.687746472911</v>
      </c>
      <c r="I25" s="1076">
        <f>ECO!I91</f>
        <v>49799.913883559457</v>
      </c>
      <c r="J25" s="1076">
        <f>ECO!J91</f>
        <v>50614.613381457792</v>
      </c>
      <c r="K25" s="1076">
        <f>ECO!K91</f>
        <v>51543.115506065726</v>
      </c>
      <c r="L25" s="1077">
        <f>ECO!L91</f>
        <v>52518.159801712041</v>
      </c>
      <c r="M25" s="32"/>
    </row>
    <row r="26" spans="1:13">
      <c r="A26" s="42" t="s">
        <v>272</v>
      </c>
      <c r="B26" s="1075">
        <f>(1-ECO!G99)*B25</f>
        <v>13904.639999999998</v>
      </c>
      <c r="C26" s="1076">
        <f>(1-ECO!H99)*C25</f>
        <v>14255.679999999998</v>
      </c>
      <c r="D26" s="1076">
        <f>(1-ECO!I99)*D25</f>
        <v>14585.279999999997</v>
      </c>
      <c r="E26" s="1076">
        <f>(1-ECO!J99)*E25</f>
        <v>14867.455999999998</v>
      </c>
      <c r="F26" s="1076">
        <f>(1-ECO!K99)*F25</f>
        <v>15364.767039999997</v>
      </c>
      <c r="G26" s="1076">
        <f>(1-ECO!L99)*G25</f>
        <v>15636.447281383662</v>
      </c>
      <c r="H26" s="1076">
        <f>(1-ECO!M99)*H25</f>
        <v>15749.02007887133</v>
      </c>
      <c r="I26" s="1076">
        <f>(1-ECO!N99)*I25</f>
        <v>15935.972442739023</v>
      </c>
      <c r="J26" s="1076">
        <f>(1-ECO!O99)*J25</f>
        <v>16196.676282066492</v>
      </c>
      <c r="K26" s="1076">
        <f>(1-ECO!P99)*K25</f>
        <v>16493.796961941029</v>
      </c>
      <c r="L26" s="1077">
        <f>(1-ECO!Q99)*L25</f>
        <v>16805.811136547851</v>
      </c>
      <c r="M26" s="32"/>
    </row>
    <row r="27" spans="1:13">
      <c r="A27" s="165" t="s">
        <v>273</v>
      </c>
      <c r="B27" s="1328">
        <f>ECO!G99*B25</f>
        <v>29547.360000000001</v>
      </c>
      <c r="C27" s="1078">
        <f>ECO!H99*C25</f>
        <v>30293.320000000003</v>
      </c>
      <c r="D27" s="1078">
        <f>ECO!I99*D25</f>
        <v>30993.72</v>
      </c>
      <c r="E27" s="1078">
        <f>ECO!J99*E25</f>
        <v>31593.344000000005</v>
      </c>
      <c r="F27" s="1078">
        <f>ECO!K99*F25</f>
        <v>32650.129960000002</v>
      </c>
      <c r="G27" s="1078">
        <f>ECO!L99*G25</f>
        <v>33227.450472940291</v>
      </c>
      <c r="H27" s="1078">
        <f>ECO!M99*H25</f>
        <v>33466.667667601585</v>
      </c>
      <c r="I27" s="1078">
        <f>ECO!N99*I25</f>
        <v>33863.941440820432</v>
      </c>
      <c r="J27" s="1078">
        <f>ECO!O99*J25</f>
        <v>34417.937099391303</v>
      </c>
      <c r="K27" s="1078">
        <f>ECO!P99*K25</f>
        <v>35049.318544124697</v>
      </c>
      <c r="L27" s="1079">
        <f>ECO!Q99*L25</f>
        <v>35712.348665164194</v>
      </c>
      <c r="M27" s="191"/>
    </row>
    <row r="28" spans="1:13">
      <c r="A28" s="196"/>
      <c r="B28" s="213"/>
      <c r="C28" s="28"/>
      <c r="D28" s="28"/>
      <c r="E28" s="28"/>
      <c r="F28" s="28"/>
      <c r="G28" s="28"/>
      <c r="H28" s="28"/>
      <c r="I28" s="28"/>
      <c r="J28" s="28"/>
      <c r="K28" s="28"/>
      <c r="L28" s="194"/>
      <c r="M28" s="28"/>
    </row>
    <row r="29" spans="1:13" s="46" customFormat="1">
      <c r="A29" s="43" t="s">
        <v>492</v>
      </c>
      <c r="B29" s="216"/>
      <c r="C29" s="44"/>
      <c r="D29" s="44"/>
      <c r="E29" s="44"/>
      <c r="F29" s="44"/>
      <c r="G29" s="44"/>
      <c r="H29" s="44"/>
      <c r="I29" s="44"/>
      <c r="J29" s="44"/>
      <c r="K29" s="44"/>
      <c r="L29" s="45"/>
      <c r="M29" s="44"/>
    </row>
    <row r="30" spans="1:13" s="46" customFormat="1">
      <c r="A30" s="51" t="s">
        <v>585</v>
      </c>
      <c r="B30" s="216">
        <v>0</v>
      </c>
      <c r="C30" s="44">
        <v>25</v>
      </c>
      <c r="D30" s="44">
        <v>50</v>
      </c>
      <c r="E30" s="44">
        <v>75</v>
      </c>
      <c r="F30" s="44">
        <v>100</v>
      </c>
      <c r="G30" s="44">
        <v>100</v>
      </c>
      <c r="H30" s="44">
        <v>100</v>
      </c>
      <c r="I30" s="44">
        <v>100</v>
      </c>
      <c r="J30" s="44">
        <v>100</v>
      </c>
      <c r="K30" s="44">
        <v>100</v>
      </c>
      <c r="L30" s="45">
        <v>100</v>
      </c>
      <c r="M30" s="44"/>
    </row>
    <row r="31" spans="1:13" s="46" customFormat="1">
      <c r="A31" s="51" t="s">
        <v>586</v>
      </c>
      <c r="B31" s="216">
        <v>0</v>
      </c>
      <c r="C31" s="44">
        <v>50</v>
      </c>
      <c r="D31" s="44">
        <v>100</v>
      </c>
      <c r="E31" s="44">
        <v>100</v>
      </c>
      <c r="F31" s="44">
        <v>100</v>
      </c>
      <c r="G31" s="44">
        <v>100</v>
      </c>
      <c r="H31" s="44">
        <v>100</v>
      </c>
      <c r="I31" s="44">
        <v>100</v>
      </c>
      <c r="J31" s="44">
        <v>100</v>
      </c>
      <c r="K31" s="44">
        <v>100</v>
      </c>
      <c r="L31" s="45">
        <v>100</v>
      </c>
      <c r="M31" s="44"/>
    </row>
    <row r="32" spans="1:13" ht="30">
      <c r="A32" s="42" t="s">
        <v>295</v>
      </c>
      <c r="B32" s="1318">
        <v>20</v>
      </c>
      <c r="C32" s="1319">
        <v>20</v>
      </c>
      <c r="D32" s="1319">
        <v>20</v>
      </c>
      <c r="E32" s="1319">
        <v>20</v>
      </c>
      <c r="F32" s="1319">
        <v>20</v>
      </c>
      <c r="G32" s="1319">
        <v>20</v>
      </c>
      <c r="H32" s="1319">
        <v>20</v>
      </c>
      <c r="I32" s="1319">
        <v>20</v>
      </c>
      <c r="J32" s="1319">
        <v>20</v>
      </c>
      <c r="K32" s="1319">
        <v>20</v>
      </c>
      <c r="L32" s="1320">
        <v>20</v>
      </c>
      <c r="M32" s="32"/>
    </row>
    <row r="33" spans="1:13">
      <c r="A33" s="42" t="s">
        <v>277</v>
      </c>
      <c r="B33" s="212">
        <v>100</v>
      </c>
      <c r="C33" s="32">
        <v>100</v>
      </c>
      <c r="D33" s="32">
        <v>100</v>
      </c>
      <c r="E33" s="32">
        <v>100</v>
      </c>
      <c r="F33" s="32">
        <v>100</v>
      </c>
      <c r="G33" s="32">
        <v>100</v>
      </c>
      <c r="H33" s="32">
        <v>100</v>
      </c>
      <c r="I33" s="32">
        <v>100</v>
      </c>
      <c r="J33" s="32">
        <v>100</v>
      </c>
      <c r="K33" s="32">
        <v>100</v>
      </c>
      <c r="L33" s="34">
        <v>100</v>
      </c>
      <c r="M33" s="32"/>
    </row>
    <row r="34" spans="1:13">
      <c r="A34" s="42" t="s">
        <v>289</v>
      </c>
      <c r="B34" s="1330">
        <v>3.7</v>
      </c>
      <c r="C34" s="1331">
        <f>B34</f>
        <v>3.7</v>
      </c>
      <c r="D34" s="1331">
        <f t="shared" ref="D34:L34" si="1">C34</f>
        <v>3.7</v>
      </c>
      <c r="E34" s="1331">
        <f t="shared" si="1"/>
        <v>3.7</v>
      </c>
      <c r="F34" s="1331">
        <f t="shared" si="1"/>
        <v>3.7</v>
      </c>
      <c r="G34" s="1331">
        <f t="shared" si="1"/>
        <v>3.7</v>
      </c>
      <c r="H34" s="1331">
        <f t="shared" si="1"/>
        <v>3.7</v>
      </c>
      <c r="I34" s="1331">
        <f t="shared" si="1"/>
        <v>3.7</v>
      </c>
      <c r="J34" s="1331">
        <f t="shared" si="1"/>
        <v>3.7</v>
      </c>
      <c r="K34" s="1331">
        <f t="shared" si="1"/>
        <v>3.7</v>
      </c>
      <c r="L34" s="1332">
        <f t="shared" si="1"/>
        <v>3.7</v>
      </c>
      <c r="M34" s="32" t="s">
        <v>1038</v>
      </c>
    </row>
    <row r="35" spans="1:13">
      <c r="A35" s="42" t="s">
        <v>302</v>
      </c>
      <c r="B35" s="212">
        <v>2</v>
      </c>
      <c r="C35" s="32">
        <v>2</v>
      </c>
      <c r="D35" s="32">
        <v>2</v>
      </c>
      <c r="E35" s="32">
        <v>2</v>
      </c>
      <c r="F35" s="32">
        <v>2</v>
      </c>
      <c r="G35" s="32">
        <v>2</v>
      </c>
      <c r="H35" s="32">
        <v>2</v>
      </c>
      <c r="I35" s="32">
        <v>2</v>
      </c>
      <c r="J35" s="32">
        <v>2</v>
      </c>
      <c r="K35" s="32">
        <v>2</v>
      </c>
      <c r="L35" s="34">
        <v>2</v>
      </c>
      <c r="M35" s="32"/>
    </row>
    <row r="36" spans="1:13">
      <c r="A36" s="42" t="s">
        <v>303</v>
      </c>
      <c r="B36" s="212">
        <v>0</v>
      </c>
      <c r="C36" s="32">
        <v>5</v>
      </c>
      <c r="D36" s="32">
        <v>10</v>
      </c>
      <c r="E36" s="32">
        <v>10</v>
      </c>
      <c r="F36" s="32">
        <v>10</v>
      </c>
      <c r="G36" s="32">
        <v>10</v>
      </c>
      <c r="H36" s="32">
        <v>10</v>
      </c>
      <c r="I36" s="32">
        <v>10</v>
      </c>
      <c r="J36" s="32">
        <v>10</v>
      </c>
      <c r="K36" s="32">
        <v>10</v>
      </c>
      <c r="L36" s="34">
        <v>10</v>
      </c>
      <c r="M36" s="32"/>
    </row>
    <row r="37" spans="1:13" ht="30">
      <c r="A37" s="42" t="s">
        <v>304</v>
      </c>
      <c r="B37" s="212">
        <v>682</v>
      </c>
      <c r="C37" s="32">
        <v>682</v>
      </c>
      <c r="D37" s="32">
        <v>682</v>
      </c>
      <c r="E37" s="32">
        <v>682</v>
      </c>
      <c r="F37" s="32">
        <v>682</v>
      </c>
      <c r="G37" s="32">
        <v>682</v>
      </c>
      <c r="H37" s="32">
        <v>682</v>
      </c>
      <c r="I37" s="32">
        <v>682</v>
      </c>
      <c r="J37" s="32">
        <v>682</v>
      </c>
      <c r="K37" s="32">
        <v>682</v>
      </c>
      <c r="L37" s="34">
        <v>682</v>
      </c>
      <c r="M37" s="32"/>
    </row>
    <row r="38" spans="1:13">
      <c r="A38" s="42" t="s">
        <v>305</v>
      </c>
      <c r="B38" s="1075">
        <f>ECO!G18</f>
        <v>1631744.4809929552</v>
      </c>
      <c r="C38" s="1076">
        <f>ECO!H18</f>
        <v>1792193.2690485099</v>
      </c>
      <c r="D38" s="1076">
        <f>ECO!I18</f>
        <v>1973979.0660816871</v>
      </c>
      <c r="E38" s="1076">
        <f>ECO!J18</f>
        <v>2180708.5409323559</v>
      </c>
      <c r="F38" s="1076">
        <f>ECO!K18</f>
        <v>2416244.5152603243</v>
      </c>
      <c r="G38" s="1076">
        <f>ECO!L18</f>
        <v>2684971.1784777706</v>
      </c>
      <c r="H38" s="1076">
        <f>ECO!M18</f>
        <v>2994511.9175297813</v>
      </c>
      <c r="I38" s="1076">
        <f>ECO!N18</f>
        <v>3352398.6179237124</v>
      </c>
      <c r="J38" s="1076">
        <f>ECO!O18</f>
        <v>3767819.9654211053</v>
      </c>
      <c r="K38" s="1076">
        <f>ECO!P18</f>
        <v>4252008.6542374352</v>
      </c>
      <c r="L38" s="1077">
        <f>ECO!Q18</f>
        <v>4818760.1958383536</v>
      </c>
      <c r="M38" s="32"/>
    </row>
    <row r="39" spans="1:13">
      <c r="A39" s="165" t="s">
        <v>306</v>
      </c>
      <c r="B39" s="215">
        <v>30</v>
      </c>
      <c r="C39" s="191">
        <v>30</v>
      </c>
      <c r="D39" s="191">
        <v>30</v>
      </c>
      <c r="E39" s="191">
        <v>30</v>
      </c>
      <c r="F39" s="191">
        <v>30</v>
      </c>
      <c r="G39" s="191">
        <v>30</v>
      </c>
      <c r="H39" s="191">
        <v>30</v>
      </c>
      <c r="I39" s="191">
        <v>30</v>
      </c>
      <c r="J39" s="191">
        <v>30</v>
      </c>
      <c r="K39" s="191">
        <v>30</v>
      </c>
      <c r="L39" s="195">
        <v>30</v>
      </c>
      <c r="M39" s="191"/>
    </row>
    <row r="40" spans="1:13">
      <c r="A40" s="42"/>
      <c r="B40" s="212"/>
      <c r="C40" s="32"/>
      <c r="D40" s="32"/>
      <c r="E40" s="32"/>
      <c r="F40" s="32"/>
      <c r="G40" s="32"/>
      <c r="H40" s="32"/>
      <c r="I40" s="32"/>
      <c r="J40" s="32"/>
      <c r="K40" s="32"/>
      <c r="L40" s="34"/>
    </row>
    <row r="41" spans="1:13" ht="30">
      <c r="A41" s="43" t="s">
        <v>715</v>
      </c>
      <c r="B41" s="212"/>
      <c r="C41" s="32"/>
      <c r="D41" s="32"/>
      <c r="E41" s="32"/>
      <c r="F41" s="32"/>
      <c r="G41" s="32"/>
      <c r="H41" s="32"/>
      <c r="I41" s="32"/>
      <c r="J41" s="32"/>
      <c r="K41" s="32"/>
      <c r="L41" s="34"/>
    </row>
    <row r="42" spans="1:13" ht="30">
      <c r="A42" s="42" t="s">
        <v>290</v>
      </c>
      <c r="B42" s="1329">
        <v>300.40746666666666</v>
      </c>
      <c r="C42" s="222">
        <v>306.38549999999998</v>
      </c>
      <c r="D42" s="222">
        <v>319.81031999999999</v>
      </c>
      <c r="E42" s="222">
        <v>324.48650000000004</v>
      </c>
      <c r="F42" s="222">
        <v>333.73926722222222</v>
      </c>
      <c r="G42" s="222">
        <v>342.22222222222223</v>
      </c>
      <c r="H42" s="222">
        <v>349.27657416666659</v>
      </c>
      <c r="I42" s="222">
        <v>355.46762333333328</v>
      </c>
      <c r="J42" s="222">
        <v>360.90727999999996</v>
      </c>
      <c r="K42" s="222">
        <v>367.96856666666667</v>
      </c>
      <c r="L42" s="223">
        <v>375.55555555555554</v>
      </c>
      <c r="M42" s="35" t="s">
        <v>300</v>
      </c>
    </row>
    <row r="43" spans="1:13">
      <c r="A43" s="42"/>
      <c r="B43" s="212"/>
      <c r="C43" s="32"/>
      <c r="D43" s="32"/>
      <c r="E43" s="32"/>
      <c r="F43" s="32"/>
      <c r="G43" s="32"/>
      <c r="H43" s="32"/>
      <c r="I43" s="32"/>
      <c r="J43" s="32"/>
      <c r="K43" s="32"/>
      <c r="L43" s="34"/>
    </row>
    <row r="44" spans="1:13">
      <c r="A44" s="42"/>
      <c r="B44" s="212"/>
      <c r="C44" s="32"/>
      <c r="D44" s="32"/>
      <c r="E44" s="32"/>
      <c r="F44" s="32"/>
      <c r="G44" s="32"/>
      <c r="H44" s="32"/>
      <c r="I44" s="32"/>
      <c r="J44" s="32"/>
      <c r="K44" s="32"/>
      <c r="L44" s="34"/>
    </row>
    <row r="45" spans="1:13" s="32" customFormat="1" ht="30">
      <c r="A45" s="43" t="s">
        <v>716</v>
      </c>
      <c r="B45" s="210"/>
      <c r="C45" s="37"/>
      <c r="D45" s="37"/>
      <c r="E45" s="37"/>
      <c r="F45" s="37"/>
      <c r="G45" s="37"/>
      <c r="H45" s="37"/>
      <c r="I45" s="37"/>
      <c r="J45" s="37"/>
      <c r="K45" s="37"/>
      <c r="L45" s="38"/>
      <c r="M45" s="39"/>
    </row>
    <row r="46" spans="1:13" s="32" customFormat="1" ht="30">
      <c r="A46" s="35" t="s">
        <v>291</v>
      </c>
      <c r="B46" s="1080">
        <f>B23-B26-B24</f>
        <v>32538.071238297085</v>
      </c>
      <c r="C46" s="1081">
        <f t="shared" ref="C46:L46" si="2">C23-C26-C24</f>
        <v>33105.942745884138</v>
      </c>
      <c r="D46" s="1081">
        <f t="shared" si="2"/>
        <v>33647.435469541924</v>
      </c>
      <c r="E46" s="1081">
        <f t="shared" si="2"/>
        <v>34188.543825181965</v>
      </c>
      <c r="F46" s="1081">
        <f t="shared" si="2"/>
        <v>34470.97972605261</v>
      </c>
      <c r="G46" s="1081">
        <f t="shared" si="2"/>
        <v>34937.798556198482</v>
      </c>
      <c r="H46" s="1081">
        <f t="shared" si="2"/>
        <v>35520.858975237214</v>
      </c>
      <c r="I46" s="1081">
        <f t="shared" si="2"/>
        <v>35980.735022173132</v>
      </c>
      <c r="J46" s="1081">
        <f t="shared" si="2"/>
        <v>36311.629226361532</v>
      </c>
      <c r="K46" s="1081">
        <f t="shared" si="2"/>
        <v>36543.304412408877</v>
      </c>
      <c r="L46" s="1082">
        <f t="shared" si="2"/>
        <v>36692.633556692053</v>
      </c>
      <c r="M46" s="39"/>
    </row>
    <row r="47" spans="1:13" s="32" customFormat="1" ht="30">
      <c r="A47" s="42" t="s">
        <v>292</v>
      </c>
      <c r="B47" s="1080">
        <f>B24</f>
        <v>2203.5661083940622</v>
      </c>
      <c r="C47" s="1081">
        <f t="shared" ref="C47:L47" si="3">C24</f>
        <v>2248.3452954104278</v>
      </c>
      <c r="D47" s="1081">
        <f t="shared" si="3"/>
        <v>2290.3316754732678</v>
      </c>
      <c r="E47" s="1081">
        <f t="shared" si="3"/>
        <v>2329.677184379073</v>
      </c>
      <c r="F47" s="1081">
        <f t="shared" si="3"/>
        <v>2366.7462172901473</v>
      </c>
      <c r="G47" s="1081">
        <f t="shared" si="3"/>
        <v>2401.7773514501878</v>
      </c>
      <c r="H47" s="1081">
        <f t="shared" si="3"/>
        <v>2434.7940319528043</v>
      </c>
      <c r="I47" s="1081">
        <f t="shared" si="3"/>
        <v>2465.5673469751268</v>
      </c>
      <c r="J47" s="1081">
        <f t="shared" si="3"/>
        <v>2493.8065595534008</v>
      </c>
      <c r="K47" s="1081">
        <f t="shared" si="3"/>
        <v>2519.1299835441723</v>
      </c>
      <c r="L47" s="1082">
        <f t="shared" si="3"/>
        <v>2541.3014244393753</v>
      </c>
      <c r="M47" s="39"/>
    </row>
    <row r="48" spans="1:13" s="32" customFormat="1" ht="17.25">
      <c r="A48" s="47" t="s">
        <v>293</v>
      </c>
      <c r="B48" s="1080">
        <f>B42</f>
        <v>300.40746666666666</v>
      </c>
      <c r="C48" s="1081">
        <f t="shared" ref="C48:L48" si="4">C42</f>
        <v>306.38549999999998</v>
      </c>
      <c r="D48" s="1081">
        <f t="shared" si="4"/>
        <v>319.81031999999999</v>
      </c>
      <c r="E48" s="1081">
        <f t="shared" si="4"/>
        <v>324.48650000000004</v>
      </c>
      <c r="F48" s="1081">
        <f t="shared" si="4"/>
        <v>333.73926722222222</v>
      </c>
      <c r="G48" s="1081">
        <f t="shared" si="4"/>
        <v>342.22222222222223</v>
      </c>
      <c r="H48" s="1081">
        <f t="shared" si="4"/>
        <v>349.27657416666659</v>
      </c>
      <c r="I48" s="1081">
        <f t="shared" si="4"/>
        <v>355.46762333333328</v>
      </c>
      <c r="J48" s="1081">
        <f t="shared" si="4"/>
        <v>360.90727999999996</v>
      </c>
      <c r="K48" s="1081">
        <f t="shared" si="4"/>
        <v>367.96856666666667</v>
      </c>
      <c r="L48" s="1082">
        <f t="shared" si="4"/>
        <v>375.55555555555554</v>
      </c>
      <c r="M48" s="39"/>
    </row>
    <row r="49" spans="1:13" s="32" customFormat="1" ht="17.25">
      <c r="A49" s="47" t="s">
        <v>294</v>
      </c>
      <c r="B49" s="1080">
        <f>B47-B48</f>
        <v>1903.1586417273957</v>
      </c>
      <c r="C49" s="1081">
        <f t="shared" ref="C49:L49" si="5">C47-C48</f>
        <v>1941.9597954104279</v>
      </c>
      <c r="D49" s="1081">
        <f t="shared" si="5"/>
        <v>1970.5213554732677</v>
      </c>
      <c r="E49" s="1081">
        <f t="shared" si="5"/>
        <v>2005.190684379073</v>
      </c>
      <c r="F49" s="1081">
        <f t="shared" si="5"/>
        <v>2033.0069500679251</v>
      </c>
      <c r="G49" s="1081">
        <f t="shared" si="5"/>
        <v>2059.5551292279656</v>
      </c>
      <c r="H49" s="1081">
        <f t="shared" si="5"/>
        <v>2085.5174577861376</v>
      </c>
      <c r="I49" s="1081">
        <f t="shared" si="5"/>
        <v>2110.0997236417934</v>
      </c>
      <c r="J49" s="1081">
        <f t="shared" si="5"/>
        <v>2132.8992795534009</v>
      </c>
      <c r="K49" s="1081">
        <f t="shared" si="5"/>
        <v>2151.1614168775059</v>
      </c>
      <c r="L49" s="1082">
        <f t="shared" si="5"/>
        <v>2165.7458688838196</v>
      </c>
      <c r="M49" s="39"/>
    </row>
    <row r="50" spans="1:13" s="32" customFormat="1" ht="17.25">
      <c r="A50" s="42"/>
      <c r="B50" s="210"/>
      <c r="C50" s="37"/>
      <c r="D50" s="37"/>
      <c r="E50" s="37"/>
      <c r="F50" s="37"/>
      <c r="G50" s="37"/>
      <c r="H50" s="37"/>
      <c r="I50" s="37"/>
      <c r="J50" s="37"/>
      <c r="K50" s="37"/>
      <c r="L50" s="38"/>
      <c r="M50" s="39"/>
    </row>
    <row r="51" spans="1:13">
      <c r="A51" s="33" t="s">
        <v>84</v>
      </c>
      <c r="B51" s="212"/>
      <c r="C51" s="32"/>
      <c r="D51" s="32"/>
      <c r="E51" s="32"/>
      <c r="F51" s="32"/>
      <c r="G51" s="32"/>
      <c r="H51" s="32"/>
      <c r="I51" s="32"/>
      <c r="J51" s="32"/>
      <c r="K51" s="32"/>
      <c r="L51" s="34"/>
    </row>
    <row r="52" spans="1:13">
      <c r="A52" s="35" t="s">
        <v>702</v>
      </c>
      <c r="B52" s="212"/>
      <c r="C52" s="32"/>
      <c r="D52" s="32"/>
      <c r="E52" s="32"/>
      <c r="F52" s="32"/>
      <c r="G52" s="32"/>
      <c r="H52" s="32"/>
      <c r="I52" s="32"/>
      <c r="J52" s="32"/>
      <c r="K52" s="32"/>
      <c r="L52" s="34"/>
    </row>
    <row r="53" spans="1:13">
      <c r="A53" s="35" t="s">
        <v>703</v>
      </c>
      <c r="B53" s="224">
        <f>ECO!G22</f>
        <v>13.4</v>
      </c>
      <c r="C53" s="226">
        <f>ECO!H22</f>
        <v>12.726334006124905</v>
      </c>
      <c r="D53" s="226">
        <f>ECO!I22</f>
        <v>12.086535614585907</v>
      </c>
      <c r="E53" s="226">
        <f>ECO!J22</f>
        <v>11.478902179712268</v>
      </c>
      <c r="F53" s="226">
        <f>ECO!K22</f>
        <v>10.901816653929368</v>
      </c>
      <c r="G53" s="226">
        <f>ECO!L22</f>
        <v>10.353743284435831</v>
      </c>
      <c r="H53" s="226">
        <f>ECO!M22</f>
        <v>9.8332235262241099</v>
      </c>
      <c r="I53" s="226">
        <f>ECO!N22</f>
        <v>9.3388721605681582</v>
      </c>
      <c r="J53" s="226">
        <f>ECO!O22</f>
        <v>8.869373608648635</v>
      </c>
      <c r="K53" s="226">
        <f>ECO!P22</f>
        <v>8.423478430505364</v>
      </c>
      <c r="L53" s="225">
        <f>ECO!Q22</f>
        <v>8</v>
      </c>
    </row>
    <row r="54" spans="1:13">
      <c r="A54" s="35" t="s">
        <v>704</v>
      </c>
      <c r="B54" s="217">
        <v>14.5</v>
      </c>
      <c r="C54" s="207">
        <f>B54*(POWER($L54/$B54,1/10))</f>
        <v>13.971119328426292</v>
      </c>
      <c r="D54" s="207">
        <f t="shared" ref="D54:K54" si="6">C54*(POWER($L54/$B54,1/10))</f>
        <v>13.461529330284602</v>
      </c>
      <c r="E54" s="207">
        <f t="shared" si="6"/>
        <v>12.970526387345975</v>
      </c>
      <c r="F54" s="207">
        <f t="shared" si="6"/>
        <v>12.497432545525008</v>
      </c>
      <c r="G54" s="207">
        <f t="shared" si="6"/>
        <v>12.041594578792292</v>
      </c>
      <c r="H54" s="207">
        <f t="shared" si="6"/>
        <v>11.602383087230224</v>
      </c>
      <c r="I54" s="207">
        <f t="shared" si="6"/>
        <v>11.179191627986794</v>
      </c>
      <c r="J54" s="207">
        <f t="shared" si="6"/>
        <v>10.771435877927427</v>
      </c>
      <c r="K54" s="207">
        <f t="shared" si="6"/>
        <v>10.378552826828711</v>
      </c>
      <c r="L54" s="221">
        <v>10</v>
      </c>
    </row>
    <row r="55" spans="1:13">
      <c r="B55" s="212"/>
      <c r="C55" s="32"/>
      <c r="D55" s="32"/>
      <c r="E55" s="32"/>
      <c r="F55" s="32"/>
      <c r="G55" s="32"/>
      <c r="H55" s="32"/>
      <c r="I55" s="32"/>
      <c r="J55" s="32"/>
      <c r="K55" s="32"/>
      <c r="L55" s="34"/>
    </row>
    <row r="56" spans="1:13">
      <c r="A56" s="36" t="s">
        <v>276</v>
      </c>
      <c r="B56" s="212">
        <f>B32*B30/10000</f>
        <v>0</v>
      </c>
      <c r="C56" s="32">
        <f t="shared" ref="C56:L56" si="7">C32*C30/10000</f>
        <v>0.05</v>
      </c>
      <c r="D56" s="32">
        <f t="shared" si="7"/>
        <v>0.1</v>
      </c>
      <c r="E56" s="32">
        <f t="shared" si="7"/>
        <v>0.15</v>
      </c>
      <c r="F56" s="32">
        <f t="shared" si="7"/>
        <v>0.2</v>
      </c>
      <c r="G56" s="32">
        <f t="shared" si="7"/>
        <v>0.2</v>
      </c>
      <c r="H56" s="32">
        <f t="shared" si="7"/>
        <v>0.2</v>
      </c>
      <c r="I56" s="32">
        <f t="shared" si="7"/>
        <v>0.2</v>
      </c>
      <c r="J56" s="32">
        <f t="shared" si="7"/>
        <v>0.2</v>
      </c>
      <c r="K56" s="32">
        <f t="shared" si="7"/>
        <v>0.2</v>
      </c>
      <c r="L56" s="34">
        <f t="shared" si="7"/>
        <v>0.2</v>
      </c>
    </row>
    <row r="57" spans="1:13">
      <c r="A57" s="36" t="s">
        <v>33</v>
      </c>
      <c r="B57" s="1075">
        <f t="shared" ref="B57:L57" si="8">B46*B56</f>
        <v>0</v>
      </c>
      <c r="C57" s="1076">
        <f t="shared" si="8"/>
        <v>1655.297137294207</v>
      </c>
      <c r="D57" s="1076">
        <f t="shared" si="8"/>
        <v>3364.7435469541924</v>
      </c>
      <c r="E57" s="1076">
        <f t="shared" si="8"/>
        <v>5128.2815737772944</v>
      </c>
      <c r="F57" s="1076">
        <f t="shared" si="8"/>
        <v>6894.195945210522</v>
      </c>
      <c r="G57" s="1076">
        <f t="shared" si="8"/>
        <v>6987.5597112396972</v>
      </c>
      <c r="H57" s="1076">
        <f t="shared" si="8"/>
        <v>7104.1717950474431</v>
      </c>
      <c r="I57" s="1076">
        <f t="shared" si="8"/>
        <v>7196.147004434627</v>
      </c>
      <c r="J57" s="1076">
        <f t="shared" si="8"/>
        <v>7262.3258452723067</v>
      </c>
      <c r="K57" s="1076">
        <f t="shared" si="8"/>
        <v>7308.6608824817758</v>
      </c>
      <c r="L57" s="1077">
        <f t="shared" si="8"/>
        <v>7338.5267113384107</v>
      </c>
    </row>
    <row r="58" spans="1:13">
      <c r="B58" s="212"/>
      <c r="C58" s="32"/>
      <c r="D58" s="32"/>
      <c r="E58" s="32"/>
      <c r="F58" s="32"/>
      <c r="G58" s="32"/>
      <c r="H58" s="32"/>
      <c r="I58" s="32"/>
      <c r="J58" s="32"/>
      <c r="K58" s="32"/>
      <c r="L58" s="34"/>
    </row>
    <row r="59" spans="1:13">
      <c r="A59" s="172" t="s">
        <v>497</v>
      </c>
      <c r="B59" s="213"/>
      <c r="C59" s="28"/>
      <c r="D59" s="28"/>
      <c r="E59" s="28"/>
      <c r="F59" s="28"/>
      <c r="G59" s="28"/>
      <c r="H59" s="28"/>
      <c r="I59" s="28"/>
      <c r="J59" s="28"/>
      <c r="K59" s="28"/>
      <c r="L59" s="194"/>
      <c r="M59" s="28"/>
    </row>
    <row r="60" spans="1:13">
      <c r="A60" s="40"/>
      <c r="B60" s="212"/>
      <c r="C60" s="32"/>
      <c r="D60" s="32"/>
      <c r="E60" s="32"/>
      <c r="F60" s="32"/>
      <c r="G60" s="32"/>
      <c r="H60" s="32"/>
      <c r="I60" s="32"/>
      <c r="J60" s="32"/>
      <c r="K60" s="32"/>
      <c r="L60" s="34"/>
      <c r="M60" s="32"/>
    </row>
    <row r="61" spans="1:13">
      <c r="A61" s="48" t="s">
        <v>493</v>
      </c>
      <c r="B61" s="212"/>
      <c r="C61" s="32"/>
      <c r="D61" s="32"/>
      <c r="E61" s="32"/>
      <c r="F61" s="32"/>
      <c r="G61" s="32"/>
      <c r="H61" s="32"/>
      <c r="I61" s="32"/>
      <c r="J61" s="32"/>
      <c r="K61" s="32"/>
      <c r="L61" s="34"/>
      <c r="M61" s="32"/>
    </row>
    <row r="62" spans="1:13">
      <c r="A62" s="42" t="s">
        <v>279</v>
      </c>
      <c r="B62" s="1315">
        <f>(B33/240)*ECO!G19*12</f>
        <v>3650000</v>
      </c>
      <c r="C62" s="1316">
        <f>(C33/240)*ECO!H19*12</f>
        <v>4150000.0000000005</v>
      </c>
      <c r="D62" s="1316">
        <f>(D33/240)*ECO!I19*12</f>
        <v>5250000</v>
      </c>
      <c r="E62" s="1316">
        <f>(E33/240)*ECO!J19*12</f>
        <v>5799818.2638382148</v>
      </c>
      <c r="F62" s="1316">
        <f>(F33/240)*ECO!K19*12</f>
        <v>6426250.3706773175</v>
      </c>
      <c r="G62" s="1316">
        <f>(G33/240)*ECO!L19*12</f>
        <v>7140956.5223955503</v>
      </c>
      <c r="H62" s="1316">
        <f>(H33/240)*ECO!M19*12</f>
        <v>7964211.8992870739</v>
      </c>
      <c r="I62" s="1316">
        <f>(I33/240)*ECO!N19*12</f>
        <v>8916048.3241777029</v>
      </c>
      <c r="J62" s="1316">
        <f>(J33/240)*ECO!O19*12</f>
        <v>10020904.050277416</v>
      </c>
      <c r="K62" s="1316">
        <f>(K33/240)*ECO!P19*12</f>
        <v>11308653.58114328</v>
      </c>
      <c r="L62" s="1317">
        <f>(L33/240)*ECO!Q19*12</f>
        <v>12815987.495940577</v>
      </c>
      <c r="M62" s="32" t="s">
        <v>275</v>
      </c>
    </row>
    <row r="63" spans="1:13">
      <c r="A63" s="42" t="s">
        <v>278</v>
      </c>
      <c r="B63" s="1075">
        <f>B62/12</f>
        <v>304166.66666666669</v>
      </c>
      <c r="C63" s="1076">
        <f>C62/12</f>
        <v>345833.33333333337</v>
      </c>
      <c r="D63" s="1076">
        <f>D62/12</f>
        <v>437500</v>
      </c>
      <c r="E63" s="1076">
        <f t="shared" ref="E63:J63" si="9">E62/12</f>
        <v>483318.18865318457</v>
      </c>
      <c r="F63" s="1076">
        <f t="shared" si="9"/>
        <v>535520.86422310979</v>
      </c>
      <c r="G63" s="1076">
        <f t="shared" si="9"/>
        <v>595079.71019962919</v>
      </c>
      <c r="H63" s="1076">
        <f t="shared" si="9"/>
        <v>663684.32494058949</v>
      </c>
      <c r="I63" s="1076">
        <f t="shared" si="9"/>
        <v>743004.02701480861</v>
      </c>
      <c r="J63" s="1076">
        <f t="shared" si="9"/>
        <v>835075.33752311801</v>
      </c>
      <c r="K63" s="1076">
        <f>K62/12</f>
        <v>942387.79842860671</v>
      </c>
      <c r="L63" s="1077">
        <f>L62/12</f>
        <v>1067998.957995048</v>
      </c>
      <c r="M63" s="32"/>
    </row>
    <row r="64" spans="1:13">
      <c r="A64" s="48" t="s">
        <v>494</v>
      </c>
      <c r="B64" s="1075"/>
      <c r="C64" s="1076"/>
      <c r="D64" s="1076"/>
      <c r="E64" s="1076"/>
      <c r="F64" s="1076"/>
      <c r="G64" s="1076"/>
      <c r="H64" s="1076"/>
      <c r="I64" s="1076"/>
      <c r="J64" s="1076"/>
      <c r="K64" s="1076"/>
      <c r="L64" s="1077"/>
      <c r="M64" s="32"/>
    </row>
    <row r="65" spans="1:13" ht="30">
      <c r="A65" s="47" t="s">
        <v>301</v>
      </c>
      <c r="B65" s="1315">
        <f>(ECO!G25-0.32*ECO!G25)</f>
        <v>234326.53945202794</v>
      </c>
      <c r="C65" s="1316">
        <f>(ECO!H25-0.32*ECO!H25)</f>
        <v>281727.27491404233</v>
      </c>
      <c r="D65" s="1316">
        <f>(ECO!I25-0.32*ECO!I25)</f>
        <v>300798.14654609724</v>
      </c>
      <c r="E65" s="1316">
        <f>(ECO!J25-0.32*ECO!J25)</f>
        <v>319078.78900202131</v>
      </c>
      <c r="F65" s="1316">
        <f>(ECO!K25-0.32*ECO!K25)</f>
        <v>336872.80717292626</v>
      </c>
      <c r="G65" s="1316">
        <f>(ECO!L25-0.32*ECO!L25)</f>
        <v>354815.2474911586</v>
      </c>
      <c r="H65" s="1316">
        <f>(ECO!M25-0.32*ECO!M25)</f>
        <v>372824.50367735059</v>
      </c>
      <c r="I65" s="1316">
        <f>(ECO!N25-0.32*ECO!N25)</f>
        <v>391746.64813919773</v>
      </c>
      <c r="J65" s="1316">
        <f>(ECO!O25-0.32*ECO!O25)</f>
        <v>411627.90032129327</v>
      </c>
      <c r="K65" s="1316">
        <f>(ECO!P25-0.32*ECO!P25)</f>
        <v>432516.81725197053</v>
      </c>
      <c r="L65" s="1317">
        <f>(ECO!Q25-0.32*ECO!Q25)</f>
        <v>454464.41165402625</v>
      </c>
      <c r="M65" s="32"/>
    </row>
    <row r="66" spans="1:13" ht="30">
      <c r="A66" s="47" t="s">
        <v>296</v>
      </c>
      <c r="B66" s="1075">
        <f>ECO!G25</f>
        <v>344597.85213533521</v>
      </c>
      <c r="C66" s="1076">
        <f>ECO!H25</f>
        <v>414304.81605006225</v>
      </c>
      <c r="D66" s="1076">
        <f>ECO!I25</f>
        <v>442350.21550896659</v>
      </c>
      <c r="E66" s="1076">
        <f>ECO!J25</f>
        <v>469233.51323826663</v>
      </c>
      <c r="F66" s="1076">
        <f>ECO!K25</f>
        <v>495401.1870190092</v>
      </c>
      <c r="G66" s="1076">
        <f>ECO!L25</f>
        <v>521787.12866346852</v>
      </c>
      <c r="H66" s="1076">
        <f>ECO!M25</f>
        <v>548271.32893728022</v>
      </c>
      <c r="I66" s="1076">
        <f>ECO!N25</f>
        <v>576098.01196940849</v>
      </c>
      <c r="J66" s="1076">
        <f>ECO!O25</f>
        <v>605335.14753131359</v>
      </c>
      <c r="K66" s="1076">
        <f>ECO!P25</f>
        <v>636054.14301760378</v>
      </c>
      <c r="L66" s="1077">
        <f>ECO!Q25</f>
        <v>668330.01713827392</v>
      </c>
      <c r="M66" s="32"/>
    </row>
    <row r="67" spans="1:13">
      <c r="A67" s="48" t="s">
        <v>495</v>
      </c>
      <c r="B67" s="925"/>
      <c r="C67" s="808"/>
      <c r="D67" s="808"/>
      <c r="E67" s="808"/>
      <c r="F67" s="808"/>
      <c r="G67" s="808"/>
      <c r="H67" s="808"/>
      <c r="I67" s="808"/>
      <c r="J67" s="808"/>
      <c r="K67" s="808"/>
      <c r="L67" s="809"/>
      <c r="M67" s="32"/>
    </row>
    <row r="68" spans="1:13" ht="45">
      <c r="A68" s="47" t="s">
        <v>699</v>
      </c>
      <c r="B68" s="925">
        <f>B38*B36*B37</f>
        <v>0</v>
      </c>
      <c r="C68" s="1076">
        <f t="shared" ref="C68:L68" si="10">C38*C36*C37</f>
        <v>6111379047.4554186</v>
      </c>
      <c r="D68" s="1076">
        <f t="shared" si="10"/>
        <v>13462537230.677105</v>
      </c>
      <c r="E68" s="1076">
        <f t="shared" si="10"/>
        <v>14872432249.158667</v>
      </c>
      <c r="F68" s="1076">
        <f t="shared" si="10"/>
        <v>16478787594.075411</v>
      </c>
      <c r="G68" s="1076">
        <f t="shared" si="10"/>
        <v>18311503437.218395</v>
      </c>
      <c r="H68" s="1076">
        <f t="shared" si="10"/>
        <v>20422571277.553108</v>
      </c>
      <c r="I68" s="1076">
        <f t="shared" si="10"/>
        <v>22863358574.239719</v>
      </c>
      <c r="J68" s="1076">
        <f t="shared" si="10"/>
        <v>25696532164.171936</v>
      </c>
      <c r="K68" s="1076">
        <f t="shared" si="10"/>
        <v>28998699021.899307</v>
      </c>
      <c r="L68" s="1077">
        <f t="shared" si="10"/>
        <v>32863944535.617573</v>
      </c>
      <c r="M68" s="32" t="s">
        <v>496</v>
      </c>
    </row>
    <row r="69" spans="1:13" ht="30">
      <c r="A69" s="47" t="s">
        <v>307</v>
      </c>
      <c r="B69" s="925">
        <f t="shared" ref="B69:L69" si="11">B68*B39/100</f>
        <v>0</v>
      </c>
      <c r="C69" s="1076">
        <f t="shared" si="11"/>
        <v>1833413714.2366257</v>
      </c>
      <c r="D69" s="1076">
        <f t="shared" si="11"/>
        <v>4038761169.2031317</v>
      </c>
      <c r="E69" s="1076">
        <f t="shared" si="11"/>
        <v>4461729674.7476006</v>
      </c>
      <c r="F69" s="1076">
        <f t="shared" si="11"/>
        <v>4943636278.2226229</v>
      </c>
      <c r="G69" s="1076">
        <f t="shared" si="11"/>
        <v>5493451031.1655188</v>
      </c>
      <c r="H69" s="1076">
        <f t="shared" si="11"/>
        <v>6126771383.265933</v>
      </c>
      <c r="I69" s="1076">
        <f t="shared" si="11"/>
        <v>6859007572.2719154</v>
      </c>
      <c r="J69" s="1076">
        <f t="shared" si="11"/>
        <v>7708959649.2515812</v>
      </c>
      <c r="K69" s="1076">
        <f t="shared" si="11"/>
        <v>8699609706.5697918</v>
      </c>
      <c r="L69" s="1077">
        <f t="shared" si="11"/>
        <v>9859183360.6852722</v>
      </c>
      <c r="M69" s="32"/>
    </row>
    <row r="70" spans="1:13">
      <c r="A70" s="47" t="s">
        <v>308</v>
      </c>
      <c r="B70" s="925">
        <f>B68+B69</f>
        <v>0</v>
      </c>
      <c r="C70" s="1076">
        <f t="shared" ref="C70:L70" si="12">C68+C69</f>
        <v>7944792761.6920443</v>
      </c>
      <c r="D70" s="1076">
        <f t="shared" si="12"/>
        <v>17501298399.880238</v>
      </c>
      <c r="E70" s="1076">
        <f t="shared" si="12"/>
        <v>19334161923.906265</v>
      </c>
      <c r="F70" s="1076">
        <f t="shared" si="12"/>
        <v>21422423872.298035</v>
      </c>
      <c r="G70" s="1076">
        <f t="shared" si="12"/>
        <v>23804954468.383915</v>
      </c>
      <c r="H70" s="1076">
        <f t="shared" si="12"/>
        <v>26549342660.819042</v>
      </c>
      <c r="I70" s="1076">
        <f t="shared" si="12"/>
        <v>29722366146.511635</v>
      </c>
      <c r="J70" s="1076">
        <f t="shared" si="12"/>
        <v>33405491813.423515</v>
      </c>
      <c r="K70" s="1076">
        <f t="shared" si="12"/>
        <v>37698308728.469101</v>
      </c>
      <c r="L70" s="1077">
        <f t="shared" si="12"/>
        <v>42723127896.302841</v>
      </c>
      <c r="M70" s="32"/>
    </row>
    <row r="71" spans="1:13">
      <c r="A71" s="197"/>
      <c r="B71" s="215"/>
      <c r="C71" s="191"/>
      <c r="D71" s="191"/>
      <c r="E71" s="191"/>
      <c r="F71" s="191"/>
      <c r="G71" s="191"/>
      <c r="H71" s="191"/>
      <c r="I71" s="191"/>
      <c r="J71" s="191"/>
      <c r="K71" s="191"/>
      <c r="L71" s="195"/>
      <c r="M71" s="191"/>
    </row>
    <row r="72" spans="1:13">
      <c r="A72" s="36" t="s">
        <v>498</v>
      </c>
      <c r="B72" s="212"/>
      <c r="C72" s="28"/>
      <c r="D72" s="28"/>
      <c r="E72" s="28"/>
      <c r="F72" s="28"/>
      <c r="G72" s="28"/>
      <c r="H72" s="28"/>
      <c r="I72" s="28"/>
      <c r="J72" s="28"/>
      <c r="K72" s="28"/>
      <c r="L72" s="194"/>
    </row>
    <row r="73" spans="1:13">
      <c r="A73" s="193" t="s">
        <v>86</v>
      </c>
      <c r="B73" s="212"/>
      <c r="C73" s="32"/>
      <c r="D73" s="32"/>
      <c r="E73" s="32"/>
      <c r="F73" s="32"/>
      <c r="G73" s="32"/>
      <c r="H73" s="32"/>
      <c r="I73" s="32"/>
      <c r="J73" s="32"/>
      <c r="K73" s="32"/>
      <c r="L73" s="34"/>
    </row>
    <row r="74" spans="1:13">
      <c r="A74" s="36"/>
      <c r="B74" s="212"/>
      <c r="C74" s="32"/>
      <c r="D74" s="32"/>
      <c r="E74" s="32"/>
      <c r="F74" s="32"/>
      <c r="G74" s="32"/>
      <c r="H74" s="32"/>
      <c r="I74" s="32"/>
      <c r="J74" s="32"/>
      <c r="K74" s="32"/>
      <c r="L74" s="34"/>
    </row>
    <row r="75" spans="1:13">
      <c r="A75" s="35" t="s">
        <v>309</v>
      </c>
      <c r="B75" s="214">
        <f>B62*B57/1000</f>
        <v>0</v>
      </c>
      <c r="C75" s="808">
        <f t="shared" ref="C75:L75" si="13">C62*C57/1000</f>
        <v>6869483.11977096</v>
      </c>
      <c r="D75" s="808">
        <f t="shared" si="13"/>
        <v>17664903.621509511</v>
      </c>
      <c r="E75" s="808">
        <f t="shared" si="13"/>
        <v>29743101.133698534</v>
      </c>
      <c r="F75" s="808">
        <f t="shared" si="13"/>
        <v>44303829.248431176</v>
      </c>
      <c r="G75" s="808">
        <f t="shared" si="13"/>
        <v>49897860.095605485</v>
      </c>
      <c r="H75" s="808">
        <f t="shared" si="13"/>
        <v>56579129.544696458</v>
      </c>
      <c r="I75" s="808">
        <f t="shared" si="13"/>
        <v>64161194.439425752</v>
      </c>
      <c r="J75" s="808">
        <f t="shared" si="13"/>
        <v>72775070.477323607</v>
      </c>
      <c r="K75" s="808">
        <f t="shared" si="13"/>
        <v>82651114.062039331</v>
      </c>
      <c r="L75" s="809">
        <f t="shared" si="13"/>
        <v>94050466.571138993</v>
      </c>
    </row>
    <row r="76" spans="1:13">
      <c r="A76" s="36" t="s">
        <v>310</v>
      </c>
      <c r="B76" s="214">
        <f>B75/2</f>
        <v>0</v>
      </c>
      <c r="C76" s="808">
        <f t="shared" ref="C76:L76" si="14">C75/2</f>
        <v>3434741.55988548</v>
      </c>
      <c r="D76" s="808">
        <f t="shared" si="14"/>
        <v>8832451.8107547555</v>
      </c>
      <c r="E76" s="808">
        <f t="shared" si="14"/>
        <v>14871550.566849267</v>
      </c>
      <c r="F76" s="808">
        <f t="shared" si="14"/>
        <v>22151914.624215588</v>
      </c>
      <c r="G76" s="808">
        <f t="shared" si="14"/>
        <v>24948930.047802743</v>
      </c>
      <c r="H76" s="808">
        <f t="shared" si="14"/>
        <v>28289564.772348229</v>
      </c>
      <c r="I76" s="808">
        <f t="shared" si="14"/>
        <v>32080597.219712876</v>
      </c>
      <c r="J76" s="808">
        <f t="shared" si="14"/>
        <v>36387535.238661803</v>
      </c>
      <c r="K76" s="808">
        <f t="shared" si="14"/>
        <v>41325557.031019665</v>
      </c>
      <c r="L76" s="809">
        <f t="shared" si="14"/>
        <v>47025233.285569496</v>
      </c>
    </row>
    <row r="77" spans="1:13">
      <c r="A77" s="36" t="s">
        <v>298</v>
      </c>
      <c r="B77" s="214">
        <f>((((B65*B48) + (B66*B49))*12)/1000)*B31/100</f>
        <v>0</v>
      </c>
      <c r="C77" s="808">
        <f>((((C65*C48) + (C66*C49))*12)/1000)*C31/100</f>
        <v>5345282.6868138621</v>
      </c>
      <c r="D77" s="808">
        <f>((((D65*D48) + (D66*D49))*12)/1000)*D31/100</f>
        <v>11614306.773131223</v>
      </c>
      <c r="E77" s="808">
        <f t="shared" ref="E77:L77" si="15">((((E65*E48) + (E66*E49))*12)/1000)*E31/100</f>
        <v>12533273.14813609</v>
      </c>
      <c r="F77" s="808">
        <f t="shared" si="15"/>
        <v>13434980.881134372</v>
      </c>
      <c r="G77" s="808">
        <f t="shared" si="15"/>
        <v>14352900.236144772</v>
      </c>
      <c r="H77" s="808">
        <f t="shared" si="15"/>
        <v>15283779.522145402</v>
      </c>
      <c r="I77" s="808">
        <f t="shared" si="15"/>
        <v>16258530.069720905</v>
      </c>
      <c r="J77" s="808">
        <f t="shared" si="15"/>
        <v>17276140.871219512</v>
      </c>
      <c r="K77" s="808">
        <f t="shared" si="15"/>
        <v>18328892.697695911</v>
      </c>
      <c r="L77" s="809">
        <f t="shared" si="15"/>
        <v>19417315.299206711</v>
      </c>
    </row>
    <row r="78" spans="1:13">
      <c r="A78" s="36" t="s">
        <v>297</v>
      </c>
      <c r="B78" s="214">
        <f>B70*12/1000000</f>
        <v>0</v>
      </c>
      <c r="C78" s="808">
        <f t="shared" ref="C78:L78" si="16">C70*12/1000000</f>
        <v>95337.513140304538</v>
      </c>
      <c r="D78" s="808">
        <f t="shared" si="16"/>
        <v>210015.58079856288</v>
      </c>
      <c r="E78" s="808">
        <f t="shared" si="16"/>
        <v>232009.9430868752</v>
      </c>
      <c r="F78" s="808">
        <f t="shared" si="16"/>
        <v>257069.08646757642</v>
      </c>
      <c r="G78" s="808">
        <f t="shared" si="16"/>
        <v>285659.45362060698</v>
      </c>
      <c r="H78" s="808">
        <f t="shared" si="16"/>
        <v>318592.11192982848</v>
      </c>
      <c r="I78" s="808">
        <f t="shared" si="16"/>
        <v>356668.39375813963</v>
      </c>
      <c r="J78" s="808">
        <f t="shared" si="16"/>
        <v>400865.90176108218</v>
      </c>
      <c r="K78" s="808">
        <f t="shared" si="16"/>
        <v>452379.70474162919</v>
      </c>
      <c r="L78" s="809">
        <f t="shared" si="16"/>
        <v>512677.53475563409</v>
      </c>
    </row>
    <row r="79" spans="1:13" ht="30">
      <c r="A79" s="36" t="s">
        <v>311</v>
      </c>
      <c r="B79" s="214">
        <f>B75+B77+B78</f>
        <v>0</v>
      </c>
      <c r="C79" s="808">
        <f t="shared" ref="C79:L79" si="17">C75+C77+C78</f>
        <v>12310103.319725126</v>
      </c>
      <c r="D79" s="808">
        <f t="shared" si="17"/>
        <v>29489225.975439299</v>
      </c>
      <c r="E79" s="808">
        <f t="shared" si="17"/>
        <v>42508384.224921502</v>
      </c>
      <c r="F79" s="808">
        <f t="shared" si="17"/>
        <v>57995879.216033131</v>
      </c>
      <c r="G79" s="808">
        <f t="shared" si="17"/>
        <v>64536419.785370864</v>
      </c>
      <c r="H79" s="808">
        <f t="shared" si="17"/>
        <v>72181501.17877169</v>
      </c>
      <c r="I79" s="808">
        <f t="shared" si="17"/>
        <v>80776392.902904794</v>
      </c>
      <c r="J79" s="808">
        <f t="shared" si="17"/>
        <v>90452077.250304207</v>
      </c>
      <c r="K79" s="808">
        <f t="shared" si="17"/>
        <v>101432386.46447687</v>
      </c>
      <c r="L79" s="809">
        <f t="shared" si="17"/>
        <v>113980459.40510134</v>
      </c>
    </row>
    <row r="80" spans="1:13" ht="30">
      <c r="A80" s="36" t="s">
        <v>350</v>
      </c>
      <c r="B80" s="214">
        <f>B76+B77+B78</f>
        <v>0</v>
      </c>
      <c r="C80" s="808">
        <f t="shared" ref="C80:L80" si="18">C76+C77+C78</f>
        <v>8875361.7598396465</v>
      </c>
      <c r="D80" s="808">
        <f t="shared" si="18"/>
        <v>20656774.164684542</v>
      </c>
      <c r="E80" s="808">
        <f t="shared" si="18"/>
        <v>27636833.658072229</v>
      </c>
      <c r="F80" s="808">
        <f t="shared" si="18"/>
        <v>35843964.591817543</v>
      </c>
      <c r="G80" s="808">
        <f t="shared" si="18"/>
        <v>39587489.737568118</v>
      </c>
      <c r="H80" s="808">
        <f t="shared" si="18"/>
        <v>43891936.406423457</v>
      </c>
      <c r="I80" s="808">
        <f t="shared" si="18"/>
        <v>48695795.683191918</v>
      </c>
      <c r="J80" s="808">
        <f t="shared" si="18"/>
        <v>54064542.011642396</v>
      </c>
      <c r="K80" s="808">
        <f t="shared" si="18"/>
        <v>60106829.433457203</v>
      </c>
      <c r="L80" s="809">
        <f t="shared" si="18"/>
        <v>66955226.11953184</v>
      </c>
      <c r="M80" s="32"/>
    </row>
    <row r="81" spans="1:13">
      <c r="A81" s="36"/>
      <c r="B81" s="212"/>
      <c r="C81" s="32"/>
      <c r="D81" s="32"/>
      <c r="E81" s="32"/>
      <c r="F81" s="32"/>
      <c r="G81" s="32"/>
      <c r="H81" s="32"/>
      <c r="I81" s="32"/>
      <c r="J81" s="32"/>
      <c r="K81" s="32"/>
      <c r="L81" s="34"/>
      <c r="M81" s="32"/>
    </row>
    <row r="82" spans="1:13">
      <c r="A82" s="51" t="s">
        <v>85</v>
      </c>
      <c r="B82" s="212"/>
      <c r="C82" s="32"/>
      <c r="D82" s="32"/>
      <c r="E82" s="32"/>
      <c r="F82" s="32"/>
      <c r="G82" s="32"/>
      <c r="H82" s="32"/>
      <c r="I82" s="32"/>
      <c r="J82" s="32"/>
      <c r="K82" s="32"/>
      <c r="L82" s="34"/>
      <c r="M82" s="32"/>
    </row>
    <row r="83" spans="1:13">
      <c r="A83" s="42" t="s">
        <v>770</v>
      </c>
      <c r="B83" s="212">
        <v>0.15</v>
      </c>
      <c r="C83" s="32">
        <v>0.15</v>
      </c>
      <c r="D83" s="32">
        <v>0.15</v>
      </c>
      <c r="E83" s="32">
        <v>0.15</v>
      </c>
      <c r="F83" s="32">
        <v>0.15</v>
      </c>
      <c r="G83" s="32">
        <v>0.15</v>
      </c>
      <c r="H83" s="32">
        <v>0.15</v>
      </c>
      <c r="I83" s="32">
        <v>0.15</v>
      </c>
      <c r="J83" s="32">
        <v>0.15</v>
      </c>
      <c r="K83" s="32">
        <v>0.15</v>
      </c>
      <c r="L83" s="34">
        <v>0.15</v>
      </c>
      <c r="M83" s="32"/>
    </row>
    <row r="84" spans="1:13">
      <c r="A84" s="42"/>
      <c r="B84" s="212"/>
      <c r="C84" s="32"/>
      <c r="D84" s="32"/>
      <c r="E84" s="32"/>
      <c r="F84" s="32"/>
      <c r="G84" s="32"/>
      <c r="H84" s="32"/>
      <c r="I84" s="32"/>
      <c r="J84" s="32"/>
      <c r="K84" s="32"/>
      <c r="L84" s="34"/>
      <c r="M84" s="32"/>
    </row>
    <row r="85" spans="1:13">
      <c r="A85" s="42" t="s">
        <v>499</v>
      </c>
      <c r="B85" s="212"/>
      <c r="C85" s="32"/>
      <c r="D85" s="32"/>
      <c r="E85" s="32"/>
      <c r="F85" s="32"/>
      <c r="G85" s="32"/>
      <c r="H85" s="32"/>
      <c r="I85" s="32"/>
      <c r="J85" s="32"/>
      <c r="K85" s="32"/>
      <c r="L85" s="34"/>
      <c r="M85" s="32"/>
    </row>
    <row r="86" spans="1:13">
      <c r="A86" s="35" t="s">
        <v>309</v>
      </c>
      <c r="B86" s="214">
        <f>B75*(1+B$83)</f>
        <v>0</v>
      </c>
      <c r="C86" s="808">
        <f t="shared" ref="C86:L86" si="19">C75*(1+C$83)</f>
        <v>7899905.5877366029</v>
      </c>
      <c r="D86" s="808">
        <f t="shared" si="19"/>
        <v>20314639.164735936</v>
      </c>
      <c r="E86" s="808">
        <f t="shared" si="19"/>
        <v>34204566.303753309</v>
      </c>
      <c r="F86" s="808">
        <f t="shared" si="19"/>
        <v>50949403.635695845</v>
      </c>
      <c r="G86" s="808">
        <f t="shared" si="19"/>
        <v>57382539.109946303</v>
      </c>
      <c r="H86" s="808">
        <f t="shared" si="19"/>
        <v>65065998.976400919</v>
      </c>
      <c r="I86" s="808">
        <f t="shared" si="19"/>
        <v>73785373.605339602</v>
      </c>
      <c r="J86" s="808">
        <f t="shared" si="19"/>
        <v>83691331.048922136</v>
      </c>
      <c r="K86" s="808">
        <f t="shared" si="19"/>
        <v>95048781.171345219</v>
      </c>
      <c r="L86" s="809">
        <f t="shared" si="19"/>
        <v>108158036.55680983</v>
      </c>
      <c r="M86" s="32"/>
    </row>
    <row r="87" spans="1:13">
      <c r="A87" s="36" t="s">
        <v>310</v>
      </c>
      <c r="B87" s="214">
        <f t="shared" ref="B87:L87" si="20">B76*(1+B$83)</f>
        <v>0</v>
      </c>
      <c r="C87" s="808">
        <f t="shared" si="20"/>
        <v>3949952.7938683014</v>
      </c>
      <c r="D87" s="808">
        <f t="shared" si="20"/>
        <v>10157319.582367968</v>
      </c>
      <c r="E87" s="808">
        <f t="shared" si="20"/>
        <v>17102283.151876654</v>
      </c>
      <c r="F87" s="808">
        <f t="shared" si="20"/>
        <v>25474701.817847922</v>
      </c>
      <c r="G87" s="808">
        <f t="shared" si="20"/>
        <v>28691269.554973152</v>
      </c>
      <c r="H87" s="808">
        <f t="shared" si="20"/>
        <v>32532999.48820046</v>
      </c>
      <c r="I87" s="808">
        <f t="shared" si="20"/>
        <v>36892686.802669801</v>
      </c>
      <c r="J87" s="808">
        <f t="shared" si="20"/>
        <v>41845665.524461068</v>
      </c>
      <c r="K87" s="808">
        <f t="shared" si="20"/>
        <v>47524390.58567261</v>
      </c>
      <c r="L87" s="809">
        <f t="shared" si="20"/>
        <v>54079018.278404914</v>
      </c>
      <c r="M87" s="32"/>
    </row>
    <row r="88" spans="1:13">
      <c r="A88" s="36" t="s">
        <v>298</v>
      </c>
      <c r="B88" s="214">
        <f t="shared" ref="B88:L88" si="21">B77*(1+B$83)</f>
        <v>0</v>
      </c>
      <c r="C88" s="808">
        <f t="shared" si="21"/>
        <v>6147075.0898359409</v>
      </c>
      <c r="D88" s="808">
        <f t="shared" si="21"/>
        <v>13356452.789100906</v>
      </c>
      <c r="E88" s="808">
        <f t="shared" si="21"/>
        <v>14413264.120356504</v>
      </c>
      <c r="F88" s="808">
        <f t="shared" si="21"/>
        <v>15450228.013304526</v>
      </c>
      <c r="G88" s="808">
        <f t="shared" si="21"/>
        <v>16505835.271566486</v>
      </c>
      <c r="H88" s="808">
        <f t="shared" si="21"/>
        <v>17576346.45046721</v>
      </c>
      <c r="I88" s="808">
        <f t="shared" si="21"/>
        <v>18697309.580179039</v>
      </c>
      <c r="J88" s="808">
        <f t="shared" si="21"/>
        <v>19867562.001902439</v>
      </c>
      <c r="K88" s="808">
        <f t="shared" si="21"/>
        <v>21078226.602350295</v>
      </c>
      <c r="L88" s="809">
        <f t="shared" si="21"/>
        <v>22329912.594087716</v>
      </c>
      <c r="M88" s="32"/>
    </row>
    <row r="89" spans="1:13">
      <c r="A89" s="36" t="s">
        <v>297</v>
      </c>
      <c r="B89" s="214">
        <f t="shared" ref="B89:L89" si="22">B78*(1+B$83)</f>
        <v>0</v>
      </c>
      <c r="C89" s="808">
        <f t="shared" si="22"/>
        <v>109638.14011135021</v>
      </c>
      <c r="D89" s="808">
        <f t="shared" si="22"/>
        <v>241517.91791834729</v>
      </c>
      <c r="E89" s="808">
        <f t="shared" si="22"/>
        <v>266811.43454990647</v>
      </c>
      <c r="F89" s="808">
        <f t="shared" si="22"/>
        <v>295629.44943771284</v>
      </c>
      <c r="G89" s="808">
        <f t="shared" si="22"/>
        <v>328508.371663698</v>
      </c>
      <c r="H89" s="808">
        <f t="shared" si="22"/>
        <v>366380.9287193027</v>
      </c>
      <c r="I89" s="808">
        <f t="shared" si="22"/>
        <v>410168.65282186057</v>
      </c>
      <c r="J89" s="808">
        <f t="shared" si="22"/>
        <v>460995.78702524444</v>
      </c>
      <c r="K89" s="808">
        <f t="shared" si="22"/>
        <v>520236.6604528735</v>
      </c>
      <c r="L89" s="809">
        <f t="shared" si="22"/>
        <v>589579.1649689792</v>
      </c>
      <c r="M89" s="32"/>
    </row>
    <row r="90" spans="1:13" ht="30">
      <c r="A90" s="198" t="s">
        <v>500</v>
      </c>
      <c r="B90" s="218">
        <f>B86+B88+B89</f>
        <v>0</v>
      </c>
      <c r="C90" s="808">
        <f t="shared" ref="C90:L90" si="23">C86+C88+C89</f>
        <v>14156618.817683894</v>
      </c>
      <c r="D90" s="808">
        <f t="shared" si="23"/>
        <v>33912609.87175519</v>
      </c>
      <c r="E90" s="808">
        <f t="shared" si="23"/>
        <v>48884641.858659722</v>
      </c>
      <c r="F90" s="808">
        <f t="shared" si="23"/>
        <v>66695261.098438084</v>
      </c>
      <c r="G90" s="808">
        <f t="shared" si="23"/>
        <v>74216882.753176495</v>
      </c>
      <c r="H90" s="808">
        <f t="shared" si="23"/>
        <v>83008726.355587423</v>
      </c>
      <c r="I90" s="808">
        <f t="shared" si="23"/>
        <v>92892851.838340491</v>
      </c>
      <c r="J90" s="808">
        <f t="shared" si="23"/>
        <v>104019888.83784983</v>
      </c>
      <c r="K90" s="808">
        <f t="shared" si="23"/>
        <v>116647244.43414839</v>
      </c>
      <c r="L90" s="809">
        <f t="shared" si="23"/>
        <v>131077528.31586653</v>
      </c>
      <c r="M90" s="32"/>
    </row>
    <row r="91" spans="1:13" ht="30">
      <c r="A91" s="198" t="s">
        <v>501</v>
      </c>
      <c r="B91" s="218">
        <f>B87+B88+B89</f>
        <v>0</v>
      </c>
      <c r="C91" s="808">
        <f t="shared" ref="C91:L91" si="24">C87+C88+C89</f>
        <v>10206666.023815591</v>
      </c>
      <c r="D91" s="808">
        <f t="shared" si="24"/>
        <v>23755290.289387219</v>
      </c>
      <c r="E91" s="808">
        <f t="shared" si="24"/>
        <v>31782358.706783064</v>
      </c>
      <c r="F91" s="808">
        <f t="shared" si="24"/>
        <v>41220559.280590162</v>
      </c>
      <c r="G91" s="808">
        <f t="shared" si="24"/>
        <v>45525613.198203333</v>
      </c>
      <c r="H91" s="808">
        <f t="shared" si="24"/>
        <v>50475726.867386974</v>
      </c>
      <c r="I91" s="808">
        <f t="shared" si="24"/>
        <v>56000165.035670705</v>
      </c>
      <c r="J91" s="808">
        <f t="shared" si="24"/>
        <v>62174223.31338875</v>
      </c>
      <c r="K91" s="808">
        <f t="shared" si="24"/>
        <v>69122853.848475784</v>
      </c>
      <c r="L91" s="809">
        <f t="shared" si="24"/>
        <v>76998510.037461609</v>
      </c>
      <c r="M91" s="32"/>
    </row>
    <row r="92" spans="1:13">
      <c r="A92" s="42"/>
      <c r="B92" s="212"/>
      <c r="C92" s="32"/>
      <c r="D92" s="32"/>
      <c r="E92" s="32"/>
      <c r="F92" s="32"/>
      <c r="G92" s="32"/>
      <c r="H92" s="32"/>
      <c r="I92" s="32"/>
      <c r="J92" s="32"/>
      <c r="K92" s="32"/>
      <c r="L92" s="34"/>
      <c r="M92" s="32"/>
    </row>
    <row r="93" spans="1:13">
      <c r="A93" s="42"/>
      <c r="B93" s="212"/>
      <c r="C93" s="32"/>
      <c r="D93" s="32"/>
      <c r="E93" s="32"/>
      <c r="F93" s="32"/>
      <c r="G93" s="32"/>
      <c r="H93" s="32"/>
      <c r="I93" s="32"/>
      <c r="J93" s="32"/>
      <c r="K93" s="32"/>
      <c r="L93" s="34"/>
      <c r="M93" s="32"/>
    </row>
    <row r="94" spans="1:13">
      <c r="A94" s="48" t="s">
        <v>351</v>
      </c>
      <c r="B94" s="212"/>
      <c r="C94" s="32"/>
      <c r="D94" s="32"/>
      <c r="E94" s="32"/>
      <c r="F94" s="32"/>
      <c r="G94" s="32"/>
      <c r="H94" s="32"/>
      <c r="I94" s="32"/>
      <c r="J94" s="32"/>
      <c r="K94" s="32"/>
      <c r="L94" s="34"/>
      <c r="M94" s="32"/>
    </row>
    <row r="95" spans="1:13">
      <c r="A95" s="265"/>
      <c r="B95" s="266">
        <v>2010</v>
      </c>
      <c r="C95" s="267">
        <v>2011</v>
      </c>
      <c r="D95" s="267">
        <v>2012</v>
      </c>
      <c r="E95" s="267">
        <v>2013</v>
      </c>
      <c r="F95" s="267">
        <v>2014</v>
      </c>
      <c r="G95" s="267">
        <v>2015</v>
      </c>
      <c r="H95" s="267">
        <v>2016</v>
      </c>
      <c r="I95" s="267">
        <v>2017</v>
      </c>
      <c r="J95" s="267">
        <v>2018</v>
      </c>
      <c r="K95" s="267">
        <v>2019</v>
      </c>
      <c r="L95" s="268">
        <v>2020</v>
      </c>
      <c r="M95" s="269"/>
    </row>
    <row r="96" spans="1:13">
      <c r="A96" s="35" t="s">
        <v>309</v>
      </c>
      <c r="B96" s="219">
        <f>B86/B$13*100</f>
        <v>0</v>
      </c>
      <c r="C96" s="49">
        <f t="shared" ref="C96:L96" si="25">C86/C$13*100</f>
        <v>0.32810178305342069</v>
      </c>
      <c r="D96" s="49">
        <f t="shared" si="25"/>
        <v>0.73755464411623461</v>
      </c>
      <c r="E96" s="49">
        <f t="shared" si="25"/>
        <v>1.08143563055707</v>
      </c>
      <c r="F96" s="49">
        <f t="shared" si="25"/>
        <v>1.4065723736854314</v>
      </c>
      <c r="G96" s="49">
        <f t="shared" si="25"/>
        <v>1.3896405484190175</v>
      </c>
      <c r="H96" s="49">
        <f t="shared" si="25"/>
        <v>1.3878957841033803</v>
      </c>
      <c r="I96" s="49">
        <f t="shared" si="25"/>
        <v>1.3887361555877213</v>
      </c>
      <c r="J96" s="49">
        <f t="shared" si="25"/>
        <v>1.3898860498680268</v>
      </c>
      <c r="K96" s="49">
        <f t="shared" si="25"/>
        <v>1.3923725217056393</v>
      </c>
      <c r="L96" s="50">
        <f t="shared" si="25"/>
        <v>1.3971148098964052</v>
      </c>
      <c r="M96" s="32"/>
    </row>
    <row r="97" spans="1:13">
      <c r="A97" s="36" t="s">
        <v>310</v>
      </c>
      <c r="B97" s="219">
        <f t="shared" ref="B97:L99" si="26">B87/B$13*100</f>
        <v>0</v>
      </c>
      <c r="C97" s="49">
        <f t="shared" si="26"/>
        <v>0.16405089152671035</v>
      </c>
      <c r="D97" s="49">
        <f t="shared" si="26"/>
        <v>0.36877732205811731</v>
      </c>
      <c r="E97" s="49">
        <f t="shared" si="26"/>
        <v>0.54071781527853502</v>
      </c>
      <c r="F97" s="49">
        <f t="shared" si="26"/>
        <v>0.70328618684271571</v>
      </c>
      <c r="G97" s="49">
        <f t="shared" si="26"/>
        <v>0.69482027420950876</v>
      </c>
      <c r="H97" s="49">
        <f t="shared" si="26"/>
        <v>0.69394789205169016</v>
      </c>
      <c r="I97" s="49">
        <f t="shared" si="26"/>
        <v>0.69436807779386067</v>
      </c>
      <c r="J97" s="49">
        <f t="shared" si="26"/>
        <v>0.69494302493401339</v>
      </c>
      <c r="K97" s="49">
        <f t="shared" si="26"/>
        <v>0.69618626085281965</v>
      </c>
      <c r="L97" s="50">
        <f t="shared" si="26"/>
        <v>0.69855740494820262</v>
      </c>
      <c r="M97" s="32"/>
    </row>
    <row r="98" spans="1:13">
      <c r="A98" s="36" t="s">
        <v>298</v>
      </c>
      <c r="B98" s="219">
        <f t="shared" si="26"/>
        <v>0</v>
      </c>
      <c r="C98" s="49">
        <f t="shared" si="26"/>
        <v>0.25530258243456921</v>
      </c>
      <c r="D98" s="49">
        <f t="shared" si="26"/>
        <v>0.48492684037534373</v>
      </c>
      <c r="E98" s="49">
        <f t="shared" si="26"/>
        <v>0.45569989790143745</v>
      </c>
      <c r="F98" s="49">
        <f t="shared" si="26"/>
        <v>0.42653814058442197</v>
      </c>
      <c r="G98" s="49">
        <f t="shared" si="26"/>
        <v>0.39972399853107643</v>
      </c>
      <c r="H98" s="49">
        <f t="shared" si="26"/>
        <v>0.37491374177458603</v>
      </c>
      <c r="I98" s="49">
        <f t="shared" si="26"/>
        <v>0.3519075469495524</v>
      </c>
      <c r="J98" s="49">
        <f t="shared" si="26"/>
        <v>0.32994632688050579</v>
      </c>
      <c r="K98" s="49">
        <f t="shared" si="26"/>
        <v>0.3087755904464482</v>
      </c>
      <c r="L98" s="50">
        <f t="shared" si="26"/>
        <v>0.28844321311718524</v>
      </c>
      <c r="M98" s="32"/>
    </row>
    <row r="99" spans="1:13">
      <c r="A99" s="36" t="s">
        <v>297</v>
      </c>
      <c r="B99" s="219">
        <f t="shared" si="26"/>
        <v>0</v>
      </c>
      <c r="C99" s="49">
        <f t="shared" si="26"/>
        <v>4.5535315405587284E-3</v>
      </c>
      <c r="D99" s="49">
        <f t="shared" si="26"/>
        <v>8.7686845212185741E-3</v>
      </c>
      <c r="E99" s="49">
        <f t="shared" si="26"/>
        <v>8.43569801177841E-3</v>
      </c>
      <c r="F99" s="49">
        <f t="shared" si="26"/>
        <v>8.1615129276133257E-3</v>
      </c>
      <c r="G99" s="49">
        <f t="shared" si="26"/>
        <v>7.9555307387896949E-3</v>
      </c>
      <c r="H99" s="49">
        <f t="shared" si="26"/>
        <v>7.815119330294629E-3</v>
      </c>
      <c r="I99" s="49">
        <f t="shared" si="26"/>
        <v>7.7199045045047276E-3</v>
      </c>
      <c r="J99" s="49">
        <f t="shared" si="26"/>
        <v>7.6558898682084131E-3</v>
      </c>
      <c r="K99" s="49">
        <f t="shared" si="26"/>
        <v>7.6209628558273927E-3</v>
      </c>
      <c r="L99" s="50">
        <f t="shared" si="26"/>
        <v>7.615798226439369E-3</v>
      </c>
      <c r="M99" s="32"/>
    </row>
    <row r="100" spans="1:13" ht="30">
      <c r="A100" s="36" t="s">
        <v>311</v>
      </c>
      <c r="B100" s="219">
        <f>B96+B98+B99</f>
        <v>0</v>
      </c>
      <c r="C100" s="49">
        <f t="shared" ref="C100:L100" si="27">C96+C98+C99</f>
        <v>0.58795789702854862</v>
      </c>
      <c r="D100" s="49">
        <f t="shared" si="27"/>
        <v>1.2312501690127968</v>
      </c>
      <c r="E100" s="49">
        <f t="shared" si="27"/>
        <v>1.5455712264702859</v>
      </c>
      <c r="F100" s="49">
        <f t="shared" si="27"/>
        <v>1.8412720271974667</v>
      </c>
      <c r="G100" s="49">
        <f t="shared" si="27"/>
        <v>1.7973200776888838</v>
      </c>
      <c r="H100" s="49">
        <f t="shared" si="27"/>
        <v>1.770624645208261</v>
      </c>
      <c r="I100" s="49">
        <f t="shared" si="27"/>
        <v>1.7483636070417783</v>
      </c>
      <c r="J100" s="49">
        <f t="shared" si="27"/>
        <v>1.727488266616741</v>
      </c>
      <c r="K100" s="49">
        <f t="shared" si="27"/>
        <v>1.708769075007915</v>
      </c>
      <c r="L100" s="50">
        <f t="shared" si="27"/>
        <v>1.6931738212400298</v>
      </c>
      <c r="M100" s="32"/>
    </row>
    <row r="101" spans="1:13" ht="30">
      <c r="A101" s="1345" t="s">
        <v>350</v>
      </c>
      <c r="B101" s="1346">
        <f>B97+B98+B99</f>
        <v>0</v>
      </c>
      <c r="C101" s="1347">
        <f t="shared" ref="C101:L101" si="28">C97+C98+C99</f>
        <v>0.42390700550183824</v>
      </c>
      <c r="D101" s="1347">
        <f t="shared" si="28"/>
        <v>0.86247284695467963</v>
      </c>
      <c r="E101" s="1347">
        <f t="shared" si="28"/>
        <v>1.0048534111917509</v>
      </c>
      <c r="F101" s="1347">
        <f t="shared" si="28"/>
        <v>1.1379858403547509</v>
      </c>
      <c r="G101" s="1347">
        <f t="shared" si="28"/>
        <v>1.1024998034793749</v>
      </c>
      <c r="H101" s="1347">
        <f t="shared" si="28"/>
        <v>1.0766767531565709</v>
      </c>
      <c r="I101" s="1347">
        <f t="shared" si="28"/>
        <v>1.0539955292479177</v>
      </c>
      <c r="J101" s="1347">
        <f t="shared" si="28"/>
        <v>1.0325452416827277</v>
      </c>
      <c r="K101" s="1347">
        <f t="shared" si="28"/>
        <v>1.0125828141550952</v>
      </c>
      <c r="L101" s="1348">
        <f t="shared" si="28"/>
        <v>0.99461641629182718</v>
      </c>
      <c r="M101" s="32"/>
    </row>
    <row r="102" spans="1:13">
      <c r="A102" s="48" t="s">
        <v>352</v>
      </c>
      <c r="B102" s="212"/>
      <c r="C102" s="32"/>
      <c r="D102" s="32"/>
      <c r="E102" s="32"/>
      <c r="F102" s="32"/>
      <c r="G102" s="32"/>
      <c r="H102" s="32"/>
      <c r="I102" s="32"/>
      <c r="J102" s="32"/>
      <c r="K102" s="32"/>
      <c r="L102" s="34"/>
      <c r="M102" s="32"/>
    </row>
    <row r="103" spans="1:13">
      <c r="A103" s="265"/>
      <c r="B103" s="266">
        <v>2010</v>
      </c>
      <c r="C103" s="267">
        <v>2011</v>
      </c>
      <c r="D103" s="267">
        <v>2012</v>
      </c>
      <c r="E103" s="267">
        <v>2013</v>
      </c>
      <c r="F103" s="267">
        <v>2014</v>
      </c>
      <c r="G103" s="267">
        <v>2015</v>
      </c>
      <c r="H103" s="267">
        <v>2016</v>
      </c>
      <c r="I103" s="267">
        <v>2017</v>
      </c>
      <c r="J103" s="267">
        <v>2018</v>
      </c>
      <c r="K103" s="267">
        <v>2019</v>
      </c>
      <c r="L103" s="268">
        <v>2020</v>
      </c>
      <c r="M103" s="269"/>
    </row>
    <row r="104" spans="1:13">
      <c r="A104" s="35" t="s">
        <v>309</v>
      </c>
      <c r="B104" s="219">
        <f>B86/B$14*100</f>
        <v>0</v>
      </c>
      <c r="C104" s="49">
        <f t="shared" ref="C104:L104" si="29">C86/C$14*100</f>
        <v>1.0342863102978188</v>
      </c>
      <c r="D104" s="49">
        <f t="shared" si="29"/>
        <v>2.315393436546604</v>
      </c>
      <c r="E104" s="49">
        <f t="shared" si="29"/>
        <v>3.4123045907501197</v>
      </c>
      <c r="F104" s="49">
        <f t="shared" si="29"/>
        <v>4.4509878912301408</v>
      </c>
      <c r="G104" s="49">
        <f t="shared" si="29"/>
        <v>4.4111532922195273</v>
      </c>
      <c r="H104" s="49">
        <f t="shared" si="29"/>
        <v>4.4265732857576383</v>
      </c>
      <c r="I104" s="49">
        <f t="shared" si="29"/>
        <v>4.4403193623250097</v>
      </c>
      <c r="J104" s="49">
        <f t="shared" si="29"/>
        <v>4.4658498336778241</v>
      </c>
      <c r="K104" s="49">
        <f t="shared" si="29"/>
        <v>4.4948736578536792</v>
      </c>
      <c r="L104" s="50">
        <f t="shared" si="29"/>
        <v>4.5311239535386632</v>
      </c>
      <c r="M104" s="32"/>
    </row>
    <row r="105" spans="1:13">
      <c r="A105" s="36" t="s">
        <v>310</v>
      </c>
      <c r="B105" s="219">
        <f t="shared" ref="B105:L107" si="30">B87/B$14*100</f>
        <v>0</v>
      </c>
      <c r="C105" s="49">
        <f t="shared" si="30"/>
        <v>0.51714315514890941</v>
      </c>
      <c r="D105" s="49">
        <f t="shared" si="30"/>
        <v>1.157696718273302</v>
      </c>
      <c r="E105" s="49">
        <f t="shared" si="30"/>
        <v>1.7061522953750599</v>
      </c>
      <c r="F105" s="49">
        <f t="shared" si="30"/>
        <v>2.2254939456150704</v>
      </c>
      <c r="G105" s="49">
        <f t="shared" si="30"/>
        <v>2.2055766461097637</v>
      </c>
      <c r="H105" s="49">
        <f t="shared" si="30"/>
        <v>2.2132866428788192</v>
      </c>
      <c r="I105" s="49">
        <f t="shared" si="30"/>
        <v>2.2201596811625048</v>
      </c>
      <c r="J105" s="49">
        <f t="shared" si="30"/>
        <v>2.232924916838912</v>
      </c>
      <c r="K105" s="49">
        <f t="shared" si="30"/>
        <v>2.2474368289268396</v>
      </c>
      <c r="L105" s="50">
        <f t="shared" si="30"/>
        <v>2.2655619767693316</v>
      </c>
      <c r="M105" s="32"/>
    </row>
    <row r="106" spans="1:13">
      <c r="A106" s="36" t="s">
        <v>298</v>
      </c>
      <c r="B106" s="219">
        <f t="shared" si="30"/>
        <v>0</v>
      </c>
      <c r="C106" s="49">
        <f t="shared" si="30"/>
        <v>0.80479893628850674</v>
      </c>
      <c r="D106" s="49">
        <f t="shared" si="30"/>
        <v>1.5223230337810831</v>
      </c>
      <c r="E106" s="49">
        <f t="shared" si="30"/>
        <v>1.4378912712654286</v>
      </c>
      <c r="F106" s="49">
        <f t="shared" si="30"/>
        <v>1.3497464719249985</v>
      </c>
      <c r="G106" s="49">
        <f t="shared" si="30"/>
        <v>1.2688488646258482</v>
      </c>
      <c r="H106" s="49">
        <f t="shared" si="30"/>
        <v>1.1957548778599092</v>
      </c>
      <c r="I106" s="49">
        <f t="shared" si="30"/>
        <v>1.1251826980821287</v>
      </c>
      <c r="J106" s="49">
        <f t="shared" si="30"/>
        <v>1.0601521967659344</v>
      </c>
      <c r="K106" s="49">
        <f t="shared" si="30"/>
        <v>0.99679306080084573</v>
      </c>
      <c r="L106" s="50">
        <f t="shared" si="30"/>
        <v>0.93547927695924027</v>
      </c>
      <c r="M106" s="32"/>
    </row>
    <row r="107" spans="1:13">
      <c r="A107" s="36" t="s">
        <v>297</v>
      </c>
      <c r="B107" s="219">
        <f t="shared" si="30"/>
        <v>0</v>
      </c>
      <c r="C107" s="49">
        <f t="shared" si="30"/>
        <v>1.4354250964684385E-2</v>
      </c>
      <c r="D107" s="49">
        <f t="shared" si="30"/>
        <v>2.7527390342589515E-2</v>
      </c>
      <c r="E107" s="49">
        <f t="shared" si="30"/>
        <v>2.661755377612746E-2</v>
      </c>
      <c r="F107" s="49">
        <f t="shared" si="30"/>
        <v>2.5826467158418229E-2</v>
      </c>
      <c r="G107" s="49">
        <f t="shared" si="30"/>
        <v>2.5253340261041531E-2</v>
      </c>
      <c r="H107" s="49">
        <f t="shared" si="30"/>
        <v>2.4925645605904882E-2</v>
      </c>
      <c r="I107" s="49">
        <f t="shared" si="30"/>
        <v>2.4683480233972446E-2</v>
      </c>
      <c r="J107" s="49">
        <f t="shared" si="30"/>
        <v>2.4599178110925504E-2</v>
      </c>
      <c r="K107" s="49">
        <f t="shared" si="30"/>
        <v>2.4602083604880115E-2</v>
      </c>
      <c r="L107" s="50">
        <f t="shared" si="30"/>
        <v>2.469956336064854E-2</v>
      </c>
      <c r="M107" s="32"/>
    </row>
    <row r="108" spans="1:13" ht="30">
      <c r="A108" s="36" t="s">
        <v>311</v>
      </c>
      <c r="B108" s="219">
        <f>B104+B106+B107</f>
        <v>0</v>
      </c>
      <c r="C108" s="49">
        <f t="shared" ref="C108:L108" si="31">C104+C106+C107</f>
        <v>1.8534394975510098</v>
      </c>
      <c r="D108" s="49">
        <f t="shared" si="31"/>
        <v>3.8652438606702768</v>
      </c>
      <c r="E108" s="49">
        <f t="shared" si="31"/>
        <v>4.8768134157916752</v>
      </c>
      <c r="F108" s="49">
        <f t="shared" si="31"/>
        <v>5.8265608303135572</v>
      </c>
      <c r="G108" s="49">
        <f t="shared" si="31"/>
        <v>5.7052554971064176</v>
      </c>
      <c r="H108" s="49">
        <f t="shared" si="31"/>
        <v>5.6472538092234528</v>
      </c>
      <c r="I108" s="49">
        <f t="shared" si="31"/>
        <v>5.5901855406411105</v>
      </c>
      <c r="J108" s="49">
        <f t="shared" si="31"/>
        <v>5.5506012085546841</v>
      </c>
      <c r="K108" s="49">
        <f t="shared" si="31"/>
        <v>5.5162688022594049</v>
      </c>
      <c r="L108" s="50">
        <f t="shared" si="31"/>
        <v>5.4913027938585524</v>
      </c>
      <c r="M108" s="32"/>
    </row>
    <row r="109" spans="1:13" ht="30">
      <c r="A109" s="198" t="s">
        <v>350</v>
      </c>
      <c r="B109" s="220">
        <f>B105+B106+B107</f>
        <v>0</v>
      </c>
      <c r="C109" s="199">
        <f t="shared" ref="C109:L109" si="32">C105+C106+C107</f>
        <v>1.3362963424021006</v>
      </c>
      <c r="D109" s="199">
        <f t="shared" si="32"/>
        <v>2.7075471423969746</v>
      </c>
      <c r="E109" s="199">
        <f t="shared" si="32"/>
        <v>3.1706611204166157</v>
      </c>
      <c r="F109" s="199">
        <f t="shared" si="32"/>
        <v>3.6010668846984872</v>
      </c>
      <c r="G109" s="199">
        <f t="shared" si="32"/>
        <v>3.4996788509966534</v>
      </c>
      <c r="H109" s="199">
        <f t="shared" si="32"/>
        <v>3.4339671663446332</v>
      </c>
      <c r="I109" s="199">
        <f t="shared" si="32"/>
        <v>3.3700258594786061</v>
      </c>
      <c r="J109" s="199">
        <f t="shared" si="32"/>
        <v>3.3176762917157721</v>
      </c>
      <c r="K109" s="199">
        <f t="shared" si="32"/>
        <v>3.2688319733325653</v>
      </c>
      <c r="L109" s="200">
        <f t="shared" si="32"/>
        <v>3.2257408170892203</v>
      </c>
      <c r="M109" s="32"/>
    </row>
    <row r="110" spans="1:13" ht="24.6" customHeight="1">
      <c r="A110" s="165"/>
      <c r="B110" s="215"/>
      <c r="C110" s="191"/>
      <c r="D110" s="191"/>
      <c r="E110" s="191"/>
      <c r="F110" s="191"/>
      <c r="G110" s="191"/>
      <c r="H110" s="191"/>
      <c r="I110" s="191"/>
      <c r="J110" s="191"/>
      <c r="K110" s="191"/>
      <c r="L110" s="195"/>
      <c r="M110" s="191"/>
    </row>
  </sheetData>
  <mergeCells count="5">
    <mergeCell ref="A1:L1"/>
    <mergeCell ref="M9:M10"/>
    <mergeCell ref="K4:L4"/>
    <mergeCell ref="K5:L5"/>
    <mergeCell ref="C9:L9"/>
  </mergeCells>
  <phoneticPr fontId="24" type="noConversion"/>
  <pageMargins left="0.39370078740157483" right="0.23622047244094491" top="0.43307086614173229" bottom="0.47244094488188981" header="0.31496062992125984" footer="0.31496062992125984"/>
  <pageSetup paperSize="9" scale="50" orientation="landscape" r:id="rId1"/>
  <drawing r:id="rId2"/>
  <legacyDrawing r:id="rId3"/>
</worksheet>
</file>

<file path=xl/worksheets/sheet14.xml><?xml version="1.0" encoding="utf-8"?>
<worksheet xmlns="http://schemas.openxmlformats.org/spreadsheetml/2006/main" xmlns:r="http://schemas.openxmlformats.org/officeDocument/2006/relationships">
  <sheetPr>
    <tabColor theme="3" tint="-0.249977111117893"/>
  </sheetPr>
  <dimension ref="B1:AB229"/>
  <sheetViews>
    <sheetView topLeftCell="A16" workbookViewId="0">
      <selection activeCell="J3" sqref="J3"/>
    </sheetView>
  </sheetViews>
  <sheetFormatPr defaultColWidth="9.140625" defaultRowHeight="15"/>
  <cols>
    <col min="1" max="1" width="9.140625" style="1109"/>
    <col min="2" max="2" width="35.28515625" style="1109" customWidth="1"/>
    <col min="3" max="5" width="9.5703125" style="1109" bestFit="1" customWidth="1"/>
    <col min="6" max="6" width="12" style="1109" bestFit="1" customWidth="1"/>
    <col min="7" max="7" width="9.5703125" style="1109" bestFit="1" customWidth="1"/>
    <col min="8" max="8" width="14.140625" style="1109" customWidth="1"/>
    <col min="9" max="9" width="16.85546875" style="1109" customWidth="1"/>
    <col min="10" max="18" width="9.5703125" style="1109" bestFit="1" customWidth="1"/>
    <col min="19" max="16384" width="9.140625" style="1109"/>
  </cols>
  <sheetData>
    <row r="1" spans="2:28">
      <c r="B1" s="1109" t="s">
        <v>848</v>
      </c>
    </row>
    <row r="2" spans="2:28">
      <c r="C2" s="1109">
        <v>2005</v>
      </c>
      <c r="D2" s="1109">
        <v>2006</v>
      </c>
      <c r="E2" s="1109">
        <v>2007</v>
      </c>
      <c r="F2" s="1109">
        <v>2008</v>
      </c>
      <c r="G2" s="1109">
        <v>2009</v>
      </c>
      <c r="H2" s="1109">
        <v>2010</v>
      </c>
      <c r="I2" s="1109">
        <v>2011</v>
      </c>
      <c r="J2" s="1109">
        <v>2012</v>
      </c>
      <c r="K2" s="1109">
        <v>2013</v>
      </c>
      <c r="L2" s="1109">
        <v>2014</v>
      </c>
      <c r="M2" s="1109">
        <v>2015</v>
      </c>
      <c r="N2" s="1109">
        <v>2016</v>
      </c>
      <c r="O2" s="1109">
        <v>2017</v>
      </c>
      <c r="P2" s="1109">
        <v>2018</v>
      </c>
      <c r="Q2" s="1109">
        <v>2019</v>
      </c>
      <c r="R2" s="1109">
        <v>2020</v>
      </c>
    </row>
    <row r="3" spans="2:28">
      <c r="B3" s="1109" t="s">
        <v>843</v>
      </c>
      <c r="C3" s="1112">
        <f>C179</f>
        <v>839211.27464000008</v>
      </c>
      <c r="D3" s="1112">
        <f>D179</f>
        <v>974265.00000000012</v>
      </c>
      <c r="E3" s="1112">
        <f>E179</f>
        <v>1143715.3622931701</v>
      </c>
      <c r="F3" s="1112">
        <f t="shared" ref="F3:O3" si="0">F179</f>
        <v>1485038</v>
      </c>
      <c r="G3" s="1112">
        <f t="shared" si="0"/>
        <v>1658389</v>
      </c>
      <c r="H3" s="1112">
        <f t="shared" si="0"/>
        <v>1980913.6</v>
      </c>
      <c r="I3" s="1112">
        <f t="shared" si="0"/>
        <v>2407760.6388534503</v>
      </c>
      <c r="J3" s="1112">
        <f t="shared" si="0"/>
        <v>2754323.2663225504</v>
      </c>
      <c r="K3" s="1112">
        <f t="shared" si="0"/>
        <v>3162885.0887901504</v>
      </c>
      <c r="L3" s="1112">
        <f t="shared" si="0"/>
        <v>3622238.3283556704</v>
      </c>
      <c r="M3" s="1112">
        <f t="shared" si="0"/>
        <v>4129308.0556140901</v>
      </c>
      <c r="N3" s="1112">
        <f t="shared" si="0"/>
        <v>4688104.0868955003</v>
      </c>
      <c r="O3" s="1112">
        <f t="shared" si="0"/>
        <v>5313131.1738703307</v>
      </c>
      <c r="P3" s="1112">
        <f>P179</f>
        <v>6021452.6980013102</v>
      </c>
      <c r="Q3" s="1112">
        <f>Q179</f>
        <v>6826390.1857896205</v>
      </c>
      <c r="R3" s="1112">
        <f>R179</f>
        <v>7741528.1686713807</v>
      </c>
      <c r="S3" s="1109" t="s">
        <v>842</v>
      </c>
    </row>
    <row r="4" spans="2:28">
      <c r="B4" s="1109" t="s">
        <v>844</v>
      </c>
      <c r="C4" s="1109">
        <v>393030.76799803402</v>
      </c>
      <c r="D4" s="1109">
        <v>425373.26926548703</v>
      </c>
      <c r="E4" s="1109">
        <v>461342.86026609701</v>
      </c>
      <c r="F4" s="1109">
        <v>490459.00000000006</v>
      </c>
      <c r="G4" s="1109">
        <v>516565.74906589504</v>
      </c>
      <c r="H4" s="1109">
        <v>551609</v>
      </c>
      <c r="I4" s="1109">
        <v>586132.62425459409</v>
      </c>
      <c r="J4" s="1109">
        <v>625705.58016110107</v>
      </c>
      <c r="K4" s="1109">
        <v>670913.39064121502</v>
      </c>
      <c r="L4" s="1109">
        <v>720792.57070963609</v>
      </c>
      <c r="M4" s="1109">
        <v>774815.3855890081</v>
      </c>
      <c r="N4" s="1109">
        <v>832887.16635133501</v>
      </c>
      <c r="O4" s="1109">
        <v>895311.37968486606</v>
      </c>
      <c r="P4" s="1109">
        <v>962414.23685845104</v>
      </c>
      <c r="Q4" s="1109">
        <v>1034546.3984093</v>
      </c>
      <c r="R4" s="1109">
        <v>1112084.80659566</v>
      </c>
      <c r="S4" s="1109" t="s">
        <v>845</v>
      </c>
    </row>
    <row r="5" spans="2:28">
      <c r="C5" s="1109">
        <f>C4*C10/100</f>
        <v>839211.27463999903</v>
      </c>
      <c r="D5" s="1109">
        <f t="shared" ref="D5:E5" si="1">E4/D4</f>
        <v>1.084560064300045</v>
      </c>
      <c r="E5" s="1109">
        <f t="shared" si="1"/>
        <v>1.0631117163428285</v>
      </c>
    </row>
    <row r="6" spans="2:28">
      <c r="B6" s="1109" t="s">
        <v>846</v>
      </c>
      <c r="C6" s="1109">
        <v>15854.7796740699</v>
      </c>
      <c r="D6" s="1109">
        <v>15989.1028432824</v>
      </c>
      <c r="E6" s="1109">
        <v>16083.2954161177</v>
      </c>
      <c r="F6" s="1109">
        <v>16445.275142731702</v>
      </c>
      <c r="G6" s="1109">
        <v>17799.821103896102</v>
      </c>
      <c r="H6" s="1109">
        <v>19125.537563523401</v>
      </c>
      <c r="I6" s="1109">
        <v>20307.167000000001</v>
      </c>
      <c r="J6" s="1109">
        <v>21433.079010000001</v>
      </c>
      <c r="K6" s="1109">
        <v>22076.0713803</v>
      </c>
      <c r="L6" s="1109">
        <v>22738.353521708999</v>
      </c>
      <c r="M6" s="1109">
        <v>23420.504127360298</v>
      </c>
      <c r="N6" s="1109">
        <v>24123.119251181099</v>
      </c>
      <c r="O6" s="1109">
        <v>24846.812828716498</v>
      </c>
      <c r="P6" s="1109">
        <v>25592.217213577998</v>
      </c>
      <c r="Q6" s="1109">
        <v>26359.983729985401</v>
      </c>
      <c r="R6" s="1109">
        <v>27150.783241884899</v>
      </c>
      <c r="S6" s="1109" t="s">
        <v>847</v>
      </c>
    </row>
    <row r="7" spans="2:28">
      <c r="B7" s="1181" t="str">
        <f>B183</f>
        <v>Official exchange rate</v>
      </c>
      <c r="C7" s="1181"/>
      <c r="D7" s="1181">
        <f>D183</f>
        <v>15965</v>
      </c>
      <c r="E7" s="1181">
        <f t="shared" ref="E7:R7" si="2">E183</f>
        <v>16127</v>
      </c>
      <c r="F7" s="1181">
        <f t="shared" si="2"/>
        <v>16328</v>
      </c>
      <c r="G7" s="1181">
        <f t="shared" si="2"/>
        <v>17500</v>
      </c>
      <c r="H7" s="1181">
        <f t="shared" si="2"/>
        <v>18000</v>
      </c>
      <c r="I7" s="1181">
        <f t="shared" si="2"/>
        <v>19494</v>
      </c>
      <c r="J7" s="1181">
        <f t="shared" si="2"/>
        <v>20078.82</v>
      </c>
      <c r="K7" s="1181">
        <f t="shared" si="2"/>
        <v>20681.184600000001</v>
      </c>
      <c r="L7" s="1181">
        <f t="shared" si="2"/>
        <v>21301.620138000002</v>
      </c>
      <c r="M7" s="1181">
        <f t="shared" si="2"/>
        <v>21940.668742139966</v>
      </c>
      <c r="N7" s="1181">
        <f t="shared" si="2"/>
        <v>22598.888804404189</v>
      </c>
      <c r="O7" s="1181">
        <f t="shared" si="2"/>
        <v>23276.855468536323</v>
      </c>
      <c r="P7" s="1181">
        <f t="shared" si="2"/>
        <v>23975.16113259241</v>
      </c>
      <c r="Q7" s="1181">
        <f t="shared" si="2"/>
        <v>24694.415966570203</v>
      </c>
      <c r="R7" s="1181">
        <f t="shared" si="2"/>
        <v>25435.248445567271</v>
      </c>
    </row>
    <row r="8" spans="2:28">
      <c r="B8" s="1181"/>
      <c r="C8" s="1181"/>
      <c r="D8" s="1181"/>
      <c r="E8" s="1181"/>
      <c r="F8" s="1181"/>
      <c r="G8" s="1181"/>
      <c r="H8" s="1181"/>
      <c r="I8" s="1181"/>
      <c r="J8" s="1181"/>
      <c r="K8" s="1181"/>
      <c r="L8" s="1181"/>
      <c r="M8" s="1181"/>
      <c r="N8" s="1181"/>
      <c r="O8" s="1181"/>
      <c r="P8" s="1181"/>
      <c r="Q8" s="1181"/>
      <c r="R8" s="1181"/>
    </row>
    <row r="9" spans="2:28">
      <c r="B9" s="1110" t="s">
        <v>849</v>
      </c>
      <c r="C9" s="1111">
        <v>8.4417477724298671</v>
      </c>
      <c r="D9" s="1111">
        <v>8.2289998394260024</v>
      </c>
      <c r="E9" s="1111">
        <v>8.4560064300045141</v>
      </c>
      <c r="F9" s="1111">
        <v>6.3111716342828332</v>
      </c>
      <c r="G9" s="1111">
        <v>5.3229218071021229</v>
      </c>
      <c r="H9" s="1111">
        <v>6.7838897560424121</v>
      </c>
      <c r="I9" s="1111">
        <v>6.2587130113167122</v>
      </c>
      <c r="J9" s="1111">
        <v>6.7515361317472058</v>
      </c>
      <c r="K9" s="1111">
        <v>7.2250930650920999</v>
      </c>
      <c r="L9" s="1111">
        <v>7.4345184884072362</v>
      </c>
      <c r="M9" s="1111">
        <v>7.4949183821616474</v>
      </c>
      <c r="N9" s="1111">
        <v>7.4949183821616208</v>
      </c>
      <c r="O9" s="1111">
        <v>7.4949183821615915</v>
      </c>
      <c r="P9" s="1111">
        <v>7.4949183821615266</v>
      </c>
      <c r="Q9" s="1111">
        <v>7.4949183821620853</v>
      </c>
      <c r="R9" s="1111">
        <v>7.4949183821606908</v>
      </c>
      <c r="S9" s="1109" t="s">
        <v>852</v>
      </c>
    </row>
    <row r="10" spans="2:28">
      <c r="B10" s="1110" t="s">
        <v>850</v>
      </c>
      <c r="C10" s="1111">
        <v>213.52304780479599</v>
      </c>
      <c r="D10" s="1111">
        <v>229.03766418663599</v>
      </c>
      <c r="E10" s="1111">
        <v>247.91006013043901</v>
      </c>
      <c r="F10" s="1111">
        <v>302.78535004964698</v>
      </c>
      <c r="G10" s="1111">
        <v>321.04122330968801</v>
      </c>
      <c r="H10" s="1111">
        <v>359.11553292277699</v>
      </c>
      <c r="I10" s="1111">
        <v>410.787685110599</v>
      </c>
      <c r="J10" s="1111">
        <v>440.194774291991</v>
      </c>
      <c r="K10" s="1111">
        <v>471.42971550579307</v>
      </c>
      <c r="L10" s="1111">
        <v>502.53546936388301</v>
      </c>
      <c r="M10" s="1111">
        <v>532.94089565284401</v>
      </c>
      <c r="N10" s="1111">
        <v>562.87385330150812</v>
      </c>
      <c r="O10" s="1111">
        <v>593.43947753020416</v>
      </c>
      <c r="P10" s="1111">
        <v>625.66122438678406</v>
      </c>
      <c r="Q10" s="1111">
        <v>659.84379205087214</v>
      </c>
      <c r="R10" s="1111">
        <v>696.12750059682014</v>
      </c>
      <c r="S10" s="1109" t="s">
        <v>853</v>
      </c>
    </row>
    <row r="11" spans="2:28">
      <c r="B11" s="1110" t="s">
        <v>205</v>
      </c>
      <c r="C11" s="1111">
        <v>8.1888102959630995</v>
      </c>
      <c r="D11" s="1111">
        <v>7.2660148594467175</v>
      </c>
      <c r="E11" s="1111">
        <v>8.2398657054171025</v>
      </c>
      <c r="F11" s="1111">
        <v>22.135160586196097</v>
      </c>
      <c r="G11" s="1111">
        <v>6.0293119389850416</v>
      </c>
      <c r="H11" s="1111">
        <v>11.859632610595035</v>
      </c>
      <c r="I11" s="1111">
        <v>14.388726593715296</v>
      </c>
      <c r="J11" s="1111">
        <v>7.1587075872234358</v>
      </c>
      <c r="K11" s="1111">
        <v>7.0957092264532946</v>
      </c>
      <c r="L11" s="1111">
        <v>6.5981741996719192</v>
      </c>
      <c r="M11" s="1111">
        <v>6.0504040296794663</v>
      </c>
      <c r="N11" s="1111">
        <v>5.6165623416826875</v>
      </c>
      <c r="O11" s="1111">
        <v>5.4302796353774347</v>
      </c>
      <c r="P11" s="1111">
        <v>5.4296601551823755</v>
      </c>
      <c r="Q11" s="1111">
        <v>5.4634307404283593</v>
      </c>
      <c r="R11" s="1111">
        <v>5.4988330545891726</v>
      </c>
      <c r="S11" s="1109" t="s">
        <v>854</v>
      </c>
    </row>
    <row r="12" spans="2:28">
      <c r="B12" s="1110" t="s">
        <v>851</v>
      </c>
      <c r="C12" s="1111">
        <f>C176</f>
        <v>8.3944751235788964</v>
      </c>
      <c r="D12" s="1111">
        <f t="shared" ref="D12:R12" si="3">D176</f>
        <v>7.5028969346508729</v>
      </c>
      <c r="E12" s="1111">
        <f t="shared" si="3"/>
        <v>8.3488642397705739</v>
      </c>
      <c r="F12" s="1111">
        <f t="shared" si="3"/>
        <v>23.115448347447366</v>
      </c>
      <c r="G12" s="1111">
        <f t="shared" si="3"/>
        <v>6.7169826998865538</v>
      </c>
      <c r="H12" s="1111">
        <f t="shared" si="3"/>
        <v>9.207466487783817</v>
      </c>
      <c r="I12" s="1111">
        <f t="shared" si="3"/>
        <v>13.463928114239899</v>
      </c>
      <c r="J12" s="1111">
        <f>J176</f>
        <v>6.6910495877470515</v>
      </c>
      <c r="K12" s="1111">
        <f t="shared" si="3"/>
        <v>5.9999999999998481</v>
      </c>
      <c r="L12" s="1111">
        <f t="shared" si="3"/>
        <v>5.4999999999999929</v>
      </c>
      <c r="M12" s="1111">
        <f t="shared" si="3"/>
        <v>5.2500000000002327</v>
      </c>
      <c r="N12" s="1111">
        <f t="shared" si="3"/>
        <v>4.999999999999968</v>
      </c>
      <c r="O12" s="1111">
        <f t="shared" si="3"/>
        <v>4.9999999999999156</v>
      </c>
      <c r="P12" s="1111">
        <f>P176</f>
        <v>4.9999999999999947</v>
      </c>
      <c r="Q12" s="1111">
        <f t="shared" si="3"/>
        <v>5.0000000000002194</v>
      </c>
      <c r="R12" s="1111">
        <f t="shared" si="3"/>
        <v>4.9999999999999174</v>
      </c>
      <c r="S12" s="1109" t="s">
        <v>855</v>
      </c>
    </row>
    <row r="15" spans="2:28">
      <c r="B15" s="1110" t="s">
        <v>856</v>
      </c>
    </row>
    <row r="16" spans="2:28">
      <c r="B16" s="1113"/>
      <c r="C16" s="1113">
        <v>2005</v>
      </c>
      <c r="D16" s="1113">
        <v>2006</v>
      </c>
      <c r="E16" s="1113">
        <v>2007</v>
      </c>
      <c r="F16" s="1113">
        <v>2008</v>
      </c>
      <c r="G16" s="1114">
        <v>2009</v>
      </c>
      <c r="H16" s="1114">
        <v>2010</v>
      </c>
      <c r="I16" s="1114">
        <v>2011</v>
      </c>
      <c r="J16" s="1114">
        <v>2012</v>
      </c>
      <c r="K16" s="1114">
        <v>2013</v>
      </c>
      <c r="L16" s="1114">
        <v>2014</v>
      </c>
      <c r="M16" s="1114">
        <v>2015</v>
      </c>
      <c r="N16" s="1114">
        <v>2016</v>
      </c>
      <c r="O16" s="1114">
        <v>2017</v>
      </c>
      <c r="P16" s="1114">
        <v>2018</v>
      </c>
      <c r="Q16" s="1114">
        <v>2019</v>
      </c>
      <c r="R16" s="1114">
        <v>2020</v>
      </c>
      <c r="S16" s="1114">
        <v>2021</v>
      </c>
      <c r="T16" s="1114">
        <v>2022</v>
      </c>
      <c r="U16" s="1114">
        <v>2023</v>
      </c>
      <c r="V16" s="1114">
        <v>2024</v>
      </c>
      <c r="W16" s="1114">
        <v>2025</v>
      </c>
      <c r="X16" s="1114">
        <v>2026</v>
      </c>
      <c r="Y16" s="1114">
        <v>2027</v>
      </c>
      <c r="Z16" s="1114">
        <v>2028</v>
      </c>
      <c r="AA16" s="1114">
        <v>2029</v>
      </c>
      <c r="AB16" s="1114">
        <v>2030</v>
      </c>
    </row>
    <row r="17" spans="2:28">
      <c r="B17" s="1115"/>
      <c r="C17" s="1116"/>
      <c r="D17" s="1116"/>
      <c r="E17" s="1116"/>
      <c r="F17" s="1117"/>
      <c r="G17" s="1117"/>
      <c r="H17" s="1117"/>
      <c r="I17" s="1117"/>
      <c r="J17" s="1118"/>
      <c r="K17" s="1118"/>
      <c r="L17" s="1118"/>
      <c r="M17" s="1118"/>
      <c r="N17" s="1119"/>
      <c r="O17" s="1119">
        <v>0.95</v>
      </c>
      <c r="P17" s="1119">
        <v>0.8899999999999999</v>
      </c>
      <c r="Q17" s="1119">
        <v>0.81999999999999984</v>
      </c>
      <c r="R17" s="1119">
        <v>0.74999999999999978</v>
      </c>
      <c r="S17" s="1119">
        <v>0.67999999999999972</v>
      </c>
      <c r="T17" s="1119">
        <v>0.60999999999999965</v>
      </c>
      <c r="U17" s="1119">
        <v>0.53999999999999959</v>
      </c>
      <c r="V17" s="1119">
        <v>0.46999999999999958</v>
      </c>
      <c r="W17" s="1119">
        <v>0.39999999999999958</v>
      </c>
      <c r="X17" s="1119">
        <v>0.32999999999999957</v>
      </c>
      <c r="Y17" s="1119">
        <v>0.25999999999999956</v>
      </c>
      <c r="Z17" s="1119">
        <v>0.18999999999999956</v>
      </c>
      <c r="AA17" s="1119">
        <v>0.11999999999999955</v>
      </c>
      <c r="AB17" s="1119">
        <v>4.9999999999999545E-2</v>
      </c>
    </row>
    <row r="18" spans="2:28">
      <c r="B18" s="1120" t="s">
        <v>857</v>
      </c>
      <c r="C18" s="1121"/>
      <c r="D18" s="1121"/>
      <c r="E18" s="1121"/>
      <c r="F18" s="1121"/>
      <c r="G18" s="1121"/>
      <c r="H18" s="1121"/>
      <c r="I18" s="1121"/>
      <c r="J18" s="1122"/>
      <c r="K18" s="1122"/>
      <c r="L18" s="1122"/>
      <c r="M18" s="1122"/>
      <c r="N18" s="1123">
        <v>1</v>
      </c>
      <c r="O18" s="1123">
        <v>2</v>
      </c>
      <c r="P18" s="1123">
        <v>3</v>
      </c>
      <c r="Q18" s="1123">
        <v>4</v>
      </c>
      <c r="R18" s="1123">
        <v>5</v>
      </c>
      <c r="S18" s="1123">
        <v>6</v>
      </c>
      <c r="T18" s="1123">
        <v>7</v>
      </c>
      <c r="U18" s="1123">
        <v>8</v>
      </c>
      <c r="V18" s="1123">
        <v>9</v>
      </c>
      <c r="W18" s="1123">
        <v>10</v>
      </c>
      <c r="X18" s="1123">
        <v>11</v>
      </c>
      <c r="Y18" s="1123">
        <v>12</v>
      </c>
      <c r="Z18" s="1123">
        <v>13</v>
      </c>
      <c r="AA18" s="1123">
        <v>14</v>
      </c>
      <c r="AB18" s="1123">
        <v>15</v>
      </c>
    </row>
    <row r="19" spans="2:28">
      <c r="B19" s="1124"/>
      <c r="C19" s="1126"/>
      <c r="D19" s="1126"/>
      <c r="E19" s="1126"/>
      <c r="F19" s="1126"/>
      <c r="G19" s="1126"/>
      <c r="H19" s="1126"/>
      <c r="I19" s="1126"/>
      <c r="J19" s="1127"/>
      <c r="K19" s="1122"/>
      <c r="L19" s="1122"/>
      <c r="M19" s="1122"/>
      <c r="N19" s="1123">
        <v>2.4500000000000001E-2</v>
      </c>
      <c r="O19" s="1123">
        <v>4.6550000000000001E-2</v>
      </c>
      <c r="P19" s="1123">
        <v>6.5415000000000001E-2</v>
      </c>
      <c r="Q19" s="1123">
        <v>8.0359999999999987E-2</v>
      </c>
      <c r="R19" s="1123">
        <v>9.1874999999999971E-2</v>
      </c>
      <c r="S19" s="1123">
        <v>9.9959999999999966E-2</v>
      </c>
      <c r="T19" s="1123">
        <v>0.10461499999999994</v>
      </c>
      <c r="U19" s="1123">
        <v>0.10583999999999992</v>
      </c>
      <c r="V19" s="1123">
        <v>0.10363499999999991</v>
      </c>
      <c r="W19" s="1123">
        <v>9.7999999999999893E-2</v>
      </c>
      <c r="X19" s="1123">
        <v>8.8934999999999889E-2</v>
      </c>
      <c r="Y19" s="1123">
        <v>7.6439999999999883E-2</v>
      </c>
      <c r="Z19" s="1123">
        <v>6.0514999999999861E-2</v>
      </c>
      <c r="AA19" s="1123">
        <v>4.1159999999999849E-2</v>
      </c>
      <c r="AB19" s="1123">
        <v>1.8374999999999832E-2</v>
      </c>
    </row>
    <row r="20" spans="2:28">
      <c r="B20" s="1124" t="s">
        <v>858</v>
      </c>
      <c r="C20" s="1125">
        <v>228289</v>
      </c>
      <c r="D20" s="1125">
        <v>279472</v>
      </c>
      <c r="E20" s="1125">
        <v>327910.60000000003</v>
      </c>
      <c r="F20" s="1125">
        <v>430535</v>
      </c>
      <c r="G20" s="1125">
        <v>442341</v>
      </c>
      <c r="H20" s="1125">
        <v>557986.68145034462</v>
      </c>
      <c r="I20" s="1125">
        <v>669005.20687984279</v>
      </c>
      <c r="J20" s="1125">
        <v>773892.53863292478</v>
      </c>
      <c r="K20" s="1125">
        <v>889647.5186807951</v>
      </c>
      <c r="L20" s="1125">
        <v>1023344.1577558946</v>
      </c>
      <c r="M20" s="1125">
        <v>1175398.8332093288</v>
      </c>
      <c r="N20" s="1125">
        <v>1332120.7280891363</v>
      </c>
      <c r="O20" s="1125">
        <v>1500755.6114114083</v>
      </c>
      <c r="P20" s="1125">
        <v>1693975.9480717641</v>
      </c>
      <c r="Q20" s="1125">
        <v>1911250.1531182036</v>
      </c>
      <c r="R20" s="1125">
        <v>2156631.7200761661</v>
      </c>
      <c r="S20" s="1125">
        <v>2432887.5092339492</v>
      </c>
      <c r="T20" s="1125">
        <v>2747044.3325739126</v>
      </c>
      <c r="U20" s="1125">
        <v>3102770.9976794715</v>
      </c>
      <c r="V20" s="1125">
        <v>3481500.9882695107</v>
      </c>
      <c r="W20" s="1125">
        <v>3916985.6234778035</v>
      </c>
      <c r="X20" s="1125">
        <v>4388789.1436000383</v>
      </c>
      <c r="Y20" s="1125">
        <v>4921352.3074356066</v>
      </c>
      <c r="Z20" s="1125">
        <v>5515313.1846237481</v>
      </c>
      <c r="AA20" s="1125">
        <v>6179825.7168594813</v>
      </c>
      <c r="AB20" s="1125">
        <v>6929190.1606837036</v>
      </c>
    </row>
    <row r="21" spans="2:28">
      <c r="B21" s="1128" t="s">
        <v>859</v>
      </c>
      <c r="C21" s="1125">
        <v>224500</v>
      </c>
      <c r="D21" s="1125">
        <v>271575</v>
      </c>
      <c r="E21" s="1125">
        <v>321898.60000000003</v>
      </c>
      <c r="F21" s="1125">
        <v>421135</v>
      </c>
      <c r="G21" s="1125">
        <v>435821</v>
      </c>
      <c r="H21" s="1125">
        <v>552486.68145034462</v>
      </c>
      <c r="I21" s="1125">
        <v>664005.20687984279</v>
      </c>
      <c r="J21" s="1125">
        <v>768287.25387695862</v>
      </c>
      <c r="K21" s="1125">
        <v>883468.24520253367</v>
      </c>
      <c r="L21" s="1125">
        <v>1016692.056092493</v>
      </c>
      <c r="M21" s="1125">
        <v>1168422.1827143063</v>
      </c>
      <c r="N21" s="1125">
        <v>1324992.0428633683</v>
      </c>
      <c r="O21" s="1125">
        <v>1493484.4256399898</v>
      </c>
      <c r="P21" s="1125">
        <v>1686559.456783789</v>
      </c>
      <c r="Q21" s="1125">
        <v>1903683.0294866869</v>
      </c>
      <c r="R21" s="1125">
        <v>2148908.3129401314</v>
      </c>
      <c r="S21" s="1125">
        <v>2425006.6493644821</v>
      </c>
      <c r="T21" s="1125">
        <v>2738999.9587121583</v>
      </c>
      <c r="U21" s="1125">
        <v>3094563.4481528262</v>
      </c>
      <c r="V21" s="1125">
        <v>3473193.2960442472</v>
      </c>
      <c r="W21" s="1125">
        <v>3908563.5577289378</v>
      </c>
      <c r="X21" s="1125">
        <v>4380295.5759835457</v>
      </c>
      <c r="Y21" s="1125">
        <v>4912788.342938114</v>
      </c>
      <c r="Z21" s="1125">
        <v>5506692.062931587</v>
      </c>
      <c r="AA21" s="1125">
        <v>6171157.1722218394</v>
      </c>
      <c r="AB21" s="1125">
        <v>6920476.2215716708</v>
      </c>
    </row>
    <row r="22" spans="2:28">
      <c r="B22" s="1129" t="s">
        <v>321</v>
      </c>
      <c r="C22" s="1130">
        <v>66558</v>
      </c>
      <c r="D22" s="1130">
        <v>83346</v>
      </c>
      <c r="E22" s="1130">
        <v>78634</v>
      </c>
      <c r="F22" s="1130">
        <v>89603</v>
      </c>
      <c r="G22" s="1130">
        <v>60500</v>
      </c>
      <c r="H22" s="1130">
        <v>69119.590232974515</v>
      </c>
      <c r="I22" s="1130">
        <v>82815.676567301125</v>
      </c>
      <c r="J22" s="1127">
        <v>93309.404982358756</v>
      </c>
      <c r="K22" s="1127">
        <v>98578.146453966838</v>
      </c>
      <c r="L22" s="1127">
        <v>105601.72259006024</v>
      </c>
      <c r="M22" s="1127">
        <v>114754.71400019887</v>
      </c>
      <c r="N22" s="1127">
        <v>127091.8702495028</v>
      </c>
      <c r="O22" s="1127">
        <v>137331.12776072239</v>
      </c>
      <c r="P22" s="1127">
        <v>145458.30876349373</v>
      </c>
      <c r="Q22" s="1127">
        <v>151651.32728108982</v>
      </c>
      <c r="R22" s="1127">
        <v>156180.72605774866</v>
      </c>
      <c r="S22" s="1127">
        <v>159371.7770696673</v>
      </c>
      <c r="T22" s="1127">
        <v>161844.28236115244</v>
      </c>
      <c r="U22" s="1127">
        <v>164055.71184182994</v>
      </c>
      <c r="V22" s="1127">
        <v>165386.71589011082</v>
      </c>
      <c r="W22" s="1127">
        <v>168036.2109954055</v>
      </c>
      <c r="X22" s="1127">
        <v>171546.26017757581</v>
      </c>
      <c r="Y22" s="1127">
        <v>177495.99982358227</v>
      </c>
      <c r="Z22" s="1127">
        <v>186519.75150376768</v>
      </c>
      <c r="AA22" s="1127">
        <v>199807.08154832979</v>
      </c>
      <c r="AB22" s="1127">
        <v>219069.6974982924</v>
      </c>
    </row>
    <row r="23" spans="2:28">
      <c r="B23" s="1131" t="s">
        <v>860</v>
      </c>
      <c r="C23" s="1132">
        <v>45322</v>
      </c>
      <c r="D23" s="1132">
        <v>56726</v>
      </c>
      <c r="E23" s="1132">
        <v>57173.4</v>
      </c>
      <c r="F23" s="1125">
        <v>65102.999999999993</v>
      </c>
      <c r="G23" s="1125">
        <v>45203</v>
      </c>
      <c r="H23" s="1125">
        <v>48644.937873933966</v>
      </c>
      <c r="I23" s="1125">
        <v>58615.125558467371</v>
      </c>
      <c r="J23" s="1127">
        <v>66042.357142154302</v>
      </c>
      <c r="K23" s="1127">
        <v>69771.457183285267</v>
      </c>
      <c r="L23" s="1127">
        <v>74742.59083999104</v>
      </c>
      <c r="M23" s="1127">
        <v>81220.878079543487</v>
      </c>
      <c r="N23" s="1133">
        <v>89952.847587752593</v>
      </c>
      <c r="O23" s="1133">
        <v>97199.970228329912</v>
      </c>
      <c r="P23" s="1133">
        <v>102952.21128533197</v>
      </c>
      <c r="Q23" s="1133">
        <v>107335.49441530566</v>
      </c>
      <c r="R23" s="1133">
        <v>110541.30385867201</v>
      </c>
      <c r="S23" s="1133">
        <v>112799.86000987462</v>
      </c>
      <c r="T23" s="1133">
        <v>114549.84520726175</v>
      </c>
      <c r="U23" s="1133">
        <v>116115.04665276667</v>
      </c>
      <c r="V23" s="1133">
        <v>117057.10222295104</v>
      </c>
      <c r="W23" s="1133">
        <v>118932.35694162962</v>
      </c>
      <c r="X23" s="1133">
        <v>121416.69302457052</v>
      </c>
      <c r="Y23" s="1133">
        <v>125627.78868720691</v>
      </c>
      <c r="Z23" s="1133">
        <v>132014.6028710246</v>
      </c>
      <c r="AA23" s="1133">
        <v>141419.0846211178</v>
      </c>
      <c r="AB23" s="1133">
        <v>155052.74311781602</v>
      </c>
    </row>
    <row r="24" spans="2:28">
      <c r="B24" s="1134" t="s">
        <v>861</v>
      </c>
      <c r="C24" s="1132">
        <v>21236</v>
      </c>
      <c r="D24" s="1132">
        <v>26620</v>
      </c>
      <c r="E24" s="1132">
        <v>21460.6</v>
      </c>
      <c r="F24" s="1125">
        <v>24500</v>
      </c>
      <c r="G24" s="1125">
        <v>15297</v>
      </c>
      <c r="H24" s="1125">
        <v>20474.652359040549</v>
      </c>
      <c r="I24" s="1125">
        <v>24200.551008833751</v>
      </c>
      <c r="J24" s="1127">
        <v>27267.047840204457</v>
      </c>
      <c r="K24" s="1127">
        <v>28806.689270681567</v>
      </c>
      <c r="L24" s="1127">
        <v>30859.131750069198</v>
      </c>
      <c r="M24" s="1127">
        <v>33533.83592065538</v>
      </c>
      <c r="N24" s="1133">
        <v>37139.022661750212</v>
      </c>
      <c r="O24" s="1133">
        <v>40131.157532392484</v>
      </c>
      <c r="P24" s="1133">
        <v>42506.097478161762</v>
      </c>
      <c r="Q24" s="1133">
        <v>44315.832865784163</v>
      </c>
      <c r="R24" s="1133">
        <v>45639.42219907666</v>
      </c>
      <c r="S24" s="1133">
        <v>46571.917059792664</v>
      </c>
      <c r="T24" s="1133">
        <v>47294.437153890685</v>
      </c>
      <c r="U24" s="1133">
        <v>47940.665189063264</v>
      </c>
      <c r="V24" s="1133">
        <v>48329.613667159792</v>
      </c>
      <c r="W24" s="1133">
        <v>49103.854053775867</v>
      </c>
      <c r="X24" s="1133">
        <v>50129.5671530053</v>
      </c>
      <c r="Y24" s="1133">
        <v>51868.211136375372</v>
      </c>
      <c r="Z24" s="1133">
        <v>54505.148632743061</v>
      </c>
      <c r="AA24" s="1133">
        <v>58387.996927211978</v>
      </c>
      <c r="AB24" s="1133">
        <v>64016.954380476389</v>
      </c>
    </row>
    <row r="25" spans="2:28">
      <c r="B25" s="1135" t="s">
        <v>322</v>
      </c>
      <c r="C25" s="1136">
        <v>157942</v>
      </c>
      <c r="D25" s="1136">
        <v>188229</v>
      </c>
      <c r="E25" s="1136">
        <v>243264.60000000003</v>
      </c>
      <c r="F25" s="1136">
        <v>331532</v>
      </c>
      <c r="G25" s="1136">
        <v>375321</v>
      </c>
      <c r="H25" s="1136">
        <v>483367.09121737012</v>
      </c>
      <c r="I25" s="1136">
        <v>581189.53031254164</v>
      </c>
      <c r="J25" s="1136">
        <v>674977.84889459983</v>
      </c>
      <c r="K25" s="1136">
        <v>784890.09874856682</v>
      </c>
      <c r="L25" s="1136">
        <v>911090.3335024328</v>
      </c>
      <c r="M25" s="1136">
        <v>1053667.4687141075</v>
      </c>
      <c r="N25" s="1136">
        <v>1197900.1726138655</v>
      </c>
      <c r="O25" s="1136">
        <v>1356153.2978792675</v>
      </c>
      <c r="P25" s="1136">
        <v>1541101.1480202952</v>
      </c>
      <c r="Q25" s="1136">
        <v>1752031.7022055972</v>
      </c>
      <c r="R25" s="1136">
        <v>1992727.5868823826</v>
      </c>
      <c r="S25" s="1136">
        <v>2265634.8722948148</v>
      </c>
      <c r="T25" s="1136">
        <v>2577155.6763510057</v>
      </c>
      <c r="U25" s="1136">
        <v>2930507.7363109961</v>
      </c>
      <c r="V25" s="1136">
        <v>3307806.5801541363</v>
      </c>
      <c r="W25" s="1136">
        <v>3740527.3467335324</v>
      </c>
      <c r="X25" s="1136">
        <v>4208749.3158059698</v>
      </c>
      <c r="Y25" s="1136">
        <v>4735292.3431145316</v>
      </c>
      <c r="Z25" s="1136">
        <v>5320172.3114278195</v>
      </c>
      <c r="AA25" s="1136">
        <v>5971350.09067351</v>
      </c>
      <c r="AB25" s="1136">
        <v>6701406.5240733782</v>
      </c>
    </row>
    <row r="26" spans="2:28">
      <c r="B26" s="1134" t="s">
        <v>862</v>
      </c>
      <c r="C26" s="1136">
        <v>4234</v>
      </c>
      <c r="D26" s="1136">
        <v>5179</v>
      </c>
      <c r="E26" s="1136">
        <v>7415</v>
      </c>
      <c r="F26" s="1136">
        <v>12940</v>
      </c>
      <c r="G26" s="1136">
        <v>14329</v>
      </c>
      <c r="H26" s="1136">
        <v>20981.592539059948</v>
      </c>
      <c r="I26" s="1136">
        <v>26867.056947686229</v>
      </c>
      <c r="J26" s="1127">
        <v>31817.754134112489</v>
      </c>
      <c r="K26" s="1127">
        <v>37859.886611594688</v>
      </c>
      <c r="L26" s="1127">
        <v>44899.041621342505</v>
      </c>
      <c r="M26" s="1127">
        <v>52945.515076034171</v>
      </c>
      <c r="N26" s="1137">
        <v>60110.333805994036</v>
      </c>
      <c r="O26" s="1137">
        <v>68124.359548482331</v>
      </c>
      <c r="P26" s="1137">
        <v>77206.377026826915</v>
      </c>
      <c r="Q26" s="1137">
        <v>87527.193328487687</v>
      </c>
      <c r="R26" s="1137">
        <v>99260.987760085787</v>
      </c>
      <c r="S26" s="1137">
        <v>112538.40598009159</v>
      </c>
      <c r="T26" s="1137">
        <v>127637.08902955223</v>
      </c>
      <c r="U26" s="1137">
        <v>144695.70736987534</v>
      </c>
      <c r="V26" s="1137">
        <v>162734.64641618493</v>
      </c>
      <c r="W26" s="1137">
        <v>183305.60462288524</v>
      </c>
      <c r="X26" s="1137">
        <v>205402.04133227855</v>
      </c>
      <c r="Y26" s="1137">
        <v>230116.07386100024</v>
      </c>
      <c r="Z26" s="1137">
        <v>257391.00372378353</v>
      </c>
      <c r="AA26" s="1137">
        <v>287563.17394750379</v>
      </c>
      <c r="AB26" s="1137">
        <v>321187.83658335707</v>
      </c>
    </row>
    <row r="27" spans="2:28">
      <c r="B27" s="1134" t="s">
        <v>860</v>
      </c>
      <c r="C27" s="1136">
        <v>30525</v>
      </c>
      <c r="D27" s="1136">
        <v>43070</v>
      </c>
      <c r="E27" s="1136">
        <v>47378.200000000004</v>
      </c>
      <c r="F27" s="1136">
        <v>72136</v>
      </c>
      <c r="G27" s="1136">
        <v>66869</v>
      </c>
      <c r="H27" s="1136">
        <v>93258.801965155915</v>
      </c>
      <c r="I27" s="1136">
        <v>106997.55448491154</v>
      </c>
      <c r="J27" s="1127">
        <v>126713.61393177851</v>
      </c>
      <c r="K27" s="1127">
        <v>150776.29412124865</v>
      </c>
      <c r="L27" s="1127">
        <v>178809.59799780493</v>
      </c>
      <c r="M27" s="1127">
        <v>210854.528842153</v>
      </c>
      <c r="N27" s="1137">
        <v>239388.28614672506</v>
      </c>
      <c r="O27" s="1137">
        <v>271303.99458084966</v>
      </c>
      <c r="P27" s="1137">
        <v>307472.96023511648</v>
      </c>
      <c r="Q27" s="1137">
        <v>348575.41915780149</v>
      </c>
      <c r="R27" s="1137">
        <v>395305.03719725669</v>
      </c>
      <c r="S27" s="1137">
        <v>448182.10825793253</v>
      </c>
      <c r="T27" s="1137">
        <v>508312.33262082847</v>
      </c>
      <c r="U27" s="1137">
        <v>576247.96281880676</v>
      </c>
      <c r="V27" s="1137">
        <v>648087.70199141942</v>
      </c>
      <c r="W27" s="1137">
        <v>730011.16036700481</v>
      </c>
      <c r="X27" s="1137">
        <v>818009.80850100971</v>
      </c>
      <c r="Y27" s="1137">
        <v>916432.98329021956</v>
      </c>
      <c r="Z27" s="1137">
        <v>1025054.8840718244</v>
      </c>
      <c r="AA27" s="1137">
        <v>1145214.9906933485</v>
      </c>
      <c r="AB27" s="1137">
        <v>1279124.5841192976</v>
      </c>
    </row>
    <row r="28" spans="2:28">
      <c r="B28" s="1134" t="s">
        <v>863</v>
      </c>
      <c r="C28" s="1136">
        <v>15716</v>
      </c>
      <c r="D28" s="1136">
        <v>17195</v>
      </c>
      <c r="E28" s="1136">
        <v>17365</v>
      </c>
      <c r="F28" s="1136">
        <v>22123</v>
      </c>
      <c r="G28" s="1136">
        <v>29058</v>
      </c>
      <c r="H28" s="1136">
        <v>38575.437399058945</v>
      </c>
      <c r="I28" s="1136">
        <v>50087.301552738187</v>
      </c>
      <c r="J28" s="1127">
        <v>59529.05035837079</v>
      </c>
      <c r="K28" s="1127">
        <v>71093.586455905097</v>
      </c>
      <c r="L28" s="1127">
        <v>84615.874523975042</v>
      </c>
      <c r="M28" s="1127">
        <v>100128.98549455195</v>
      </c>
      <c r="N28" s="1137">
        <v>113678.8778632066</v>
      </c>
      <c r="O28" s="1137">
        <v>128834.76531033429</v>
      </c>
      <c r="P28" s="1137">
        <v>146010.40700622671</v>
      </c>
      <c r="Q28" s="1137">
        <v>165528.82824128054</v>
      </c>
      <c r="R28" s="1137">
        <v>187719.43174660666</v>
      </c>
      <c r="S28" s="1137">
        <v>212829.29071099398</v>
      </c>
      <c r="T28" s="1137">
        <v>241383.47162462168</v>
      </c>
      <c r="U28" s="1137">
        <v>273644.22394523642</v>
      </c>
      <c r="V28" s="1137">
        <v>307758.92966697994</v>
      </c>
      <c r="W28" s="1137">
        <v>346662.11481740786</v>
      </c>
      <c r="X28" s="1137">
        <v>388450.23960151477</v>
      </c>
      <c r="Y28" s="1137">
        <v>435188.68384984328</v>
      </c>
      <c r="Z28" s="1137">
        <v>486770.22107114695</v>
      </c>
      <c r="AA28" s="1137">
        <v>543830.9332076041</v>
      </c>
      <c r="AB28" s="1137">
        <v>607420.89644603035</v>
      </c>
    </row>
    <row r="29" spans="2:28">
      <c r="B29" s="1134" t="s">
        <v>776</v>
      </c>
      <c r="C29" s="1136">
        <v>45878</v>
      </c>
      <c r="D29" s="1136">
        <v>55148</v>
      </c>
      <c r="E29" s="1136">
        <v>69821.600000000006</v>
      </c>
      <c r="F29" s="1136">
        <v>91506</v>
      </c>
      <c r="G29" s="1136">
        <v>106524</v>
      </c>
      <c r="H29" s="1136">
        <v>149694.36193079012</v>
      </c>
      <c r="I29" s="1136">
        <v>188546.90183730287</v>
      </c>
      <c r="J29" s="1136">
        <v>220701.93672478996</v>
      </c>
      <c r="K29" s="1136">
        <v>260553.73860162415</v>
      </c>
      <c r="L29" s="1136">
        <v>306806.1604316447</v>
      </c>
      <c r="M29" s="1136">
        <v>359514.75425002875</v>
      </c>
      <c r="N29" s="1136">
        <v>409641.14671254368</v>
      </c>
      <c r="O29" s="1136">
        <v>465935.62570908049</v>
      </c>
      <c r="P29" s="1136">
        <v>535707.42396027094</v>
      </c>
      <c r="Q29" s="1136">
        <v>616172.28510042361</v>
      </c>
      <c r="R29" s="1136">
        <v>709015.56663914223</v>
      </c>
      <c r="S29" s="1136">
        <v>815697.25826350856</v>
      </c>
      <c r="T29" s="1136">
        <v>938834.27001147368</v>
      </c>
      <c r="U29" s="1136">
        <v>1080149.6093353592</v>
      </c>
      <c r="V29" s="1136">
        <v>1232981.6702989312</v>
      </c>
      <c r="W29" s="1136">
        <v>1409718.7019783889</v>
      </c>
      <c r="X29" s="1136">
        <v>1603515.1547311042</v>
      </c>
      <c r="Y29" s="1136">
        <v>1823719.4091565467</v>
      </c>
      <c r="Z29" s="1136">
        <v>2070990.0587286127</v>
      </c>
      <c r="AA29" s="1136">
        <v>2349210.9655479491</v>
      </c>
      <c r="AB29" s="1136">
        <v>2664293.9167969571</v>
      </c>
    </row>
    <row r="30" spans="2:28">
      <c r="B30" s="1138" t="s">
        <v>323</v>
      </c>
      <c r="C30" s="1139">
        <v>31424</v>
      </c>
      <c r="D30" s="1139">
        <v>38603</v>
      </c>
      <c r="E30" s="1139">
        <v>47859.6</v>
      </c>
      <c r="F30" s="1136">
        <v>60523</v>
      </c>
      <c r="G30" s="1136">
        <v>77900</v>
      </c>
      <c r="H30" s="1136">
        <v>98636.63661010722</v>
      </c>
      <c r="I30" s="1136">
        <v>128072.24739748043</v>
      </c>
      <c r="J30" s="1127">
        <v>152214.6138539089</v>
      </c>
      <c r="K30" s="1140">
        <v>182693.83029717969</v>
      </c>
      <c r="L30" s="1140">
        <v>218530.15140079145</v>
      </c>
      <c r="M30" s="1140">
        <v>259887.50332303109</v>
      </c>
      <c r="N30" s="1133">
        <v>296531.9003335975</v>
      </c>
      <c r="O30" s="1133">
        <v>337746.43625212839</v>
      </c>
      <c r="P30" s="1133">
        <v>390428.65792749327</v>
      </c>
      <c r="Q30" s="1133">
        <v>451472.90234533476</v>
      </c>
      <c r="R30" s="1133">
        <v>522236.77488248184</v>
      </c>
      <c r="S30" s="1133">
        <v>603934.43009191158</v>
      </c>
      <c r="T30" s="1133">
        <v>698660.34256781172</v>
      </c>
      <c r="U30" s="1133">
        <v>807876.58440593991</v>
      </c>
      <c r="V30" s="1133">
        <v>926764.88442502753</v>
      </c>
      <c r="W30" s="1133">
        <v>1064793.6702384367</v>
      </c>
      <c r="X30" s="1133">
        <v>1217011.3935845562</v>
      </c>
      <c r="Y30" s="1133">
        <v>1390711.4046076818</v>
      </c>
      <c r="Z30" s="1133">
        <v>1586658.985973622</v>
      </c>
      <c r="AA30" s="1133">
        <v>1808105.1051726311</v>
      </c>
      <c r="AB30" s="1133">
        <v>2059916.735008541</v>
      </c>
    </row>
    <row r="31" spans="2:28">
      <c r="B31" s="1138" t="s">
        <v>864</v>
      </c>
      <c r="C31" s="1139">
        <v>14454</v>
      </c>
      <c r="D31" s="1139">
        <v>16545</v>
      </c>
      <c r="E31" s="1139">
        <v>21962</v>
      </c>
      <c r="F31" s="1136">
        <v>30983</v>
      </c>
      <c r="G31" s="1136">
        <v>28624</v>
      </c>
      <c r="H31" s="1136">
        <v>51057.725320682919</v>
      </c>
      <c r="I31" s="1136">
        <v>60474.654439822443</v>
      </c>
      <c r="J31" s="1140">
        <v>68487.322870881049</v>
      </c>
      <c r="K31" s="1140">
        <v>77859.908304444441</v>
      </c>
      <c r="L31" s="1140">
        <v>88276.009030853267</v>
      </c>
      <c r="M31" s="1140">
        <v>99627.250926997644</v>
      </c>
      <c r="N31" s="1137">
        <v>113109.24637894615</v>
      </c>
      <c r="O31" s="1137">
        <v>128189.18945695207</v>
      </c>
      <c r="P31" s="1137">
        <v>145278.76603277767</v>
      </c>
      <c r="Q31" s="1137">
        <v>164699.38275508882</v>
      </c>
      <c r="R31" s="1137">
        <v>186778.79175666039</v>
      </c>
      <c r="S31" s="1137">
        <v>211762.82817159692</v>
      </c>
      <c r="T31" s="1137">
        <v>240173.92744366193</v>
      </c>
      <c r="U31" s="1137">
        <v>272273.02492941928</v>
      </c>
      <c r="V31" s="1137">
        <v>306216.78587390372</v>
      </c>
      <c r="W31" s="1137">
        <v>344925.03173995228</v>
      </c>
      <c r="X31" s="1137">
        <v>386503.76114654785</v>
      </c>
      <c r="Y31" s="1137">
        <v>433008.00454886485</v>
      </c>
      <c r="Z31" s="1137">
        <v>484331.07275499083</v>
      </c>
      <c r="AA31" s="1137">
        <v>541105.86037531786</v>
      </c>
      <c r="AB31" s="1137">
        <v>604377.18178841611</v>
      </c>
    </row>
    <row r="32" spans="2:28">
      <c r="B32" s="1134" t="s">
        <v>865</v>
      </c>
      <c r="C32" s="1136">
        <v>23660</v>
      </c>
      <c r="D32" s="1136">
        <v>26280</v>
      </c>
      <c r="E32" s="1136">
        <v>38309</v>
      </c>
      <c r="F32" s="1136">
        <v>60474</v>
      </c>
      <c r="G32" s="1136">
        <v>77040</v>
      </c>
      <c r="H32" s="1136">
        <v>77828.819766807675</v>
      </c>
      <c r="I32" s="1136">
        <v>87449.322278696491</v>
      </c>
      <c r="J32" s="1140">
        <v>99331.150897280822</v>
      </c>
      <c r="K32" s="1140">
        <v>111239.18377378794</v>
      </c>
      <c r="L32" s="1140">
        <v>124423.68320427375</v>
      </c>
      <c r="M32" s="1140">
        <v>139077.64763999637</v>
      </c>
      <c r="N32" s="1127">
        <v>158068.77265203235</v>
      </c>
      <c r="O32" s="1127">
        <v>176009.23781238735</v>
      </c>
      <c r="P32" s="1127">
        <v>195970.3984796154</v>
      </c>
      <c r="Q32" s="1127">
        <v>218233.76711454088</v>
      </c>
      <c r="R32" s="1127">
        <v>243070.5355994562</v>
      </c>
      <c r="S32" s="1127">
        <v>270097.10950572236</v>
      </c>
      <c r="T32" s="1127">
        <v>300187.93798879086</v>
      </c>
      <c r="U32" s="1127">
        <v>333383.94470260444</v>
      </c>
      <c r="V32" s="1127">
        <v>368732.43716255151</v>
      </c>
      <c r="W32" s="1127">
        <v>409052.46598990326</v>
      </c>
      <c r="X32" s="1127">
        <v>451821.32422580488</v>
      </c>
      <c r="Y32" s="1127">
        <v>499060.84691422153</v>
      </c>
      <c r="Z32" s="1127">
        <v>550722.74415118806</v>
      </c>
      <c r="AA32" s="1127">
        <v>607357.83976400457</v>
      </c>
      <c r="AB32" s="1127">
        <v>669813.98720332037</v>
      </c>
    </row>
    <row r="33" spans="2:28">
      <c r="B33" s="1134" t="s">
        <v>50</v>
      </c>
      <c r="C33" s="1136">
        <v>5154</v>
      </c>
      <c r="D33" s="1136">
        <v>6113</v>
      </c>
      <c r="E33" s="1136">
        <v>9671.1</v>
      </c>
      <c r="F33" s="1136">
        <v>14237.000000000009</v>
      </c>
      <c r="G33" s="1136">
        <v>15713.999999999998</v>
      </c>
      <c r="H33" s="1136">
        <v>18583.043709737125</v>
      </c>
      <c r="I33" s="1136">
        <v>24128.683349162093</v>
      </c>
      <c r="J33" s="1127">
        <v>28492.414425282906</v>
      </c>
      <c r="K33" s="1127">
        <v>33802.824528637531</v>
      </c>
      <c r="L33" s="1127">
        <v>39971.221256430188</v>
      </c>
      <c r="M33" s="1127">
        <v>47001.84759225489</v>
      </c>
      <c r="N33" s="1137">
        <v>53362.343235523098</v>
      </c>
      <c r="O33" s="1137">
        <v>60476.713848556261</v>
      </c>
      <c r="P33" s="1137">
        <v>68539.183365272154</v>
      </c>
      <c r="Q33" s="1137">
        <v>77701.384056712763</v>
      </c>
      <c r="R33" s="1137">
        <v>88117.941847505965</v>
      </c>
      <c r="S33" s="1137">
        <v>99904.836104727452</v>
      </c>
      <c r="T33" s="1137">
        <v>113308.53986538351</v>
      </c>
      <c r="U33" s="1137">
        <v>128452.15643450894</v>
      </c>
      <c r="V33" s="1137">
        <v>144466.04283381993</v>
      </c>
      <c r="W33" s="1137">
        <v>162727.7037331324</v>
      </c>
      <c r="X33" s="1137">
        <v>182343.59280429041</v>
      </c>
      <c r="Y33" s="1137">
        <v>204283.22619225245</v>
      </c>
      <c r="Z33" s="1137">
        <v>228496.27038794992</v>
      </c>
      <c r="AA33" s="1137">
        <v>255281.31052489619</v>
      </c>
      <c r="AB33" s="1137">
        <v>285131.26601747656</v>
      </c>
    </row>
    <row r="34" spans="2:28">
      <c r="B34" s="1134" t="s">
        <v>866</v>
      </c>
      <c r="C34" s="1136">
        <v>15459</v>
      </c>
      <c r="D34" s="1136">
        <v>17409</v>
      </c>
      <c r="E34" s="1136">
        <v>31165</v>
      </c>
      <c r="F34" s="1136">
        <v>32885</v>
      </c>
      <c r="G34" s="1136">
        <v>37643</v>
      </c>
      <c r="H34" s="1136">
        <v>48261.595553696345</v>
      </c>
      <c r="I34" s="1136">
        <v>50131.23900387968</v>
      </c>
      <c r="J34" s="1140">
        <v>56933.957511716486</v>
      </c>
      <c r="K34" s="1140">
        <v>63608.981002733097</v>
      </c>
      <c r="L34" s="1140">
        <v>70844.101721875471</v>
      </c>
      <c r="M34" s="1140">
        <v>78483.281183690851</v>
      </c>
      <c r="N34" s="1137">
        <v>89103.982147806106</v>
      </c>
      <c r="O34" s="1137">
        <v>100983.49705776206</v>
      </c>
      <c r="P34" s="1137">
        <v>114446.13936928727</v>
      </c>
      <c r="Q34" s="1137">
        <v>129745.10334546577</v>
      </c>
      <c r="R34" s="1137">
        <v>147138.58202641242</v>
      </c>
      <c r="S34" s="1137">
        <v>166820.23676256329</v>
      </c>
      <c r="T34" s="1137">
        <v>189201.6261129643</v>
      </c>
      <c r="U34" s="1137">
        <v>214488.30691843372</v>
      </c>
      <c r="V34" s="1137">
        <v>241228.15680739662</v>
      </c>
      <c r="W34" s="1137">
        <v>271721.32123947155</v>
      </c>
      <c r="X34" s="1137">
        <v>304475.76423488843</v>
      </c>
      <c r="Y34" s="1137">
        <v>341110.37552064256</v>
      </c>
      <c r="Z34" s="1137">
        <v>381541.10863584885</v>
      </c>
      <c r="AA34" s="1137">
        <v>426266.5384704583</v>
      </c>
      <c r="AB34" s="1137">
        <v>476109.73762654606</v>
      </c>
    </row>
    <row r="35" spans="2:28">
      <c r="B35" s="1134" t="s">
        <v>867</v>
      </c>
      <c r="C35" s="1136">
        <v>17316</v>
      </c>
      <c r="D35" s="1136">
        <v>17835</v>
      </c>
      <c r="E35" s="1136">
        <v>22139.7</v>
      </c>
      <c r="F35" s="1136">
        <v>25231</v>
      </c>
      <c r="G35" s="1136">
        <v>28144</v>
      </c>
      <c r="H35" s="1136">
        <v>36183.438353064092</v>
      </c>
      <c r="I35" s="1136">
        <v>46981.470858164423</v>
      </c>
      <c r="J35" s="1140">
        <v>51457.970911267912</v>
      </c>
      <c r="K35" s="1140">
        <v>55955.603653035636</v>
      </c>
      <c r="L35" s="1140">
        <v>60720.652745086256</v>
      </c>
      <c r="M35" s="1140">
        <v>65660.90863539766</v>
      </c>
      <c r="N35" s="1137">
        <v>74546.430050034527</v>
      </c>
      <c r="O35" s="1137">
        <v>84485.10401181523</v>
      </c>
      <c r="P35" s="1137">
        <v>95748.258577679488</v>
      </c>
      <c r="Q35" s="1137">
        <v>108547.7218608844</v>
      </c>
      <c r="R35" s="1137">
        <v>123099.50406591664</v>
      </c>
      <c r="S35" s="1137">
        <v>139565.62670927515</v>
      </c>
      <c r="T35" s="1137">
        <v>158290.4090973913</v>
      </c>
      <c r="U35" s="1137">
        <v>179445.82478617138</v>
      </c>
      <c r="V35" s="1137">
        <v>201816.99497685264</v>
      </c>
      <c r="W35" s="1137">
        <v>227328.27398533907</v>
      </c>
      <c r="X35" s="1137">
        <v>254731.39037507953</v>
      </c>
      <c r="Y35" s="1137">
        <v>285380.74432980531</v>
      </c>
      <c r="Z35" s="1137">
        <v>319206.02065746434</v>
      </c>
      <c r="AA35" s="1137">
        <v>356624.33851774561</v>
      </c>
      <c r="AB35" s="1137">
        <v>398324.29928039399</v>
      </c>
    </row>
    <row r="36" spans="2:28">
      <c r="B36" s="1141" t="s">
        <v>34</v>
      </c>
      <c r="C36" s="1136">
        <v>3789</v>
      </c>
      <c r="D36" s="1136">
        <v>7897</v>
      </c>
      <c r="E36" s="1136">
        <v>6012</v>
      </c>
      <c r="F36" s="1136">
        <v>9400</v>
      </c>
      <c r="G36" s="1136">
        <v>6520</v>
      </c>
      <c r="H36" s="1136">
        <v>5500</v>
      </c>
      <c r="I36" s="1136">
        <v>5000</v>
      </c>
      <c r="J36" s="1140">
        <v>5605.2847559661232</v>
      </c>
      <c r="K36" s="1140">
        <v>6179.273478261407</v>
      </c>
      <c r="L36" s="1140">
        <v>6652.1016634016132</v>
      </c>
      <c r="M36" s="1140">
        <v>6976.6504950225708</v>
      </c>
      <c r="N36" s="1133">
        <v>7128.6852257680475</v>
      </c>
      <c r="O36" s="1133">
        <v>7271.1857714184744</v>
      </c>
      <c r="P36" s="1133">
        <v>7416.4912879752192</v>
      </c>
      <c r="Q36" s="1133">
        <v>7567.1236315166552</v>
      </c>
      <c r="R36" s="1133">
        <v>7723.4071360346661</v>
      </c>
      <c r="S36" s="1133">
        <v>7880.8598694673028</v>
      </c>
      <c r="T36" s="1133">
        <v>8044.373861754465</v>
      </c>
      <c r="U36" s="1133">
        <v>8207.5495266451653</v>
      </c>
      <c r="V36" s="1133">
        <v>8307.6922252636268</v>
      </c>
      <c r="W36" s="1133">
        <v>8422.0657488656452</v>
      </c>
      <c r="X36" s="1133">
        <v>8493.5676164924225</v>
      </c>
      <c r="Y36" s="1133">
        <v>8563.9644974926578</v>
      </c>
      <c r="Z36" s="1133">
        <v>8621.1216921611849</v>
      </c>
      <c r="AA36" s="1133">
        <v>8668.5446376415912</v>
      </c>
      <c r="AB36" s="1133">
        <v>8713.9391120323926</v>
      </c>
    </row>
    <row r="37" spans="2:28">
      <c r="B37" s="1134"/>
      <c r="C37" s="1136"/>
      <c r="D37" s="1136"/>
      <c r="E37" s="1136"/>
      <c r="F37" s="1136"/>
      <c r="G37" s="1136"/>
      <c r="H37" s="1136"/>
      <c r="I37" s="1136"/>
      <c r="J37" s="1127"/>
      <c r="K37" s="1127"/>
      <c r="L37" s="1127"/>
      <c r="M37" s="1142"/>
      <c r="N37" s="1123"/>
      <c r="O37" s="1123"/>
      <c r="P37" s="1123"/>
      <c r="Q37" s="1123"/>
      <c r="R37" s="1123"/>
      <c r="S37" s="1123"/>
      <c r="T37" s="1123"/>
      <c r="U37" s="1123"/>
      <c r="V37" s="1123"/>
      <c r="W37" s="1123"/>
      <c r="X37" s="1123"/>
      <c r="Y37" s="1123"/>
      <c r="Z37" s="1123"/>
      <c r="AA37" s="1123"/>
      <c r="AB37" s="1123"/>
    </row>
    <row r="38" spans="2:28">
      <c r="B38" s="1143" t="s">
        <v>868</v>
      </c>
      <c r="C38" s="1136">
        <v>229092</v>
      </c>
      <c r="D38" s="1136">
        <v>268410</v>
      </c>
      <c r="E38" s="1136">
        <v>336120.17892700003</v>
      </c>
      <c r="F38" s="1136">
        <v>411832</v>
      </c>
      <c r="G38" s="1136">
        <v>527342</v>
      </c>
      <c r="H38" s="1136">
        <v>595210</v>
      </c>
      <c r="I38" s="1136">
        <v>697162.58629371738</v>
      </c>
      <c r="J38" s="1136">
        <v>803180.63553258509</v>
      </c>
      <c r="K38" s="1136">
        <v>918895.18458336475</v>
      </c>
      <c r="L38" s="1136">
        <v>1050968.8662288729</v>
      </c>
      <c r="M38" s="1136">
        <v>1194744.7716013903</v>
      </c>
      <c r="N38" s="1136">
        <v>1350634.9162582061</v>
      </c>
      <c r="O38" s="1136">
        <v>1527904.2505232294</v>
      </c>
      <c r="P38" s="1136">
        <v>1725414.4381136373</v>
      </c>
      <c r="Q38" s="1136">
        <v>1949492.336359103</v>
      </c>
      <c r="R38" s="1136">
        <v>2202564.6566452286</v>
      </c>
      <c r="S38" s="1136">
        <v>2492652.4084049631</v>
      </c>
      <c r="T38" s="1136">
        <v>2820174.3751886939</v>
      </c>
      <c r="U38" s="1136">
        <v>3192119.1175395185</v>
      </c>
      <c r="V38" s="1136">
        <v>3584435.24373955</v>
      </c>
      <c r="W38" s="1136">
        <v>4047698.7875918793</v>
      </c>
      <c r="X38" s="1136">
        <v>4548942.2592128022</v>
      </c>
      <c r="Y38" s="1136">
        <v>5100601.0490283966</v>
      </c>
      <c r="Z38" s="1136">
        <v>5709375.1192456791</v>
      </c>
      <c r="AA38" s="1136">
        <v>6382041.2565422934</v>
      </c>
      <c r="AB38" s="1136">
        <v>7130745.3967376472</v>
      </c>
    </row>
    <row r="39" spans="2:28">
      <c r="B39" s="1141" t="s">
        <v>869</v>
      </c>
      <c r="C39" s="1136">
        <v>149893</v>
      </c>
      <c r="D39" s="1136">
        <v>180069</v>
      </c>
      <c r="E39" s="1136">
        <v>231818.678927</v>
      </c>
      <c r="F39" s="1144">
        <v>292370</v>
      </c>
      <c r="G39" s="1144">
        <v>347081</v>
      </c>
      <c r="H39" s="1144">
        <v>417059.99999999994</v>
      </c>
      <c r="I39" s="1144">
        <v>525515.59032497695</v>
      </c>
      <c r="J39" s="1136">
        <v>606827.51514259342</v>
      </c>
      <c r="K39" s="1136">
        <v>693416.07535443618</v>
      </c>
      <c r="L39" s="1136">
        <v>792742.89570999634</v>
      </c>
      <c r="M39" s="1136">
        <v>900370.27617264458</v>
      </c>
      <c r="N39" s="1127">
        <v>1019766.4816572067</v>
      </c>
      <c r="O39" s="1127">
        <v>1156673.6020293625</v>
      </c>
      <c r="P39" s="1127">
        <v>1313107.5022471691</v>
      </c>
      <c r="Q39" s="1127">
        <v>1491417.3836094514</v>
      </c>
      <c r="R39" s="1136">
        <v>1693470.3839054168</v>
      </c>
      <c r="S39" s="1136">
        <v>1924118.1901588598</v>
      </c>
      <c r="T39" s="1136">
        <v>2185035.0979022356</v>
      </c>
      <c r="U39" s="1140">
        <v>2490094.4982732865</v>
      </c>
      <c r="V39" s="1140">
        <v>2814629.1657871394</v>
      </c>
      <c r="W39" s="1140">
        <v>3180583.0770224282</v>
      </c>
      <c r="X39" s="1140">
        <v>3577300.7352742688</v>
      </c>
      <c r="Y39" s="1140">
        <v>4012051.3382329103</v>
      </c>
      <c r="Z39" s="1127">
        <v>4491803.05674766</v>
      </c>
      <c r="AA39" s="1127">
        <v>5021741.6278207079</v>
      </c>
      <c r="AB39" s="1127">
        <v>5611386.4021328986</v>
      </c>
    </row>
    <row r="40" spans="2:28">
      <c r="B40" s="1135" t="s">
        <v>969</v>
      </c>
      <c r="C40" s="1136">
        <v>6621</v>
      </c>
      <c r="D40" s="1136">
        <v>7965</v>
      </c>
      <c r="E40" s="1136">
        <v>12660</v>
      </c>
      <c r="F40" s="1144">
        <v>16730</v>
      </c>
      <c r="G40" s="1144">
        <v>23880</v>
      </c>
      <c r="H40" s="1144">
        <v>25380</v>
      </c>
      <c r="I40" s="1144">
        <v>35760</v>
      </c>
      <c r="J40" s="1140">
        <v>46578.628489984629</v>
      </c>
      <c r="K40" s="1140">
        <v>50062.816399208808</v>
      </c>
      <c r="L40" s="1140">
        <v>55953.929990233548</v>
      </c>
      <c r="M40" s="1140">
        <v>60439.731675504081</v>
      </c>
      <c r="N40" s="1140">
        <v>66172.861289782988</v>
      </c>
      <c r="O40" s="1140">
        <v>75945.039338010349</v>
      </c>
      <c r="P40" s="1140">
        <v>88301.317971369383</v>
      </c>
      <c r="Q40" s="1140">
        <v>102881.20551907032</v>
      </c>
      <c r="R40" s="1140">
        <v>118788.64973164929</v>
      </c>
      <c r="S40" s="1140">
        <v>138802.76776749047</v>
      </c>
      <c r="T40" s="1140">
        <v>160193.34251153597</v>
      </c>
      <c r="U40" s="1140">
        <v>185452.04688798945</v>
      </c>
      <c r="V40" s="1140">
        <v>214895.4431849597</v>
      </c>
      <c r="W40" s="1140">
        <v>243437.1791332901</v>
      </c>
      <c r="X40" s="1140">
        <v>276225.18086668273</v>
      </c>
      <c r="Y40" s="1140">
        <v>313789.42626902024</v>
      </c>
      <c r="Z40" s="1140">
        <v>355197.86623492936</v>
      </c>
      <c r="AA40" s="1140">
        <v>400230.77179989393</v>
      </c>
      <c r="AB40" s="1140">
        <v>449483.87749737635</v>
      </c>
    </row>
    <row r="41" spans="2:28">
      <c r="B41" s="1145" t="s">
        <v>870</v>
      </c>
      <c r="C41" s="1136">
        <v>79199</v>
      </c>
      <c r="D41" s="1136">
        <v>88341</v>
      </c>
      <c r="E41" s="1136">
        <v>104301.5</v>
      </c>
      <c r="F41" s="1144">
        <v>119462</v>
      </c>
      <c r="G41" s="1144">
        <v>180261</v>
      </c>
      <c r="H41" s="1144">
        <v>178150</v>
      </c>
      <c r="I41" s="1144">
        <v>171646.9959687404</v>
      </c>
      <c r="J41" s="1140">
        <v>196353.12038999164</v>
      </c>
      <c r="K41" s="1127">
        <v>225479.1092289286</v>
      </c>
      <c r="L41" s="1127">
        <v>258225.97051887665</v>
      </c>
      <c r="M41" s="1127">
        <v>294374.49542874569</v>
      </c>
      <c r="N41" s="1133">
        <v>330868.43460099935</v>
      </c>
      <c r="O41" s="1133">
        <v>371230.64849386684</v>
      </c>
      <c r="P41" s="1133">
        <v>412306.93586646818</v>
      </c>
      <c r="Q41" s="1133">
        <v>458074.95274965157</v>
      </c>
      <c r="R41" s="1133">
        <v>509094.27273981168</v>
      </c>
      <c r="S41" s="1133">
        <v>568534.21824610338</v>
      </c>
      <c r="T41" s="1133">
        <v>635139.27728645829</v>
      </c>
      <c r="U41" s="1133">
        <v>702024.61926623224</v>
      </c>
      <c r="V41" s="1133">
        <v>769806.07795241079</v>
      </c>
      <c r="W41" s="1144">
        <v>867115.7105694511</v>
      </c>
      <c r="X41" s="1144">
        <v>971641.52393853338</v>
      </c>
      <c r="Y41" s="1144">
        <v>1088549.7107954866</v>
      </c>
      <c r="Z41" s="1144">
        <v>1217572.0624980193</v>
      </c>
      <c r="AA41" s="1144">
        <v>1360299.628721585</v>
      </c>
      <c r="AB41" s="1137">
        <v>1519358.9946047484</v>
      </c>
    </row>
    <row r="42" spans="2:28">
      <c r="B42" s="1135"/>
      <c r="C42" s="1136">
        <v>89471</v>
      </c>
      <c r="D42" s="1136">
        <v>96734</v>
      </c>
      <c r="E42" s="1136">
        <v>120956.5</v>
      </c>
      <c r="F42" s="1136"/>
      <c r="G42" s="1146"/>
      <c r="H42" s="1146"/>
      <c r="I42" s="1146"/>
      <c r="J42" s="1122"/>
      <c r="K42" s="1122"/>
      <c r="L42" s="1122"/>
      <c r="M42" s="1122"/>
      <c r="N42" s="1123"/>
      <c r="O42" s="1123"/>
      <c r="P42" s="1123"/>
      <c r="Q42" s="1123"/>
      <c r="R42" s="1123"/>
      <c r="S42" s="1123"/>
      <c r="T42" s="1123"/>
      <c r="U42" s="1123"/>
      <c r="V42" s="1123"/>
      <c r="W42" s="1123"/>
      <c r="X42" s="1123"/>
      <c r="Y42" s="1123"/>
      <c r="Z42" s="1123"/>
      <c r="AA42" s="1123"/>
      <c r="AB42" s="1123"/>
    </row>
    <row r="43" spans="2:28">
      <c r="B43" s="1143" t="s">
        <v>871</v>
      </c>
      <c r="C43" s="1136">
        <v>-803</v>
      </c>
      <c r="D43" s="1136">
        <v>11062</v>
      </c>
      <c r="E43" s="1136">
        <v>-8209.578926999995</v>
      </c>
      <c r="F43" s="1136">
        <v>18703</v>
      </c>
      <c r="G43" s="1136">
        <v>-85001</v>
      </c>
      <c r="H43" s="1136">
        <v>-37223.318549655378</v>
      </c>
      <c r="I43" s="1136">
        <v>-28157.379413874587</v>
      </c>
      <c r="J43" s="1136">
        <v>-29288.096899660304</v>
      </c>
      <c r="K43" s="1136">
        <v>-29247.665902569657</v>
      </c>
      <c r="L43" s="1136">
        <v>-27624.708472978324</v>
      </c>
      <c r="M43" s="1136">
        <v>-19345.938392061507</v>
      </c>
      <c r="N43" s="1136">
        <v>-18514.188169069821</v>
      </c>
      <c r="O43" s="1136">
        <v>-27148.639111821074</v>
      </c>
      <c r="P43" s="1136">
        <v>-31438.490041873185</v>
      </c>
      <c r="Q43" s="1136">
        <v>-38242.18324089935</v>
      </c>
      <c r="R43" s="1136">
        <v>-45932.936569062527</v>
      </c>
      <c r="S43" s="1136">
        <v>-59764.899171013851</v>
      </c>
      <c r="T43" s="1136">
        <v>-73130.042614781298</v>
      </c>
      <c r="U43" s="1136">
        <v>-89348.119860047009</v>
      </c>
      <c r="V43" s="1136">
        <v>-102934.25547003932</v>
      </c>
      <c r="W43" s="1136">
        <v>-130713.16411407571</v>
      </c>
      <c r="X43" s="1136">
        <v>-160153.11561276391</v>
      </c>
      <c r="Y43" s="1136">
        <v>-179248.74159279</v>
      </c>
      <c r="Z43" s="1136">
        <v>-194061.93462193105</v>
      </c>
      <c r="AA43" s="1136">
        <v>-202215.53968281206</v>
      </c>
      <c r="AB43" s="1136">
        <v>-201555.23605394363</v>
      </c>
    </row>
    <row r="44" spans="2:28">
      <c r="B44" s="1143"/>
      <c r="C44" s="1136"/>
      <c r="D44" s="1136"/>
      <c r="E44" s="1136"/>
      <c r="F44" s="1144"/>
      <c r="G44" s="1144"/>
      <c r="H44" s="1144"/>
      <c r="I44" s="1144"/>
      <c r="J44" s="1127"/>
      <c r="K44" s="1127"/>
      <c r="L44" s="1127"/>
      <c r="M44" s="1127"/>
      <c r="N44" s="1123"/>
      <c r="O44" s="1123"/>
      <c r="P44" s="1123"/>
      <c r="Q44" s="1123"/>
      <c r="R44" s="1123"/>
      <c r="S44" s="1123"/>
      <c r="T44" s="1123"/>
      <c r="U44" s="1123"/>
      <c r="V44" s="1123"/>
      <c r="W44" s="1123"/>
      <c r="X44" s="1123"/>
      <c r="Y44" s="1123"/>
      <c r="Z44" s="1123"/>
      <c r="AA44" s="1123"/>
      <c r="AB44" s="1123"/>
    </row>
    <row r="45" spans="2:28">
      <c r="B45" s="1147" t="s">
        <v>872</v>
      </c>
      <c r="C45" s="1136">
        <v>26815.479999999981</v>
      </c>
      <c r="D45" s="1136">
        <v>13056</v>
      </c>
      <c r="E45" s="1136">
        <v>20811</v>
      </c>
      <c r="F45" s="1136">
        <v>36454.780480000001</v>
      </c>
      <c r="G45" s="1136">
        <v>64131.799050000001</v>
      </c>
      <c r="H45" s="1136">
        <v>89832</v>
      </c>
      <c r="I45" s="1136">
        <v>66640</v>
      </c>
      <c r="J45" s="1136">
        <v>74192.464178499184</v>
      </c>
      <c r="K45" s="1136">
        <v>83493.828298811597</v>
      </c>
      <c r="L45" s="1136">
        <v>93707.436667442307</v>
      </c>
      <c r="M45" s="1136">
        <v>106106.39607756285</v>
      </c>
      <c r="N45" s="1133">
        <v>119260.52601875174</v>
      </c>
      <c r="O45" s="1133">
        <v>133808.96387729084</v>
      </c>
      <c r="P45" s="1133">
        <v>148614.78736075904</v>
      </c>
      <c r="Q45" s="1133">
        <v>165111.73054878437</v>
      </c>
      <c r="R45" s="1133">
        <v>184437.72214297109</v>
      </c>
      <c r="S45" s="1133">
        <v>202835.35243125953</v>
      </c>
      <c r="T45" s="1133">
        <v>225447.72548462608</v>
      </c>
      <c r="U45" s="1133">
        <v>250467.10164509495</v>
      </c>
      <c r="V45" s="1133">
        <v>274650.05055669945</v>
      </c>
      <c r="W45" s="1133">
        <v>304727.48898549716</v>
      </c>
      <c r="X45" s="1144">
        <v>341460.63573151728</v>
      </c>
      <c r="Y45" s="1137">
        <v>382545.27736414428</v>
      </c>
      <c r="Z45" s="1137">
        <v>427887.15824356745</v>
      </c>
      <c r="AA45" s="1137">
        <v>478045.41547979694</v>
      </c>
      <c r="AB45" s="1137">
        <v>533943.10084565298</v>
      </c>
    </row>
    <row r="46" spans="2:28">
      <c r="B46" s="1141" t="s">
        <v>873</v>
      </c>
      <c r="C46" s="1139">
        <v>10272</v>
      </c>
      <c r="D46" s="1139">
        <v>8393</v>
      </c>
      <c r="E46" s="1139">
        <v>16655</v>
      </c>
      <c r="F46" s="1144">
        <v>27000</v>
      </c>
      <c r="G46" s="1144">
        <v>46000</v>
      </c>
      <c r="H46" s="1144">
        <v>56000</v>
      </c>
      <c r="I46" s="1144">
        <v>45000</v>
      </c>
      <c r="J46" s="1140">
        <v>49932.791754677804</v>
      </c>
      <c r="K46" s="1140">
        <v>56192.768192939664</v>
      </c>
      <c r="L46" s="1140">
        <v>63066.700544177926</v>
      </c>
      <c r="M46" s="1140">
        <v>71176.326039576757</v>
      </c>
      <c r="N46" s="1123">
        <v>80000.135687928399</v>
      </c>
      <c r="O46" s="1123">
        <v>89759.2491312778</v>
      </c>
      <c r="P46" s="1123">
        <v>99691.017229154008</v>
      </c>
      <c r="Q46" s="1123">
        <v>110757.19090400902</v>
      </c>
      <c r="R46" s="1123">
        <v>123721.0943970693</v>
      </c>
      <c r="S46" s="1123">
        <v>136062.25176516609</v>
      </c>
      <c r="T46" s="1123">
        <v>151230.66475884133</v>
      </c>
      <c r="U46" s="1123">
        <v>168013.6989653995</v>
      </c>
      <c r="V46" s="1123">
        <v>184235.6565472268</v>
      </c>
      <c r="W46" s="1123">
        <v>204411.64633844062</v>
      </c>
      <c r="X46" s="1123">
        <v>229052.29502603857</v>
      </c>
      <c r="Y46" s="1123">
        <v>256611.9328628135</v>
      </c>
      <c r="Z46" s="1123">
        <v>287027.33302740275</v>
      </c>
      <c r="AA46" s="1123">
        <v>320673.56551288959</v>
      </c>
      <c r="AB46" s="1123">
        <v>358169.81480166508</v>
      </c>
    </row>
    <row r="47" spans="2:28">
      <c r="B47" s="1141" t="s">
        <v>874</v>
      </c>
      <c r="C47" s="1139">
        <v>16543.479999999981</v>
      </c>
      <c r="D47" s="1139">
        <v>4663</v>
      </c>
      <c r="E47" s="1139">
        <v>4156.0000000000009</v>
      </c>
      <c r="F47" s="1144">
        <v>9454.7804799999994</v>
      </c>
      <c r="G47" s="1144">
        <v>8131.7990499999996</v>
      </c>
      <c r="H47" s="1144">
        <v>31832</v>
      </c>
      <c r="I47" s="1144">
        <v>21640</v>
      </c>
      <c r="J47" s="1140">
        <v>24259.672423821379</v>
      </c>
      <c r="K47" s="1140">
        <v>27301.06010587194</v>
      </c>
      <c r="L47" s="1140">
        <v>30640.736123264382</v>
      </c>
      <c r="M47" s="1140">
        <v>34930.070037986094</v>
      </c>
      <c r="N47" s="1123">
        <v>39260.390330823349</v>
      </c>
      <c r="O47" s="1123">
        <v>44049.714746013036</v>
      </c>
      <c r="P47" s="1123">
        <v>48923.770131605044</v>
      </c>
      <c r="Q47" s="1123">
        <v>54354.539644775359</v>
      </c>
      <c r="R47" s="1123">
        <v>60716.627745901802</v>
      </c>
      <c r="S47" s="1123">
        <v>66773.100666093465</v>
      </c>
      <c r="T47" s="1123">
        <v>74217.060725784773</v>
      </c>
      <c r="U47" s="1123">
        <v>82453.402679695471</v>
      </c>
      <c r="V47" s="1123">
        <v>90414.394009472686</v>
      </c>
      <c r="W47" s="1123">
        <v>100315.84264705655</v>
      </c>
      <c r="X47" s="1123">
        <v>112408.34070547874</v>
      </c>
      <c r="Y47" s="1123">
        <v>125933.34450133081</v>
      </c>
      <c r="Z47" s="1123">
        <v>140859.82521616475</v>
      </c>
      <c r="AA47" s="1123">
        <v>157371.84996690738</v>
      </c>
      <c r="AB47" s="1123">
        <v>175773.28604398793</v>
      </c>
    </row>
    <row r="48" spans="2:28">
      <c r="B48" s="1141" t="s">
        <v>875</v>
      </c>
      <c r="C48" s="1144"/>
      <c r="D48" s="1144"/>
      <c r="E48" s="1144"/>
      <c r="F48" s="1144">
        <v>0</v>
      </c>
      <c r="G48" s="1144">
        <v>10000</v>
      </c>
      <c r="H48" s="1144">
        <v>2000</v>
      </c>
      <c r="I48" s="1144">
        <v>0</v>
      </c>
      <c r="J48" s="1127"/>
      <c r="K48" s="1127"/>
      <c r="L48" s="1127"/>
      <c r="M48" s="1127"/>
      <c r="N48" s="1123"/>
      <c r="O48" s="1123"/>
      <c r="P48" s="1123"/>
      <c r="Q48" s="1123"/>
      <c r="R48" s="1123"/>
      <c r="S48" s="1123"/>
      <c r="T48" s="1123"/>
      <c r="U48" s="1123"/>
      <c r="V48" s="1123"/>
      <c r="W48" s="1123"/>
      <c r="X48" s="1123"/>
      <c r="Y48" s="1123"/>
      <c r="Z48" s="1123"/>
      <c r="AA48" s="1123"/>
      <c r="AB48" s="1123"/>
    </row>
    <row r="49" spans="2:28">
      <c r="B49" s="1143"/>
      <c r="C49" s="1136"/>
      <c r="D49" s="1136"/>
      <c r="E49" s="1136"/>
      <c r="F49" s="1136"/>
      <c r="G49" s="1136"/>
      <c r="H49" s="1136"/>
      <c r="I49" s="1136"/>
      <c r="J49" s="1127"/>
      <c r="K49" s="1127"/>
      <c r="L49" s="1127"/>
      <c r="M49" s="1127"/>
      <c r="N49" s="1123"/>
      <c r="O49" s="1123"/>
      <c r="P49" s="1123"/>
      <c r="Q49" s="1123"/>
      <c r="R49" s="1123"/>
      <c r="S49" s="1123"/>
      <c r="T49" s="1123"/>
      <c r="U49" s="1123"/>
      <c r="V49" s="1123"/>
      <c r="W49" s="1123"/>
      <c r="X49" s="1123"/>
      <c r="Y49" s="1123"/>
      <c r="Z49" s="1123"/>
      <c r="AA49" s="1123"/>
      <c r="AB49" s="1123"/>
    </row>
    <row r="50" spans="2:28">
      <c r="B50" s="1143" t="s">
        <v>876</v>
      </c>
      <c r="C50" s="1136">
        <v>255907.47999999998</v>
      </c>
      <c r="D50" s="1136">
        <v>281466</v>
      </c>
      <c r="E50" s="1136">
        <v>356931.17892700003</v>
      </c>
      <c r="F50" s="1136">
        <v>448286.78048000002</v>
      </c>
      <c r="G50" s="1136">
        <v>591473.79905000003</v>
      </c>
      <c r="H50" s="1136">
        <v>685042</v>
      </c>
      <c r="I50" s="1136">
        <v>763802.58629371738</v>
      </c>
      <c r="J50" s="1136">
        <v>877373.09971108427</v>
      </c>
      <c r="K50" s="1136">
        <v>1002389.0128821763</v>
      </c>
      <c r="L50" s="1136">
        <v>1144676.3028963152</v>
      </c>
      <c r="M50" s="1136">
        <v>1300851.1676789531</v>
      </c>
      <c r="N50" s="1136">
        <v>1469895.4422769579</v>
      </c>
      <c r="O50" s="1136">
        <v>1661713.2144005201</v>
      </c>
      <c r="P50" s="1136">
        <v>1874029.2254743963</v>
      </c>
      <c r="Q50" s="1136">
        <v>2114604.0669078873</v>
      </c>
      <c r="R50" s="1136">
        <v>2387002.3787881997</v>
      </c>
      <c r="S50" s="1136">
        <v>2695487.7608362227</v>
      </c>
      <c r="T50" s="1136">
        <v>3045622.1006733198</v>
      </c>
      <c r="U50" s="1136">
        <v>3442586.2191846133</v>
      </c>
      <c r="V50" s="1136">
        <v>3859085.2942962493</v>
      </c>
      <c r="W50" s="1136">
        <v>4352426.2765773768</v>
      </c>
      <c r="X50" s="1136">
        <v>4890402.8949443195</v>
      </c>
      <c r="Y50" s="1136">
        <v>5483146.3263925407</v>
      </c>
      <c r="Z50" s="1136">
        <v>6137262.2774892468</v>
      </c>
      <c r="AA50" s="1136">
        <v>6860086.6720220903</v>
      </c>
      <c r="AB50" s="1136">
        <v>7664688.4975832999</v>
      </c>
    </row>
    <row r="51" spans="2:28">
      <c r="B51" s="1143"/>
      <c r="C51" s="1136"/>
      <c r="D51" s="1136"/>
      <c r="E51" s="1136"/>
      <c r="F51" s="1136"/>
      <c r="G51" s="1136"/>
      <c r="H51" s="1136"/>
      <c r="I51" s="1136"/>
      <c r="J51" s="1127"/>
      <c r="K51" s="1127"/>
      <c r="L51" s="1127"/>
      <c r="M51" s="1127"/>
      <c r="N51" s="1123"/>
      <c r="O51" s="1123"/>
      <c r="P51" s="1123"/>
      <c r="Q51" s="1123"/>
      <c r="R51" s="1123"/>
      <c r="S51" s="1123"/>
      <c r="T51" s="1123"/>
      <c r="U51" s="1123"/>
      <c r="V51" s="1123"/>
      <c r="W51" s="1123"/>
      <c r="X51" s="1123"/>
      <c r="Y51" s="1123"/>
      <c r="Z51" s="1123"/>
      <c r="AA51" s="1123"/>
      <c r="AB51" s="1123"/>
    </row>
    <row r="52" spans="2:28">
      <c r="B52" s="1143" t="s">
        <v>326</v>
      </c>
      <c r="C52" s="1136">
        <v>-27618.479999999981</v>
      </c>
      <c r="D52" s="1136">
        <v>-1994</v>
      </c>
      <c r="E52" s="1136">
        <v>-29020.578926999995</v>
      </c>
      <c r="F52" s="1136">
        <v>-17751.780480000016</v>
      </c>
      <c r="G52" s="1136">
        <v>-149132.79905000003</v>
      </c>
      <c r="H52" s="1136">
        <v>-127055.31854965538</v>
      </c>
      <c r="I52" s="1136">
        <v>-94797.379413874587</v>
      </c>
      <c r="J52" s="1136">
        <v>-103480.56107815949</v>
      </c>
      <c r="K52" s="1136">
        <v>-112741.49420138123</v>
      </c>
      <c r="L52" s="1136">
        <v>-121332.14514042065</v>
      </c>
      <c r="M52" s="1136">
        <v>-125452.33446962433</v>
      </c>
      <c r="N52" s="1136">
        <v>-137774.71418782161</v>
      </c>
      <c r="O52" s="1136">
        <v>-160957.60298911179</v>
      </c>
      <c r="P52" s="1136">
        <v>-180053.27740263217</v>
      </c>
      <c r="Q52" s="1136">
        <v>-203353.91378968372</v>
      </c>
      <c r="R52" s="1136">
        <v>-230370.65871203365</v>
      </c>
      <c r="S52" s="1136">
        <v>-262600.25160227343</v>
      </c>
      <c r="T52" s="1136">
        <v>-298577.7680994072</v>
      </c>
      <c r="U52" s="1136">
        <v>-339815.22150514182</v>
      </c>
      <c r="V52" s="1136">
        <v>-377584.3060267386</v>
      </c>
      <c r="W52" s="1136">
        <v>-435440.65309957322</v>
      </c>
      <c r="X52" s="1136">
        <v>-501613.75134428125</v>
      </c>
      <c r="Y52" s="1136">
        <v>-561794.0189569341</v>
      </c>
      <c r="Z52" s="1136">
        <v>-621949.09286549874</v>
      </c>
      <c r="AA52" s="1136">
        <v>-680260.955162609</v>
      </c>
      <c r="AB52" s="1136">
        <v>-735498.33689959627</v>
      </c>
    </row>
    <row r="53" spans="2:28">
      <c r="B53" s="1148"/>
      <c r="C53" s="1136"/>
      <c r="D53" s="1136"/>
      <c r="E53" s="1136"/>
      <c r="F53" s="1136"/>
      <c r="G53" s="1136"/>
      <c r="H53" s="1136"/>
      <c r="I53" s="1149"/>
      <c r="J53" s="1149"/>
      <c r="K53" s="1149"/>
      <c r="L53" s="1149"/>
      <c r="M53" s="1149"/>
      <c r="N53" s="1123"/>
      <c r="O53" s="1123"/>
      <c r="P53" s="1123"/>
      <c r="Q53" s="1123"/>
      <c r="R53" s="1123"/>
      <c r="S53" s="1123"/>
      <c r="T53" s="1123"/>
      <c r="U53" s="1123"/>
      <c r="V53" s="1123"/>
      <c r="W53" s="1123"/>
      <c r="X53" s="1123"/>
      <c r="Y53" s="1123"/>
      <c r="Z53" s="1123"/>
      <c r="AA53" s="1123"/>
      <c r="AB53" s="1123"/>
    </row>
    <row r="54" spans="2:28">
      <c r="B54" s="1143" t="s">
        <v>877</v>
      </c>
      <c r="C54" s="1136">
        <v>15627.495115746351</v>
      </c>
      <c r="D54" s="1136">
        <v>18214.090067273519</v>
      </c>
      <c r="E54" s="1136">
        <v>-8215.7225550354378</v>
      </c>
      <c r="F54" s="1136">
        <v>21208.491928630916</v>
      </c>
      <c r="G54" s="1136">
        <v>472.1566817490675</v>
      </c>
      <c r="H54" s="1136">
        <v>-1868.1529496553703</v>
      </c>
      <c r="I54" s="1136">
        <v>0</v>
      </c>
      <c r="J54" s="1136">
        <v>0</v>
      </c>
      <c r="K54" s="1136">
        <v>0</v>
      </c>
      <c r="L54" s="1136">
        <v>0</v>
      </c>
      <c r="M54" s="1136">
        <v>0</v>
      </c>
      <c r="N54" s="1136">
        <v>0</v>
      </c>
      <c r="O54" s="1136">
        <v>0</v>
      </c>
      <c r="P54" s="1136">
        <v>0</v>
      </c>
      <c r="Q54" s="1136">
        <v>0</v>
      </c>
      <c r="R54" s="1136">
        <v>0</v>
      </c>
      <c r="S54" s="1136">
        <v>0</v>
      </c>
      <c r="T54" s="1136">
        <v>0</v>
      </c>
      <c r="U54" s="1136">
        <v>0</v>
      </c>
      <c r="V54" s="1136">
        <v>0</v>
      </c>
      <c r="W54" s="1136">
        <v>0</v>
      </c>
      <c r="X54" s="1136">
        <v>0</v>
      </c>
      <c r="Y54" s="1136">
        <v>0</v>
      </c>
      <c r="Z54" s="1136">
        <v>0</v>
      </c>
      <c r="AA54" s="1136">
        <v>0</v>
      </c>
      <c r="AB54" s="1136">
        <v>0</v>
      </c>
    </row>
    <row r="55" spans="2:28">
      <c r="B55" s="1135"/>
      <c r="C55" s="1136"/>
      <c r="D55" s="1136"/>
      <c r="E55" s="1136"/>
      <c r="F55" s="1136"/>
      <c r="G55" s="1136"/>
      <c r="H55" s="1136"/>
      <c r="I55" s="1127"/>
      <c r="J55" s="1127"/>
      <c r="K55" s="1127"/>
      <c r="L55" s="1127"/>
      <c r="M55" s="1127"/>
      <c r="N55" s="1123"/>
      <c r="O55" s="1123"/>
      <c r="P55" s="1123"/>
      <c r="Q55" s="1123"/>
      <c r="R55" s="1123"/>
      <c r="S55" s="1123"/>
      <c r="T55" s="1123"/>
      <c r="U55" s="1123"/>
      <c r="V55" s="1123"/>
      <c r="W55" s="1123"/>
      <c r="X55" s="1123"/>
      <c r="Y55" s="1123"/>
      <c r="Z55" s="1123"/>
      <c r="AA55" s="1123"/>
      <c r="AB55" s="1123"/>
    </row>
    <row r="56" spans="2:28">
      <c r="B56" s="1143" t="s">
        <v>878</v>
      </c>
      <c r="C56" s="1136">
        <v>43245.975115746332</v>
      </c>
      <c r="D56" s="1136">
        <v>20208.090067273519</v>
      </c>
      <c r="E56" s="1136">
        <v>20804.856371964557</v>
      </c>
      <c r="F56" s="1136">
        <v>38960.272408630932</v>
      </c>
      <c r="G56" s="1136">
        <v>149604.9557317491</v>
      </c>
      <c r="H56" s="1136">
        <v>125187.16560000001</v>
      </c>
      <c r="I56" s="1136">
        <v>94797.379413874587</v>
      </c>
      <c r="J56" s="1136">
        <v>103480.56107815949</v>
      </c>
      <c r="K56" s="1136">
        <v>112741.49420138123</v>
      </c>
      <c r="L56" s="1136">
        <v>121332.14514042065</v>
      </c>
      <c r="M56" s="1136">
        <v>125452.33446962433</v>
      </c>
      <c r="N56" s="1136">
        <v>137774.71418782161</v>
      </c>
      <c r="O56" s="1136">
        <v>160957.60298911179</v>
      </c>
      <c r="P56" s="1136">
        <v>180053.27740263217</v>
      </c>
      <c r="Q56" s="1136">
        <v>203353.91378968372</v>
      </c>
      <c r="R56" s="1136">
        <v>230370.65871203365</v>
      </c>
      <c r="S56" s="1136">
        <v>262600.25160227343</v>
      </c>
      <c r="T56" s="1136">
        <v>298577.7680994072</v>
      </c>
      <c r="U56" s="1136">
        <v>339815.22150514182</v>
      </c>
      <c r="V56" s="1136">
        <v>377584.3060267386</v>
      </c>
      <c r="W56" s="1136">
        <v>435440.65309957322</v>
      </c>
      <c r="X56" s="1136">
        <v>501613.75134428125</v>
      </c>
      <c r="Y56" s="1136">
        <v>561794.0189569341</v>
      </c>
      <c r="Z56" s="1136">
        <v>621949.09286549874</v>
      </c>
      <c r="AA56" s="1136">
        <v>680260.955162609</v>
      </c>
      <c r="AB56" s="1136">
        <v>735498.33689959627</v>
      </c>
    </row>
    <row r="57" spans="2:28">
      <c r="B57" s="1143"/>
      <c r="C57" s="1136"/>
      <c r="D57" s="1136"/>
      <c r="E57" s="1136"/>
      <c r="F57" s="1136"/>
      <c r="G57" s="1136"/>
      <c r="H57" s="1136"/>
      <c r="I57" s="1127"/>
      <c r="J57" s="1127"/>
      <c r="K57" s="1127"/>
      <c r="L57" s="1127"/>
      <c r="M57" s="1127"/>
      <c r="N57" s="1123"/>
      <c r="O57" s="1123"/>
      <c r="P57" s="1123"/>
      <c r="Q57" s="1123"/>
      <c r="R57" s="1123"/>
      <c r="S57" s="1123"/>
      <c r="T57" s="1123"/>
      <c r="U57" s="1123"/>
      <c r="V57" s="1123"/>
      <c r="W57" s="1123"/>
      <c r="X57" s="1123"/>
      <c r="Y57" s="1123"/>
      <c r="Z57" s="1123"/>
      <c r="AA57" s="1123"/>
      <c r="AB57" s="1123"/>
    </row>
    <row r="58" spans="2:28">
      <c r="B58" s="1135" t="s">
        <v>879</v>
      </c>
      <c r="C58" s="1136">
        <v>21263.084755552401</v>
      </c>
      <c r="D58" s="1136">
        <v>13564</v>
      </c>
      <c r="E58" s="1136">
        <v>17786</v>
      </c>
      <c r="F58" s="1136">
        <v>25112.058937856873</v>
      </c>
      <c r="G58" s="1136">
        <v>60350.763780000001</v>
      </c>
      <c r="H58" s="1136">
        <v>66302.165600000008</v>
      </c>
      <c r="I58" s="1136">
        <v>58340.18875999999</v>
      </c>
      <c r="J58" s="1136">
        <v>68344.711425910849</v>
      </c>
      <c r="K58" s="1136">
        <v>70664.203556987704</v>
      </c>
      <c r="L58" s="1136">
        <v>72529.337846512019</v>
      </c>
      <c r="M58" s="1136">
        <v>43419.816117819311</v>
      </c>
      <c r="N58" s="1136">
        <v>82813.715019067109</v>
      </c>
      <c r="O58" s="1136">
        <v>77822.755851123642</v>
      </c>
      <c r="P58" s="1136">
        <v>79433.070413794514</v>
      </c>
      <c r="Q58" s="1136">
        <v>80366.237617241713</v>
      </c>
      <c r="R58" s="1136">
        <v>52062.872486030537</v>
      </c>
      <c r="S58" s="1136">
        <v>79133.029264089942</v>
      </c>
      <c r="T58" s="1136">
        <v>73235.771181725679</v>
      </c>
      <c r="U58" s="1136">
        <v>68975.673667423733</v>
      </c>
      <c r="V58" s="1136">
        <v>65219.874608244325</v>
      </c>
      <c r="W58" s="1136">
        <v>61021.035444117559</v>
      </c>
      <c r="X58" s="1136">
        <v>57190.486026879604</v>
      </c>
      <c r="Y58" s="1136">
        <v>71067.228893317064</v>
      </c>
      <c r="Z58" s="1136">
        <v>93003.742767998629</v>
      </c>
      <c r="AA58" s="1136">
        <v>89606.272317146038</v>
      </c>
      <c r="AB58" s="1136">
        <v>90028.158842310688</v>
      </c>
    </row>
    <row r="59" spans="2:28">
      <c r="B59" s="1134" t="s">
        <v>880</v>
      </c>
      <c r="C59" s="1136">
        <v>26974.084755552401</v>
      </c>
      <c r="D59" s="1136">
        <v>20509</v>
      </c>
      <c r="E59" s="1136">
        <v>23825</v>
      </c>
      <c r="F59" s="1136">
        <v>31792.058937856873</v>
      </c>
      <c r="G59" s="1136">
        <v>70301.61378</v>
      </c>
      <c r="H59" s="1136">
        <v>80770</v>
      </c>
      <c r="I59" s="1136">
        <v>75749.623519999994</v>
      </c>
      <c r="J59" s="1136">
        <v>86555.437623171456</v>
      </c>
      <c r="K59" s="1136">
        <v>96306.439118782946</v>
      </c>
      <c r="L59" s="1136">
        <v>102949.63573273945</v>
      </c>
      <c r="M59" s="1136">
        <v>108195.11505357597</v>
      </c>
      <c r="N59" s="1136">
        <v>118369.7389586168</v>
      </c>
      <c r="O59" s="1136">
        <v>121436.24360050309</v>
      </c>
      <c r="P59" s="1136">
        <v>129268.62636450346</v>
      </c>
      <c r="Q59" s="1136">
        <v>138644.71010892876</v>
      </c>
      <c r="R59" s="1136">
        <v>147632.08676510531</v>
      </c>
      <c r="S59" s="1136">
        <v>153034.85173445847</v>
      </c>
      <c r="T59" s="1136">
        <v>159271.40028165566</v>
      </c>
      <c r="U59" s="1136">
        <v>165821.61654633548</v>
      </c>
      <c r="V59" s="1136">
        <v>172704.76710030626</v>
      </c>
      <c r="W59" s="1136">
        <v>180302.20804992871</v>
      </c>
      <c r="X59" s="1136">
        <v>188345.22532097567</v>
      </c>
      <c r="Y59" s="1136">
        <v>196867.71789122923</v>
      </c>
      <c r="Z59" s="1136">
        <v>206237.65789294767</v>
      </c>
      <c r="AA59" s="1136">
        <v>216245.50132204199</v>
      </c>
      <c r="AB59" s="1136">
        <v>226950.14777444646</v>
      </c>
    </row>
    <row r="60" spans="2:28">
      <c r="B60" s="1138" t="s">
        <v>881</v>
      </c>
      <c r="C60" s="1136">
        <v>8326</v>
      </c>
      <c r="D60" s="1136">
        <v>12749</v>
      </c>
      <c r="E60" s="1136">
        <v>13500</v>
      </c>
      <c r="F60" s="1136">
        <v>18764.058937856873</v>
      </c>
      <c r="G60" s="1136">
        <v>46584.899999999994</v>
      </c>
      <c r="H60" s="1136">
        <v>39515</v>
      </c>
      <c r="I60" s="1136">
        <v>47109.623520000001</v>
      </c>
      <c r="J60" s="1136"/>
      <c r="K60" s="1136"/>
      <c r="L60" s="1136"/>
      <c r="M60" s="1136"/>
      <c r="N60" s="1150"/>
      <c r="O60" s="1150"/>
      <c r="P60" s="1150"/>
      <c r="Q60" s="1150"/>
      <c r="R60" s="1150"/>
      <c r="S60" s="1150"/>
      <c r="T60" s="1150"/>
      <c r="U60" s="1150"/>
      <c r="V60" s="1150"/>
      <c r="W60" s="1150"/>
      <c r="X60" s="1150"/>
      <c r="Y60" s="1150"/>
      <c r="Z60" s="1150"/>
      <c r="AA60" s="1150"/>
      <c r="AB60" s="1150"/>
    </row>
    <row r="61" spans="2:28">
      <c r="B61" s="1138" t="s">
        <v>882</v>
      </c>
      <c r="C61" s="1139">
        <v>6757</v>
      </c>
      <c r="D61" s="1139">
        <v>7760</v>
      </c>
      <c r="E61" s="1139">
        <v>10325</v>
      </c>
      <c r="F61" s="1136">
        <v>13028</v>
      </c>
      <c r="G61" s="1136">
        <v>23716.713780000002</v>
      </c>
      <c r="H61" s="1136">
        <v>22575.8644637332</v>
      </c>
      <c r="I61" s="1136">
        <v>28640</v>
      </c>
      <c r="J61" s="1136"/>
      <c r="K61" s="1136"/>
      <c r="L61" s="1136"/>
      <c r="M61" s="1136"/>
      <c r="N61" s="1150"/>
      <c r="O61" s="1150"/>
      <c r="P61" s="1150"/>
      <c r="Q61" s="1150"/>
      <c r="R61" s="1150"/>
      <c r="S61" s="1150"/>
      <c r="T61" s="1150"/>
      <c r="U61" s="1150"/>
      <c r="V61" s="1150"/>
      <c r="W61" s="1150"/>
      <c r="X61" s="1150"/>
      <c r="Y61" s="1150"/>
      <c r="Z61" s="1150"/>
      <c r="AA61" s="1150"/>
      <c r="AB61" s="1150"/>
    </row>
    <row r="62" spans="2:28">
      <c r="B62" s="1138" t="s">
        <v>883</v>
      </c>
      <c r="C62" s="1136">
        <v>11891.0847555524</v>
      </c>
      <c r="D62" s="1136"/>
      <c r="E62" s="1136"/>
      <c r="F62" s="1136">
        <v>0</v>
      </c>
      <c r="G62" s="1136">
        <v>0</v>
      </c>
      <c r="H62" s="1136">
        <v>18679.135536266804</v>
      </c>
      <c r="I62" s="1136">
        <v>0</v>
      </c>
      <c r="J62" s="1136"/>
      <c r="K62" s="1136"/>
      <c r="L62" s="1136"/>
      <c r="M62" s="1136"/>
      <c r="N62" s="1150"/>
      <c r="O62" s="1150"/>
      <c r="P62" s="1150"/>
      <c r="Q62" s="1150"/>
      <c r="R62" s="1150"/>
      <c r="S62" s="1150"/>
      <c r="T62" s="1150"/>
      <c r="U62" s="1150"/>
      <c r="V62" s="1150"/>
      <c r="W62" s="1150"/>
      <c r="X62" s="1150"/>
      <c r="Y62" s="1150"/>
      <c r="Z62" s="1150"/>
      <c r="AA62" s="1150"/>
      <c r="AB62" s="1150"/>
    </row>
    <row r="63" spans="2:28">
      <c r="B63" s="1134" t="s">
        <v>884</v>
      </c>
      <c r="C63" s="1136">
        <v>-5711</v>
      </c>
      <c r="D63" s="1136">
        <v>-6945</v>
      </c>
      <c r="E63" s="1136">
        <v>-6039</v>
      </c>
      <c r="F63" s="1136">
        <v>-6680</v>
      </c>
      <c r="G63" s="1136">
        <v>-9950.85</v>
      </c>
      <c r="H63" s="1136">
        <v>-14467.8344</v>
      </c>
      <c r="I63" s="1136">
        <v>-17409.43476</v>
      </c>
      <c r="J63" s="1136">
        <v>-18210.726197260603</v>
      </c>
      <c r="K63" s="1136">
        <v>-25642.235561795238</v>
      </c>
      <c r="L63" s="1136">
        <v>-30420.297886227436</v>
      </c>
      <c r="M63" s="1136">
        <v>-64775.298935756655</v>
      </c>
      <c r="N63" s="1136">
        <v>-35556.023939549697</v>
      </c>
      <c r="O63" s="1136">
        <v>-43613.487749379448</v>
      </c>
      <c r="P63" s="1136">
        <v>-49835.555950708942</v>
      </c>
      <c r="Q63" s="1136">
        <v>-58278.47249168704</v>
      </c>
      <c r="R63" s="1136">
        <v>-95569.214279074775</v>
      </c>
      <c r="S63" s="1136">
        <v>-73901.822470368526</v>
      </c>
      <c r="T63" s="1136">
        <v>-86035.629099929982</v>
      </c>
      <c r="U63" s="1136">
        <v>-96845.942878911752</v>
      </c>
      <c r="V63" s="1136">
        <v>-107484.89249206193</v>
      </c>
      <c r="W63" s="1136">
        <v>-119281.17260581115</v>
      </c>
      <c r="X63" s="1136">
        <v>-131154.73929409607</v>
      </c>
      <c r="Y63" s="1136">
        <v>-125800.48899791217</v>
      </c>
      <c r="Z63" s="1136">
        <v>-113233.91512494904</v>
      </c>
      <c r="AA63" s="1136">
        <v>-126639.22900489595</v>
      </c>
      <c r="AB63" s="1136">
        <v>-136921.98893213578</v>
      </c>
    </row>
    <row r="64" spans="2:28">
      <c r="B64" s="1134"/>
      <c r="C64" s="1136"/>
      <c r="D64" s="1136"/>
      <c r="E64" s="1136"/>
      <c r="F64" s="1136"/>
      <c r="G64" s="1136"/>
      <c r="H64" s="1136"/>
      <c r="I64" s="1127"/>
      <c r="J64" s="1127"/>
      <c r="K64" s="1127"/>
      <c r="L64" s="1127"/>
      <c r="M64" s="1127"/>
      <c r="N64" s="1123"/>
      <c r="O64" s="1123"/>
      <c r="P64" s="1123"/>
      <c r="Q64" s="1123"/>
      <c r="R64" s="1123"/>
      <c r="S64" s="1123"/>
      <c r="T64" s="1123"/>
      <c r="U64" s="1123"/>
      <c r="V64" s="1123"/>
      <c r="W64" s="1123"/>
      <c r="X64" s="1123"/>
      <c r="Y64" s="1123"/>
      <c r="Z64" s="1123"/>
      <c r="AA64" s="1123"/>
      <c r="AB64" s="1123"/>
    </row>
    <row r="65" spans="2:28">
      <c r="B65" s="1135" t="s">
        <v>885</v>
      </c>
      <c r="C65" s="1136">
        <v>21982.890360193927</v>
      </c>
      <c r="D65" s="1136">
        <v>6644.0900672735188</v>
      </c>
      <c r="E65" s="1136">
        <v>3018.8563719645572</v>
      </c>
      <c r="F65" s="1136">
        <v>13848.213470774059</v>
      </c>
      <c r="G65" s="1136">
        <v>89254.191951749104</v>
      </c>
      <c r="H65" s="1136">
        <v>58885</v>
      </c>
      <c r="I65" s="1127">
        <v>36457.190653874597</v>
      </c>
      <c r="J65" s="1127">
        <v>35135.849652248638</v>
      </c>
      <c r="K65" s="1127">
        <v>42077.290644393521</v>
      </c>
      <c r="L65" s="1127">
        <v>48802.807293908627</v>
      </c>
      <c r="M65" s="1127">
        <v>82032.518351805018</v>
      </c>
      <c r="N65" s="1127">
        <v>54960.999168754497</v>
      </c>
      <c r="O65" s="1127">
        <v>83134.847137988152</v>
      </c>
      <c r="P65" s="1127">
        <v>100620.20698883766</v>
      </c>
      <c r="Q65" s="1127">
        <v>122987.67617244201</v>
      </c>
      <c r="R65" s="1127">
        <v>178307.78622600311</v>
      </c>
      <c r="S65" s="1127">
        <v>183467.22233818349</v>
      </c>
      <c r="T65" s="1127">
        <v>225341.99691768154</v>
      </c>
      <c r="U65" s="1127">
        <v>270839.5478377181</v>
      </c>
      <c r="V65" s="1127">
        <v>312364.43141849426</v>
      </c>
      <c r="W65" s="1127">
        <v>374419.61765545566</v>
      </c>
      <c r="X65" s="1127">
        <v>444423.26531740162</v>
      </c>
      <c r="Y65" s="1127">
        <v>490726.79006361705</v>
      </c>
      <c r="Z65" s="1127">
        <v>528945.35009750014</v>
      </c>
      <c r="AA65" s="1127">
        <v>590654.68284546293</v>
      </c>
      <c r="AB65" s="1127">
        <v>645470.17805728561</v>
      </c>
    </row>
    <row r="66" spans="2:28">
      <c r="B66" s="1134" t="s">
        <v>886</v>
      </c>
      <c r="C66" s="1136">
        <v>21982.890360193927</v>
      </c>
      <c r="D66" s="1136">
        <v>6644.0900672735188</v>
      </c>
      <c r="E66" s="1136">
        <v>3018.8563719645572</v>
      </c>
      <c r="F66" s="1136">
        <v>20770.469070774059</v>
      </c>
      <c r="G66" s="1136">
        <v>94839.106681749108</v>
      </c>
      <c r="H66" s="1136">
        <v>66308</v>
      </c>
      <c r="I66" s="1136">
        <v>36457.190653874597</v>
      </c>
      <c r="J66" s="1136">
        <v>35135.849652248638</v>
      </c>
      <c r="K66" s="1136">
        <v>42077.290644393521</v>
      </c>
      <c r="L66" s="1136">
        <v>48802.807293908627</v>
      </c>
      <c r="M66" s="1136">
        <v>82032.518351805018</v>
      </c>
      <c r="N66" s="1136">
        <v>54960.999168754497</v>
      </c>
      <c r="O66" s="1136">
        <v>83134.847137988152</v>
      </c>
      <c r="P66" s="1136">
        <v>100620.20698883766</v>
      </c>
      <c r="Q66" s="1136">
        <v>122987.67617244201</v>
      </c>
      <c r="R66" s="1136">
        <v>178307.78622600311</v>
      </c>
      <c r="S66" s="1136">
        <v>183467.22233818349</v>
      </c>
      <c r="T66" s="1136">
        <v>225341.99691768154</v>
      </c>
      <c r="U66" s="1136">
        <v>270839.5478377181</v>
      </c>
      <c r="V66" s="1136">
        <v>312364.43141849426</v>
      </c>
      <c r="W66" s="1136">
        <v>374419.61765545566</v>
      </c>
      <c r="X66" s="1136">
        <v>444423.26531740162</v>
      </c>
      <c r="Y66" s="1136">
        <v>490726.79006361705</v>
      </c>
      <c r="Z66" s="1136">
        <v>528945.35009750014</v>
      </c>
      <c r="AA66" s="1136">
        <v>590654.68284546293</v>
      </c>
      <c r="AB66" s="1136">
        <v>645470.17805728561</v>
      </c>
    </row>
    <row r="67" spans="2:28">
      <c r="B67" s="1138" t="s">
        <v>887</v>
      </c>
      <c r="C67" s="1136">
        <v>20630.290360193936</v>
      </c>
      <c r="D67" s="1136">
        <v>28260.686067273509</v>
      </c>
      <c r="E67" s="1136">
        <v>33351.061371964563</v>
      </c>
      <c r="F67" s="1136">
        <v>26214.745990774056</v>
      </c>
      <c r="G67" s="1136">
        <v>14040.122301749121</v>
      </c>
      <c r="H67" s="1136">
        <v>21643.999999999996</v>
      </c>
      <c r="I67" s="1127">
        <v>36457.190653874597</v>
      </c>
      <c r="J67" s="1127">
        <v>35135.849652248638</v>
      </c>
      <c r="K67" s="1127">
        <v>42077.290644393521</v>
      </c>
      <c r="L67" s="1127">
        <v>48802.807293908627</v>
      </c>
      <c r="M67" s="1127">
        <v>82032.518351805018</v>
      </c>
      <c r="N67" s="1127">
        <v>54960.999168754497</v>
      </c>
      <c r="O67" s="1127">
        <v>83134.847137988152</v>
      </c>
      <c r="P67" s="1127">
        <v>100620.20698883766</v>
      </c>
      <c r="Q67" s="1127">
        <v>122987.67617244201</v>
      </c>
      <c r="R67" s="1127">
        <v>178307.78622600311</v>
      </c>
      <c r="S67" s="1127">
        <v>183467.22233818349</v>
      </c>
      <c r="T67" s="1127">
        <v>225341.99691768154</v>
      </c>
      <c r="U67" s="1127">
        <v>270839.5478377181</v>
      </c>
      <c r="V67" s="1127">
        <v>312364.43141849426</v>
      </c>
      <c r="W67" s="1127">
        <v>374419.61765545566</v>
      </c>
      <c r="X67" s="1127">
        <v>444423.26531740162</v>
      </c>
      <c r="Y67" s="1127">
        <v>490726.79006361705</v>
      </c>
      <c r="Z67" s="1127">
        <v>528945.35009750014</v>
      </c>
      <c r="AA67" s="1127">
        <v>590654.68284546293</v>
      </c>
      <c r="AB67" s="1127">
        <v>645470.17805728561</v>
      </c>
    </row>
    <row r="68" spans="2:28">
      <c r="B68" s="1151" t="s">
        <v>888</v>
      </c>
      <c r="C68" s="1136">
        <v>15130.290360193936</v>
      </c>
      <c r="D68" s="1136">
        <v>23260.686067273509</v>
      </c>
      <c r="E68" s="1136">
        <v>26351.061371964563</v>
      </c>
      <c r="F68" s="1136">
        <v>24714.745990774056</v>
      </c>
      <c r="G68" s="1136">
        <v>-1959.8776982508784</v>
      </c>
      <c r="H68" s="1136">
        <v>15643.999999999996</v>
      </c>
      <c r="I68" s="1136">
        <v>41457.190653874597</v>
      </c>
      <c r="J68" s="1127"/>
      <c r="K68" s="1127"/>
      <c r="L68" s="1127"/>
      <c r="M68" s="1127"/>
      <c r="N68" s="1123"/>
      <c r="O68" s="1123"/>
      <c r="P68" s="1123"/>
      <c r="Q68" s="1123"/>
      <c r="R68" s="1123"/>
      <c r="S68" s="1123"/>
      <c r="T68" s="1123"/>
      <c r="U68" s="1123"/>
      <c r="V68" s="1123"/>
      <c r="W68" s="1123"/>
      <c r="X68" s="1123"/>
      <c r="Y68" s="1123"/>
      <c r="Z68" s="1123"/>
      <c r="AA68" s="1123"/>
      <c r="AB68" s="1123"/>
    </row>
    <row r="69" spans="2:28">
      <c r="B69" s="1152" t="s">
        <v>889</v>
      </c>
      <c r="C69" s="1127">
        <v>232.21536019393696</v>
      </c>
      <c r="D69" s="1127">
        <v>584.68606727351255</v>
      </c>
      <c r="E69" s="1127">
        <v>-10228.938628035448</v>
      </c>
      <c r="F69" s="1127">
        <v>8244.7459907740576</v>
      </c>
      <c r="G69" s="1127">
        <v>-8358.9556982508693</v>
      </c>
      <c r="H69" s="1127">
        <v>-2599.9999999999995</v>
      </c>
      <c r="I69" s="1127">
        <v>8546.9907963686783</v>
      </c>
      <c r="J69" s="1127"/>
      <c r="K69" s="1127"/>
      <c r="L69" s="1127"/>
      <c r="M69" s="1127"/>
      <c r="N69" s="1123"/>
      <c r="O69" s="1123"/>
      <c r="P69" s="1123"/>
      <c r="Q69" s="1123"/>
      <c r="R69" s="1123"/>
      <c r="S69" s="1123"/>
      <c r="T69" s="1123"/>
      <c r="U69" s="1123"/>
      <c r="V69" s="1123"/>
      <c r="W69" s="1123"/>
      <c r="X69" s="1123"/>
      <c r="Y69" s="1123"/>
      <c r="Z69" s="1123"/>
      <c r="AA69" s="1123"/>
      <c r="AB69" s="1123"/>
    </row>
    <row r="70" spans="2:28">
      <c r="B70" s="1152" t="s">
        <v>890</v>
      </c>
      <c r="C70" s="1127">
        <v>11654</v>
      </c>
      <c r="D70" s="1127">
        <v>20125.999999999996</v>
      </c>
      <c r="E70" s="1127">
        <v>34580.000000000007</v>
      </c>
      <c r="F70" s="1127">
        <v>16720</v>
      </c>
      <c r="G70" s="1127">
        <v>-6574.7000000000071</v>
      </c>
      <c r="H70" s="1127">
        <v>27272.999999999996</v>
      </c>
      <c r="I70" s="1127">
        <v>25931.921769133765</v>
      </c>
      <c r="J70" s="1127"/>
      <c r="K70" s="1127">
        <v>37550</v>
      </c>
      <c r="L70" s="1127"/>
      <c r="M70" s="1127"/>
      <c r="N70" s="1123"/>
      <c r="O70" s="1123"/>
      <c r="P70" s="1123"/>
      <c r="Q70" s="1123"/>
      <c r="R70" s="1123"/>
      <c r="S70" s="1123"/>
      <c r="T70" s="1123"/>
      <c r="U70" s="1123"/>
      <c r="V70" s="1123"/>
      <c r="W70" s="1123"/>
      <c r="X70" s="1123"/>
      <c r="Y70" s="1123"/>
      <c r="Z70" s="1123"/>
      <c r="AA70" s="1123"/>
      <c r="AB70" s="1123"/>
    </row>
    <row r="71" spans="2:28">
      <c r="B71" s="1152" t="s">
        <v>891</v>
      </c>
      <c r="C71" s="1127">
        <v>0</v>
      </c>
      <c r="D71" s="1127">
        <v>0</v>
      </c>
      <c r="E71" s="1127">
        <v>0</v>
      </c>
      <c r="F71" s="1127">
        <v>0</v>
      </c>
      <c r="G71" s="1127">
        <v>9323.8529999999992</v>
      </c>
      <c r="H71" s="1127">
        <v>-6750</v>
      </c>
      <c r="I71" s="1127">
        <v>4478.7113981843395</v>
      </c>
      <c r="J71" s="1127"/>
      <c r="K71" s="1127"/>
      <c r="L71" s="1127"/>
      <c r="M71" s="1127"/>
      <c r="N71" s="1123"/>
      <c r="O71" s="1123"/>
      <c r="P71" s="1123"/>
      <c r="Q71" s="1123"/>
      <c r="R71" s="1123"/>
      <c r="S71" s="1123"/>
      <c r="T71" s="1123"/>
      <c r="U71" s="1123"/>
      <c r="V71" s="1123"/>
      <c r="W71" s="1123"/>
      <c r="X71" s="1123"/>
      <c r="Y71" s="1123"/>
      <c r="Z71" s="1123"/>
      <c r="AA71" s="1123"/>
      <c r="AB71" s="1123"/>
    </row>
    <row r="72" spans="2:28">
      <c r="B72" s="1152" t="s">
        <v>61</v>
      </c>
      <c r="C72" s="1127">
        <v>3244.0749999999998</v>
      </c>
      <c r="D72" s="1127">
        <v>2550</v>
      </c>
      <c r="E72" s="1127">
        <v>2000.0000000000018</v>
      </c>
      <c r="F72" s="1127">
        <v>-250</v>
      </c>
      <c r="G72" s="1127">
        <v>3649.9249999999997</v>
      </c>
      <c r="H72" s="1127">
        <v>-2279</v>
      </c>
      <c r="I72" s="1127">
        <v>2499.5666901878126</v>
      </c>
      <c r="J72" s="1127"/>
      <c r="K72" s="1127"/>
      <c r="L72" s="1127"/>
      <c r="M72" s="1127"/>
      <c r="N72" s="1123"/>
      <c r="O72" s="1123"/>
      <c r="P72" s="1123"/>
      <c r="Q72" s="1123"/>
      <c r="R72" s="1123"/>
      <c r="S72" s="1123"/>
      <c r="T72" s="1123"/>
      <c r="U72" s="1123"/>
      <c r="V72" s="1123"/>
      <c r="W72" s="1123"/>
      <c r="X72" s="1123"/>
      <c r="Y72" s="1123"/>
      <c r="Z72" s="1123"/>
      <c r="AA72" s="1123"/>
      <c r="AB72" s="1137"/>
    </row>
    <row r="73" spans="2:28">
      <c r="B73" s="1151" t="s">
        <v>892</v>
      </c>
      <c r="C73" s="1127">
        <v>5500</v>
      </c>
      <c r="D73" s="1127">
        <v>5000</v>
      </c>
      <c r="E73" s="1127">
        <v>7000</v>
      </c>
      <c r="F73" s="1127">
        <v>1500</v>
      </c>
      <c r="G73" s="1127">
        <v>16000</v>
      </c>
      <c r="H73" s="1127">
        <v>6000</v>
      </c>
      <c r="I73" s="1127">
        <v>-5000</v>
      </c>
      <c r="J73" s="1127"/>
      <c r="K73" s="1127"/>
      <c r="L73" s="1127"/>
      <c r="M73" s="1127"/>
      <c r="N73" s="1123"/>
      <c r="O73" s="1123"/>
      <c r="P73" s="1123"/>
      <c r="Q73" s="1123"/>
      <c r="R73" s="1123"/>
      <c r="S73" s="1123"/>
      <c r="T73" s="1123"/>
      <c r="U73" s="1123"/>
      <c r="V73" s="1123"/>
      <c r="W73" s="1123"/>
      <c r="X73" s="1123"/>
      <c r="Y73" s="1123"/>
      <c r="Z73" s="1123"/>
      <c r="AA73" s="1123"/>
      <c r="AB73" s="1123"/>
    </row>
    <row r="74" spans="2:28">
      <c r="B74" s="1138" t="s">
        <v>893</v>
      </c>
      <c r="C74" s="1136">
        <v>2158.0069999999996</v>
      </c>
      <c r="D74" s="1136">
        <v>320.64900000000085</v>
      </c>
      <c r="E74" s="1136">
        <v>-5174.5779999999995</v>
      </c>
      <c r="F74" s="1136">
        <v>5853.7030800000011</v>
      </c>
      <c r="G74" s="1136">
        <v>38354.598380000003</v>
      </c>
      <c r="H74" s="1136">
        <v>44664</v>
      </c>
      <c r="I74" s="1136">
        <v>0</v>
      </c>
      <c r="J74" s="1127"/>
      <c r="K74" s="1127"/>
      <c r="L74" s="1127"/>
      <c r="M74" s="1127"/>
      <c r="N74" s="1127"/>
      <c r="O74" s="1127"/>
      <c r="P74" s="1127"/>
      <c r="Q74" s="1127"/>
      <c r="R74" s="1127"/>
      <c r="S74" s="1127"/>
      <c r="T74" s="1127"/>
      <c r="U74" s="1127"/>
      <c r="V74" s="1127"/>
      <c r="W74" s="1127"/>
      <c r="X74" s="1127"/>
      <c r="Y74" s="1127"/>
      <c r="Z74" s="1127"/>
      <c r="AA74" s="1127"/>
      <c r="AB74" s="1127"/>
    </row>
    <row r="75" spans="2:28">
      <c r="B75" s="1151" t="s">
        <v>894</v>
      </c>
      <c r="C75" s="1136">
        <v>158.75899999999987</v>
      </c>
      <c r="D75" s="1136">
        <v>244.10800000000066</v>
      </c>
      <c r="E75" s="1136">
        <v>-261.99499999999887</v>
      </c>
      <c r="F75" s="1136">
        <v>-449.46199999999868</v>
      </c>
      <c r="G75" s="1136">
        <v>-117.3660000000023</v>
      </c>
      <c r="H75" s="1136">
        <v>0</v>
      </c>
      <c r="I75" s="1136">
        <v>0</v>
      </c>
      <c r="J75" s="1127"/>
      <c r="K75" s="1127"/>
      <c r="L75" s="1127"/>
      <c r="M75" s="1127"/>
      <c r="N75" s="1123"/>
      <c r="O75" s="1123"/>
      <c r="P75" s="1123"/>
      <c r="Q75" s="1123"/>
      <c r="R75" s="1123"/>
      <c r="S75" s="1123"/>
      <c r="T75" s="1123"/>
      <c r="U75" s="1123"/>
      <c r="V75" s="1123"/>
      <c r="W75" s="1123"/>
      <c r="X75" s="1123"/>
      <c r="Y75" s="1123"/>
      <c r="Z75" s="1123"/>
      <c r="AA75" s="1123"/>
      <c r="AB75" s="1123"/>
    </row>
    <row r="76" spans="2:28">
      <c r="B76" s="1151" t="s">
        <v>895</v>
      </c>
      <c r="C76" s="1136">
        <v>-0.75200000000030798</v>
      </c>
      <c r="D76" s="1136">
        <v>76.541000000000196</v>
      </c>
      <c r="E76" s="1136">
        <v>166.41700000000003</v>
      </c>
      <c r="F76" s="1136">
        <v>-45.870999999999995</v>
      </c>
      <c r="G76" s="1136">
        <v>10657.169000000004</v>
      </c>
      <c r="H76" s="1136">
        <v>3000</v>
      </c>
      <c r="I76" s="1136">
        <v>0</v>
      </c>
      <c r="J76" s="1127"/>
      <c r="K76" s="1127"/>
      <c r="L76" s="1127"/>
      <c r="M76" s="1127"/>
      <c r="N76" s="1123"/>
      <c r="O76" s="1123"/>
      <c r="P76" s="1123"/>
      <c r="Q76" s="1123"/>
      <c r="R76" s="1123"/>
      <c r="S76" s="1123"/>
      <c r="T76" s="1123"/>
      <c r="U76" s="1123"/>
      <c r="V76" s="1123"/>
      <c r="W76" s="1123"/>
      <c r="X76" s="1123"/>
      <c r="Y76" s="1123"/>
      <c r="Z76" s="1123"/>
      <c r="AA76" s="1123"/>
      <c r="AB76" s="1123"/>
    </row>
    <row r="77" spans="2:28">
      <c r="B77" s="1151" t="s">
        <v>896</v>
      </c>
      <c r="C77" s="1136">
        <v>2000</v>
      </c>
      <c r="D77" s="1136">
        <v>0</v>
      </c>
      <c r="E77" s="1136">
        <v>-5079.0000000000009</v>
      </c>
      <c r="F77" s="1136">
        <v>3000</v>
      </c>
      <c r="G77" s="1136">
        <v>13000</v>
      </c>
      <c r="H77" s="1136">
        <v>30000</v>
      </c>
      <c r="I77" s="1136">
        <v>0</v>
      </c>
      <c r="J77" s="1127"/>
      <c r="K77" s="1127"/>
      <c r="L77" s="1127"/>
      <c r="M77" s="1127"/>
      <c r="N77" s="1123"/>
      <c r="O77" s="1123"/>
      <c r="P77" s="1123"/>
      <c r="Q77" s="1123"/>
      <c r="R77" s="1123"/>
      <c r="S77" s="1123"/>
      <c r="T77" s="1123"/>
      <c r="U77" s="1123"/>
      <c r="V77" s="1123"/>
      <c r="W77" s="1123"/>
      <c r="X77" s="1123"/>
      <c r="Y77" s="1123"/>
      <c r="Z77" s="1123"/>
      <c r="AA77" s="1123"/>
      <c r="AB77" s="1123"/>
    </row>
    <row r="78" spans="2:28">
      <c r="B78" s="1151" t="s">
        <v>897</v>
      </c>
      <c r="C78" s="1136"/>
      <c r="D78" s="1136"/>
      <c r="E78" s="1136"/>
      <c r="F78" s="1139">
        <v>3349.0360799999999</v>
      </c>
      <c r="G78" s="1139">
        <v>14814.795380000001</v>
      </c>
      <c r="H78" s="1139">
        <v>11664.000000000002</v>
      </c>
      <c r="I78" s="1139">
        <v>0</v>
      </c>
      <c r="J78" s="1127"/>
      <c r="K78" s="1127"/>
      <c r="L78" s="1127"/>
      <c r="M78" s="1127"/>
      <c r="N78" s="1123"/>
      <c r="O78" s="1123"/>
      <c r="P78" s="1123"/>
      <c r="Q78" s="1123"/>
      <c r="R78" s="1123"/>
      <c r="S78" s="1123"/>
      <c r="T78" s="1123"/>
      <c r="U78" s="1123"/>
      <c r="V78" s="1123"/>
      <c r="W78" s="1123"/>
      <c r="X78" s="1123"/>
      <c r="Y78" s="1123"/>
      <c r="Z78" s="1123"/>
      <c r="AA78" s="1123"/>
      <c r="AB78" s="1123"/>
    </row>
    <row r="79" spans="2:28">
      <c r="B79" s="1138" t="s">
        <v>898</v>
      </c>
      <c r="C79" s="1136">
        <v>-805.40700000000948</v>
      </c>
      <c r="D79" s="1136">
        <v>-21937.244999999992</v>
      </c>
      <c r="E79" s="1136">
        <v>-25157.627000000004</v>
      </c>
      <c r="F79" s="1139">
        <v>-11297.979999999996</v>
      </c>
      <c r="G79" s="1139">
        <v>42444.385999999991</v>
      </c>
      <c r="H79" s="1139">
        <v>0</v>
      </c>
      <c r="I79" s="1139"/>
      <c r="J79" s="1127"/>
      <c r="K79" s="1127"/>
      <c r="L79" s="1127"/>
      <c r="M79" s="1127"/>
      <c r="N79" s="1127"/>
      <c r="O79" s="1127"/>
      <c r="P79" s="1127"/>
      <c r="Q79" s="1127"/>
      <c r="R79" s="1127"/>
      <c r="S79" s="1127"/>
      <c r="T79" s="1127"/>
      <c r="U79" s="1127"/>
      <c r="V79" s="1127"/>
      <c r="W79" s="1127"/>
      <c r="X79" s="1127"/>
      <c r="Y79" s="1127"/>
      <c r="Z79" s="1127"/>
      <c r="AA79" s="1127"/>
      <c r="AB79" s="1127"/>
    </row>
    <row r="80" spans="2:28">
      <c r="B80" s="1153" t="s">
        <v>899</v>
      </c>
      <c r="C80" s="1136"/>
      <c r="D80" s="1136"/>
      <c r="E80" s="1136"/>
      <c r="F80" s="1136">
        <v>-6922.2555999999995</v>
      </c>
      <c r="G80" s="1136">
        <v>-5584.9147300000022</v>
      </c>
      <c r="H80" s="1136">
        <v>-7423.0000000000018</v>
      </c>
      <c r="I80" s="1136">
        <v>0</v>
      </c>
      <c r="J80" s="1136"/>
      <c r="K80" s="1136"/>
      <c r="L80" s="1136"/>
      <c r="M80" s="1136"/>
      <c r="N80" s="1136"/>
      <c r="O80" s="1136"/>
      <c r="P80" s="1136"/>
      <c r="Q80" s="1136"/>
      <c r="R80" s="1136"/>
      <c r="S80" s="1136"/>
      <c r="T80" s="1136"/>
      <c r="U80" s="1136"/>
      <c r="V80" s="1136"/>
      <c r="W80" s="1136"/>
      <c r="X80" s="1136"/>
      <c r="Y80" s="1136"/>
      <c r="Z80" s="1136"/>
      <c r="AA80" s="1136"/>
      <c r="AB80" s="1136"/>
    </row>
    <row r="81" spans="2:28">
      <c r="B81" s="1154" t="s">
        <v>900</v>
      </c>
      <c r="C81" s="1136"/>
      <c r="D81" s="1136"/>
      <c r="E81" s="1136"/>
      <c r="F81" s="1136"/>
      <c r="G81" s="1136">
        <v>10000</v>
      </c>
      <c r="H81" s="1136">
        <v>2000</v>
      </c>
      <c r="I81" s="1136">
        <v>0</v>
      </c>
      <c r="J81" s="1127"/>
      <c r="K81" s="1127"/>
      <c r="L81" s="1127"/>
      <c r="M81" s="1127"/>
      <c r="N81" s="1127"/>
      <c r="O81" s="1127"/>
      <c r="P81" s="1127"/>
      <c r="Q81" s="1127"/>
      <c r="R81" s="1127"/>
      <c r="S81" s="1127"/>
      <c r="T81" s="1127"/>
      <c r="U81" s="1127"/>
      <c r="V81" s="1127"/>
      <c r="W81" s="1127"/>
      <c r="X81" s="1127"/>
      <c r="Y81" s="1127"/>
      <c r="Z81" s="1127"/>
      <c r="AA81" s="1127"/>
      <c r="AB81" s="1127"/>
    </row>
    <row r="82" spans="2:28">
      <c r="B82" s="1154" t="s">
        <v>901</v>
      </c>
      <c r="C82" s="1136"/>
      <c r="D82" s="1136"/>
      <c r="E82" s="1136"/>
      <c r="F82" s="1139">
        <v>-6922.2555999999995</v>
      </c>
      <c r="G82" s="1139">
        <v>-15584.914730000002</v>
      </c>
      <c r="H82" s="1139">
        <v>-9423.0000000000018</v>
      </c>
      <c r="I82" s="1139">
        <v>0</v>
      </c>
      <c r="J82" s="1127"/>
      <c r="K82" s="1127"/>
      <c r="L82" s="1127"/>
      <c r="M82" s="1127"/>
      <c r="N82" s="1127"/>
      <c r="O82" s="1127"/>
      <c r="P82" s="1127"/>
      <c r="Q82" s="1127"/>
      <c r="R82" s="1127"/>
      <c r="S82" s="1127"/>
      <c r="T82" s="1127"/>
      <c r="U82" s="1127"/>
      <c r="V82" s="1127"/>
      <c r="W82" s="1127"/>
      <c r="X82" s="1127"/>
      <c r="Y82" s="1127"/>
      <c r="Z82" s="1127"/>
      <c r="AA82" s="1127"/>
      <c r="AB82" s="1127"/>
    </row>
    <row r="83" spans="2:28">
      <c r="B83" s="1155" t="s">
        <v>902</v>
      </c>
      <c r="C83" s="1156">
        <v>-15627.495115746351</v>
      </c>
      <c r="D83" s="1156">
        <v>-18214.090067273519</v>
      </c>
      <c r="E83" s="1156">
        <v>8215.7225550354378</v>
      </c>
      <c r="F83" s="1156">
        <v>-21208.491928630916</v>
      </c>
      <c r="G83" s="1156">
        <v>-472.1566817490675</v>
      </c>
      <c r="H83" s="1156">
        <v>1868.1529496553703</v>
      </c>
      <c r="I83" s="1156">
        <v>0</v>
      </c>
      <c r="J83" s="1156">
        <v>0</v>
      </c>
      <c r="K83" s="1156">
        <v>0</v>
      </c>
      <c r="L83" s="1156">
        <v>0</v>
      </c>
      <c r="M83" s="1156">
        <v>0</v>
      </c>
      <c r="N83" s="1156">
        <v>0</v>
      </c>
      <c r="O83" s="1156">
        <v>0</v>
      </c>
      <c r="P83" s="1156">
        <v>0</v>
      </c>
      <c r="Q83" s="1156">
        <v>0</v>
      </c>
      <c r="R83" s="1156">
        <v>0</v>
      </c>
      <c r="S83" s="1156">
        <v>0</v>
      </c>
      <c r="T83" s="1156">
        <v>0</v>
      </c>
      <c r="U83" s="1156">
        <v>0</v>
      </c>
      <c r="V83" s="1156">
        <v>0</v>
      </c>
      <c r="W83" s="1156">
        <v>0</v>
      </c>
      <c r="X83" s="1156">
        <v>0</v>
      </c>
      <c r="Y83" s="1156">
        <v>0</v>
      </c>
      <c r="Z83" s="1156">
        <v>0</v>
      </c>
      <c r="AA83" s="1156">
        <v>0</v>
      </c>
      <c r="AB83" s="1156">
        <v>0</v>
      </c>
    </row>
    <row r="84" spans="2:28">
      <c r="B84" s="1157" t="s">
        <v>903</v>
      </c>
      <c r="C84" s="1136"/>
      <c r="D84" s="1136"/>
      <c r="E84" s="1136"/>
      <c r="F84" s="1136"/>
      <c r="G84" s="1136"/>
      <c r="H84" s="1136"/>
      <c r="I84" s="1127"/>
      <c r="J84" s="1127"/>
      <c r="K84" s="1127"/>
      <c r="L84" s="1127"/>
      <c r="M84" s="1127"/>
      <c r="N84" s="1123"/>
      <c r="O84" s="1123"/>
      <c r="P84" s="1123"/>
      <c r="Q84" s="1123"/>
      <c r="R84" s="1123"/>
      <c r="S84" s="1123"/>
      <c r="T84" s="1123"/>
      <c r="U84" s="1123"/>
      <c r="V84" s="1123"/>
      <c r="W84" s="1123"/>
      <c r="X84" s="1123"/>
      <c r="Y84" s="1123"/>
      <c r="Z84" s="1123"/>
      <c r="AA84" s="1123"/>
      <c r="AB84" s="1123"/>
    </row>
    <row r="85" spans="2:28">
      <c r="B85" s="1143" t="s">
        <v>904</v>
      </c>
      <c r="C85" s="1158">
        <v>7198</v>
      </c>
      <c r="D85" s="1158">
        <v>6838</v>
      </c>
      <c r="E85" s="1158">
        <v>12034.648999999999</v>
      </c>
      <c r="F85" s="1139">
        <v>13818.594999999999</v>
      </c>
      <c r="G85" s="1139">
        <v>15400</v>
      </c>
      <c r="H85" s="1139">
        <v>34769.718000000008</v>
      </c>
      <c r="I85" s="1127">
        <v>31000</v>
      </c>
      <c r="J85" s="1140">
        <v>30142.704759123942</v>
      </c>
      <c r="K85" s="1140">
        <v>29421.827748588406</v>
      </c>
      <c r="L85" s="1140">
        <v>28640.604635966676</v>
      </c>
      <c r="M85" s="1140">
        <v>27752.452603097019</v>
      </c>
      <c r="N85" s="1140">
        <v>26781.830517368224</v>
      </c>
      <c r="O85" s="1140">
        <v>25799.570483292002</v>
      </c>
      <c r="P85" s="1140">
        <v>24853.19013940691</v>
      </c>
      <c r="Q85" s="1140">
        <v>23949.193740755632</v>
      </c>
      <c r="R85" s="1140">
        <v>23085.825740657514</v>
      </c>
      <c r="S85" s="1140">
        <v>22247.771002311158</v>
      </c>
      <c r="T85" s="1140">
        <v>21447.741310094694</v>
      </c>
      <c r="U85" s="1140">
        <v>20667.085918004235</v>
      </c>
      <c r="V85" s="1140">
        <v>19757.070429973301</v>
      </c>
      <c r="W85" s="1140">
        <v>18916.343553289866</v>
      </c>
      <c r="X85" s="1140">
        <v>18017.110006672629</v>
      </c>
      <c r="Y85" s="1140">
        <v>17157.193772956183</v>
      </c>
      <c r="Z85" s="1140">
        <v>16312.164397634961</v>
      </c>
      <c r="AA85" s="1140">
        <v>15490.677782956058</v>
      </c>
      <c r="AB85" s="1140">
        <v>14706.697779187632</v>
      </c>
    </row>
    <row r="86" spans="2:28">
      <c r="B86" s="1143" t="s">
        <v>905</v>
      </c>
      <c r="C86" s="1130">
        <v>-34816.479999999981</v>
      </c>
      <c r="D86" s="1130">
        <v>-8832</v>
      </c>
      <c r="E86" s="1130">
        <v>-41055.227926999993</v>
      </c>
      <c r="F86" s="1136">
        <v>-31570.375480000017</v>
      </c>
      <c r="G86" s="1136">
        <v>-164532.79905000003</v>
      </c>
      <c r="H86" s="1136">
        <v>-161825.03654965537</v>
      </c>
      <c r="I86" s="1136">
        <v>-125797.37941387459</v>
      </c>
      <c r="J86" s="1136">
        <v>-133623.26583728343</v>
      </c>
      <c r="K86" s="1136">
        <v>-142163.32194996963</v>
      </c>
      <c r="L86" s="1136">
        <v>-149972.74977638733</v>
      </c>
      <c r="M86" s="1136">
        <v>-153204.78707272134</v>
      </c>
      <c r="N86" s="1136">
        <v>-164556.54470518982</v>
      </c>
      <c r="O86" s="1136">
        <v>-186757.17347240378</v>
      </c>
      <c r="P86" s="1136">
        <v>-204906.46754203908</v>
      </c>
      <c r="Q86" s="1136">
        <v>-227303.10753043936</v>
      </c>
      <c r="R86" s="1136">
        <v>-253456.48445269116</v>
      </c>
      <c r="S86" s="1136">
        <v>-284848.02260458458</v>
      </c>
      <c r="T86" s="1136">
        <v>-320025.50940950192</v>
      </c>
      <c r="U86" s="1136">
        <v>-360482.30742314603</v>
      </c>
      <c r="V86" s="1136">
        <v>-397341.37645671191</v>
      </c>
      <c r="W86" s="1136">
        <v>-454356.9966528631</v>
      </c>
      <c r="X86" s="1136">
        <v>-519630.86135095387</v>
      </c>
      <c r="Y86" s="1136">
        <v>-578951.21272989025</v>
      </c>
      <c r="Z86" s="1136">
        <v>-638261.25726313365</v>
      </c>
      <c r="AA86" s="1136">
        <v>-695751.63294556504</v>
      </c>
      <c r="AB86" s="1136">
        <v>-750205.03467878385</v>
      </c>
    </row>
    <row r="87" spans="2:28">
      <c r="B87" s="1143" t="s">
        <v>906</v>
      </c>
      <c r="C87" s="1127">
        <v>249286.47999999998</v>
      </c>
      <c r="D87" s="1127">
        <v>273501</v>
      </c>
      <c r="E87" s="1127">
        <v>344271.17892700003</v>
      </c>
      <c r="F87" s="1127">
        <v>431556.78048000002</v>
      </c>
      <c r="G87" s="1127">
        <v>567593.79905000003</v>
      </c>
      <c r="H87" s="1127">
        <v>659662</v>
      </c>
      <c r="I87" s="1127">
        <v>728042.58629371738</v>
      </c>
      <c r="J87" s="1127">
        <v>830794.47122109961</v>
      </c>
      <c r="K87" s="1127">
        <v>952326.19648296747</v>
      </c>
      <c r="L87" s="1127">
        <v>1088722.3729060816</v>
      </c>
      <c r="M87" s="1127">
        <v>1240411.4360034491</v>
      </c>
      <c r="N87" s="1127">
        <v>1403722.580987175</v>
      </c>
      <c r="O87" s="1127">
        <v>1585768.1750625097</v>
      </c>
      <c r="P87" s="1127">
        <v>1785727.9075030268</v>
      </c>
      <c r="Q87" s="1127">
        <v>2011722.861388817</v>
      </c>
      <c r="R87" s="1127">
        <v>2268213.7290565507</v>
      </c>
      <c r="S87" s="1127">
        <v>2556684.9930687323</v>
      </c>
      <c r="T87" s="1127">
        <v>2885428.7581617837</v>
      </c>
      <c r="U87" s="1127">
        <v>3257134.1722966237</v>
      </c>
      <c r="V87" s="1127">
        <v>3644189.8511112896</v>
      </c>
      <c r="W87" s="1127">
        <v>4108989.0974440868</v>
      </c>
      <c r="X87" s="1127">
        <v>4614177.7140776366</v>
      </c>
      <c r="Y87" s="1127">
        <v>5169356.9001235208</v>
      </c>
      <c r="Z87" s="1127">
        <v>5782064.4112543175</v>
      </c>
      <c r="AA87" s="1127">
        <v>6459855.9002221962</v>
      </c>
      <c r="AB87" s="1127">
        <v>7215204.6200859239</v>
      </c>
    </row>
    <row r="88" spans="2:28">
      <c r="B88" s="1122" t="s">
        <v>907</v>
      </c>
      <c r="C88" s="1159">
        <v>20.960520595488116</v>
      </c>
      <c r="D88" s="1159">
        <v>2.2106342604624833</v>
      </c>
      <c r="E88" s="1159">
        <v>17.526792129675979</v>
      </c>
      <c r="F88" s="1159">
        <v>2.2382864104390165</v>
      </c>
      <c r="G88" s="1159">
        <v>24.805408958215203</v>
      </c>
      <c r="H88" s="1159">
        <v>7.0133239972597945</v>
      </c>
      <c r="I88" s="1159">
        <v>-3.0979245709529817</v>
      </c>
      <c r="J88" s="1159">
        <v>7.4223947164476263</v>
      </c>
      <c r="K88" s="1159">
        <v>8.6283743418805088</v>
      </c>
      <c r="L88" s="1159">
        <v>8.822421973357276</v>
      </c>
      <c r="M88" s="1159">
        <v>8.6827588807114946</v>
      </c>
      <c r="N88" s="1159">
        <v>8.1658851445216918</v>
      </c>
      <c r="O88" s="1159">
        <v>7.9687729285733431</v>
      </c>
      <c r="P88" s="1159">
        <v>7.6096446873537982</v>
      </c>
      <c r="Q88" s="1159">
        <v>7.655620877975406</v>
      </c>
      <c r="R88" s="1159">
        <v>7.7498112483875596</v>
      </c>
      <c r="S88" s="1159">
        <v>7.7179930319956069</v>
      </c>
      <c r="T88" s="1159">
        <v>7.8582037280419197</v>
      </c>
      <c r="U88" s="1159">
        <v>7.8821553151650345</v>
      </c>
      <c r="V88" s="1159">
        <v>6.8833200703475388</v>
      </c>
      <c r="W88" s="1159">
        <v>7.7545288616357331</v>
      </c>
      <c r="X88" s="1159">
        <v>7.2947178649804103</v>
      </c>
      <c r="Y88" s="1159">
        <v>7.0320286830751364</v>
      </c>
      <c r="Z88" s="1159">
        <v>6.8526834762783437</v>
      </c>
      <c r="AA88" s="1159">
        <v>6.7223095551929681</v>
      </c>
      <c r="AB88" s="1159">
        <v>6.692965470603494</v>
      </c>
    </row>
    <row r="89" spans="2:28">
      <c r="B89" s="1143"/>
      <c r="C89" s="1159"/>
      <c r="D89" s="1159"/>
      <c r="E89" s="1146"/>
      <c r="F89" s="1160"/>
      <c r="G89" s="1127"/>
      <c r="H89" s="1127"/>
      <c r="I89" s="1127"/>
      <c r="J89" s="1127"/>
      <c r="K89" s="1127"/>
      <c r="L89" s="1127"/>
      <c r="M89" s="1127"/>
      <c r="N89" s="1123"/>
      <c r="O89" s="1123"/>
      <c r="P89" s="1123"/>
      <c r="Q89" s="1123"/>
      <c r="R89" s="1123"/>
      <c r="S89" s="1123"/>
      <c r="T89" s="1123"/>
      <c r="U89" s="1123"/>
      <c r="V89" s="1123"/>
      <c r="W89" s="1123"/>
      <c r="X89" s="1123"/>
      <c r="Y89" s="1123"/>
      <c r="Z89" s="1123"/>
      <c r="AA89" s="1123"/>
      <c r="AB89" s="1123"/>
    </row>
    <row r="90" spans="2:28">
      <c r="B90" s="1143"/>
      <c r="C90" s="1146"/>
      <c r="D90" s="1161"/>
      <c r="E90" s="1146"/>
      <c r="F90" s="1160"/>
      <c r="G90" s="1127"/>
      <c r="H90" s="1127"/>
      <c r="I90" s="1127"/>
      <c r="J90" s="1127"/>
      <c r="K90" s="1127"/>
      <c r="L90" s="1127"/>
      <c r="M90" s="1127"/>
      <c r="N90" s="1123"/>
      <c r="O90" s="1123"/>
      <c r="P90" s="1123"/>
      <c r="Q90" s="1123"/>
      <c r="R90" s="1123"/>
      <c r="S90" s="1123"/>
      <c r="T90" s="1123"/>
      <c r="U90" s="1123"/>
      <c r="V90" s="1123"/>
      <c r="W90" s="1123"/>
      <c r="X90" s="1123"/>
      <c r="Y90" s="1123"/>
      <c r="Z90" s="1123"/>
      <c r="AA90" s="1123"/>
      <c r="AB90" s="1123"/>
    </row>
    <row r="91" spans="2:28">
      <c r="B91" s="1143"/>
      <c r="C91" s="1146"/>
      <c r="D91" s="1161"/>
      <c r="E91" s="1146"/>
      <c r="F91" s="1160"/>
      <c r="G91" s="1127"/>
      <c r="H91" s="1127"/>
      <c r="I91" s="1142"/>
      <c r="J91" s="1127"/>
      <c r="K91" s="1127"/>
      <c r="L91" s="1127"/>
      <c r="M91" s="1142"/>
      <c r="N91" s="1123"/>
      <c r="O91" s="1123"/>
      <c r="P91" s="1123"/>
      <c r="Q91" s="1123"/>
      <c r="R91" s="1123"/>
      <c r="S91" s="1123"/>
      <c r="T91" s="1123"/>
      <c r="U91" s="1123"/>
      <c r="V91" s="1123"/>
      <c r="W91" s="1123"/>
      <c r="X91" s="1123"/>
      <c r="Y91" s="1123"/>
      <c r="Z91" s="1123"/>
      <c r="AA91" s="1123"/>
      <c r="AB91" s="1123"/>
    </row>
    <row r="92" spans="2:28">
      <c r="B92" s="1162" t="s">
        <v>908</v>
      </c>
      <c r="C92" s="1163">
        <v>2005</v>
      </c>
      <c r="D92" s="1163">
        <v>2006</v>
      </c>
      <c r="E92" s="1163">
        <v>2007</v>
      </c>
      <c r="F92" s="1163">
        <v>2008</v>
      </c>
      <c r="G92" s="1163">
        <v>2009</v>
      </c>
      <c r="H92" s="1163">
        <v>2010</v>
      </c>
      <c r="I92" s="1163">
        <v>2011</v>
      </c>
      <c r="J92" s="1163">
        <v>2012</v>
      </c>
      <c r="K92" s="1163">
        <v>2013</v>
      </c>
      <c r="L92" s="1163">
        <v>2014</v>
      </c>
      <c r="M92" s="1163">
        <v>2015</v>
      </c>
      <c r="N92" s="1163">
        <v>2016</v>
      </c>
      <c r="O92" s="1163">
        <v>2017</v>
      </c>
      <c r="P92" s="1163">
        <v>2018</v>
      </c>
      <c r="Q92" s="1163">
        <v>2019</v>
      </c>
      <c r="R92" s="1163">
        <v>2020</v>
      </c>
      <c r="S92" s="1163">
        <v>2021</v>
      </c>
      <c r="T92" s="1163">
        <v>2022</v>
      </c>
      <c r="U92" s="1163">
        <v>2023</v>
      </c>
      <c r="V92" s="1163">
        <v>2024</v>
      </c>
      <c r="W92" s="1163">
        <v>2025</v>
      </c>
      <c r="X92" s="1163">
        <v>2026</v>
      </c>
      <c r="Y92" s="1163">
        <v>2027</v>
      </c>
      <c r="Z92" s="1163">
        <v>2028</v>
      </c>
      <c r="AA92" s="1163">
        <v>2029</v>
      </c>
      <c r="AB92" s="1163">
        <v>2030</v>
      </c>
    </row>
    <row r="93" spans="2:28">
      <c r="B93" s="1143"/>
      <c r="C93" s="1143"/>
      <c r="D93" s="1143"/>
      <c r="E93" s="1143"/>
      <c r="F93" s="1143"/>
      <c r="G93" s="1143"/>
      <c r="H93" s="1143"/>
      <c r="I93" s="1143"/>
      <c r="J93" s="1122"/>
      <c r="K93" s="1122"/>
      <c r="L93" s="1122"/>
      <c r="M93" s="1122"/>
      <c r="N93" s="1123"/>
      <c r="O93" s="1123"/>
      <c r="P93" s="1123"/>
      <c r="Q93" s="1123"/>
      <c r="R93" s="1123"/>
      <c r="S93" s="1123"/>
      <c r="T93" s="1123"/>
      <c r="U93" s="1123"/>
      <c r="V93" s="1123"/>
      <c r="W93" s="1123"/>
      <c r="X93" s="1123"/>
      <c r="Y93" s="1123"/>
      <c r="Z93" s="1123"/>
      <c r="AA93" s="1123"/>
      <c r="AB93" s="1123"/>
    </row>
    <row r="94" spans="2:28">
      <c r="B94" s="1124" t="s">
        <v>858</v>
      </c>
      <c r="C94" s="1159">
        <v>27.202804216129017</v>
      </c>
      <c r="D94" s="1159">
        <v>28.685419264779085</v>
      </c>
      <c r="E94" s="1159">
        <v>28.670647506433184</v>
      </c>
      <c r="F94" s="1159">
        <v>28.991514021863413</v>
      </c>
      <c r="G94" s="1159">
        <v>26.672933792976195</v>
      </c>
      <c r="H94" s="1159">
        <v>28.168148345810973</v>
      </c>
      <c r="I94" s="1159">
        <v>27.785370193542821</v>
      </c>
      <c r="J94" s="1159">
        <v>28.097375064699346</v>
      </c>
      <c r="K94" s="1159">
        <v>28.127721801650981</v>
      </c>
      <c r="L94" s="1159">
        <v>28.25170695547374</v>
      </c>
      <c r="M94" s="1159">
        <v>28.464789194191745</v>
      </c>
      <c r="N94" s="1159">
        <v>28.414913649480791</v>
      </c>
      <c r="O94" s="1159">
        <v>28.246161487448997</v>
      </c>
      <c r="P94" s="1159">
        <v>28.132346678303101</v>
      </c>
      <c r="Q94" s="1159">
        <v>27.997962335889035</v>
      </c>
      <c r="R94" s="1159">
        <v>27.857958701276576</v>
      </c>
      <c r="S94" s="1159">
        <v>27.718719491200741</v>
      </c>
      <c r="T94" s="1159">
        <v>27.595652767269094</v>
      </c>
      <c r="U94" s="1159">
        <v>27.494509120303988</v>
      </c>
      <c r="V94" s="1159">
        <v>27.430794865544499</v>
      </c>
      <c r="W94" s="1159">
        <v>27.398584601818079</v>
      </c>
      <c r="X94" s="1159">
        <v>27.396296312418873</v>
      </c>
      <c r="Y94" s="1159">
        <v>27.421385531087502</v>
      </c>
      <c r="Z94" s="1159">
        <v>27.47443116390151</v>
      </c>
      <c r="AA94" s="1159">
        <v>27.554647089512837</v>
      </c>
      <c r="AB94" s="1159">
        <v>27.661471798214723</v>
      </c>
    </row>
    <row r="95" spans="2:28">
      <c r="B95" s="1128" t="s">
        <v>859</v>
      </c>
      <c r="C95" s="1159">
        <v>26.751308852029506</v>
      </c>
      <c r="D95" s="1159">
        <v>27.874859509476373</v>
      </c>
      <c r="E95" s="1159">
        <v>28.144992243051409</v>
      </c>
      <c r="F95" s="1159">
        <v>28.358533586345938</v>
      </c>
      <c r="G95" s="1159">
        <v>26.279781161114794</v>
      </c>
      <c r="H95" s="1159">
        <v>27.890498679515584</v>
      </c>
      <c r="I95" s="1159">
        <v>27.577708355430005</v>
      </c>
      <c r="J95" s="1159">
        <v>27.893866463348783</v>
      </c>
      <c r="K95" s="1159">
        <v>27.932353544354438</v>
      </c>
      <c r="L95" s="1159">
        <v>28.06806079361499</v>
      </c>
      <c r="M95" s="1159">
        <v>28.295834725281701</v>
      </c>
      <c r="N95" s="1159">
        <v>28.262854627461749</v>
      </c>
      <c r="O95" s="1159">
        <v>28.109308367631858</v>
      </c>
      <c r="P95" s="1159">
        <v>28.009178870467682</v>
      </c>
      <c r="Q95" s="1159">
        <v>27.887111308837156</v>
      </c>
      <c r="R95" s="1159">
        <v>27.758192776929882</v>
      </c>
      <c r="S95" s="1159">
        <v>27.628930159288721</v>
      </c>
      <c r="T95" s="1159">
        <v>27.514842368548273</v>
      </c>
      <c r="U95" s="1159">
        <v>27.421779761455252</v>
      </c>
      <c r="V95" s="1159">
        <v>27.365338442580629</v>
      </c>
      <c r="W95" s="1159">
        <v>27.339673821150601</v>
      </c>
      <c r="X95" s="1159">
        <v>27.34327660981814</v>
      </c>
      <c r="Y95" s="1159">
        <v>27.37366779874684</v>
      </c>
      <c r="Z95" s="1159">
        <v>27.431485204794914</v>
      </c>
      <c r="AA95" s="1159">
        <v>27.515995726316905</v>
      </c>
      <c r="AB95" s="1159">
        <v>27.626685571338381</v>
      </c>
    </row>
    <row r="96" spans="2:28">
      <c r="B96" s="1129" t="s">
        <v>321</v>
      </c>
      <c r="C96" s="1159">
        <v>7.9310183277210689</v>
      </c>
      <c r="D96" s="1159">
        <v>8.5547566627149685</v>
      </c>
      <c r="E96" s="1159">
        <v>6.8753120393816696</v>
      </c>
      <c r="F96" s="1159">
        <v>6.03371765570982</v>
      </c>
      <c r="G96" s="1159">
        <v>3.648118746566698</v>
      </c>
      <c r="H96" s="1159">
        <v>3.4892783932108151</v>
      </c>
      <c r="I96" s="1159">
        <v>3.4395311241044735</v>
      </c>
      <c r="J96" s="1159">
        <v>3.3877434113585845</v>
      </c>
      <c r="K96" s="1159">
        <v>3.1167160262428126</v>
      </c>
      <c r="L96" s="1159">
        <v>2.9153720163410273</v>
      </c>
      <c r="M96" s="1159">
        <v>2.7790301051572461</v>
      </c>
      <c r="N96" s="1159">
        <v>2.7109438675808932</v>
      </c>
      <c r="O96" s="1159">
        <v>2.5847494305450027</v>
      </c>
      <c r="P96" s="1159">
        <v>2.4156680465459015</v>
      </c>
      <c r="Q96" s="1159">
        <v>2.2215449623254733</v>
      </c>
      <c r="R96" s="1159">
        <v>2.0174405189118207</v>
      </c>
      <c r="S96" s="1159">
        <v>1.8157771646413952</v>
      </c>
      <c r="T96" s="1159">
        <v>1.6258196365624356</v>
      </c>
      <c r="U96" s="1159">
        <v>1.4537428862286674</v>
      </c>
      <c r="V96" s="1159">
        <v>1.3030842422143594</v>
      </c>
      <c r="W96" s="1159">
        <v>1.1753819864773523</v>
      </c>
      <c r="X96" s="1159">
        <v>1.0708493895099889</v>
      </c>
      <c r="Y96" s="1159">
        <v>0.98899366217584561</v>
      </c>
      <c r="Z96" s="1159">
        <v>0.92914471070927451</v>
      </c>
      <c r="AA96" s="1159">
        <v>0.89090111441648079</v>
      </c>
      <c r="AB96" s="1159">
        <v>0.87453080643907832</v>
      </c>
    </row>
    <row r="97" spans="2:28">
      <c r="B97" s="1131" t="s">
        <v>860</v>
      </c>
      <c r="C97" s="1159">
        <v>5.4005470814774226</v>
      </c>
      <c r="D97" s="1159">
        <v>5.822440506433054</v>
      </c>
      <c r="E97" s="1159">
        <v>4.9989186020345393</v>
      </c>
      <c r="F97" s="1159">
        <v>4.3839282227121457</v>
      </c>
      <c r="G97" s="1159">
        <v>2.7257175487777596</v>
      </c>
      <c r="H97" s="1159">
        <v>2.4556819577559548</v>
      </c>
      <c r="I97" s="1159">
        <v>2.434424942936988</v>
      </c>
      <c r="J97" s="1159">
        <v>2.3977707319130741</v>
      </c>
      <c r="K97" s="1159">
        <v>2.2059434732728107</v>
      </c>
      <c r="L97" s="1159">
        <v>2.0634365843597249</v>
      </c>
      <c r="M97" s="1159">
        <v>1.9669367600006951</v>
      </c>
      <c r="N97" s="1159">
        <v>1.9187468093806781</v>
      </c>
      <c r="O97" s="1159">
        <v>1.8294291454040077</v>
      </c>
      <c r="P97" s="1159">
        <v>1.7097570378574047</v>
      </c>
      <c r="Q97" s="1159">
        <v>1.5723609622951835</v>
      </c>
      <c r="R97" s="1159">
        <v>1.4279002988843141</v>
      </c>
      <c r="S97" s="1159">
        <v>1.285167385007838</v>
      </c>
      <c r="T97" s="1159">
        <v>1.1507195990252432</v>
      </c>
      <c r="U97" s="1159">
        <v>1.0289274366644112</v>
      </c>
      <c r="V97" s="1159">
        <v>0.92229454176569492</v>
      </c>
      <c r="W97" s="1159">
        <v>0.83190967667265692</v>
      </c>
      <c r="X97" s="1159">
        <v>0.75792378957777418</v>
      </c>
      <c r="Y97" s="1159">
        <v>0.69998809510244919</v>
      </c>
      <c r="Z97" s="1159">
        <v>0.6576283155273247</v>
      </c>
      <c r="AA97" s="1159">
        <v>0.63056033406022005</v>
      </c>
      <c r="AB97" s="1159">
        <v>0.61897378792186375</v>
      </c>
    </row>
    <row r="98" spans="2:28">
      <c r="B98" s="1134" t="s">
        <v>861</v>
      </c>
      <c r="C98" s="1159">
        <v>2.5304712462436463</v>
      </c>
      <c r="D98" s="1159">
        <v>2.7323161562819149</v>
      </c>
      <c r="E98" s="1159">
        <v>1.8763934373471305</v>
      </c>
      <c r="F98" s="1159">
        <v>1.6497894329976741</v>
      </c>
      <c r="G98" s="1159">
        <v>0.92240119778893859</v>
      </c>
      <c r="H98" s="1159">
        <v>1.0335964354548604</v>
      </c>
      <c r="I98" s="1159">
        <v>1.0051061811674848</v>
      </c>
      <c r="J98" s="1159">
        <v>0.98997267944551059</v>
      </c>
      <c r="K98" s="1159">
        <v>0.91077255297000204</v>
      </c>
      <c r="L98" s="1159">
        <v>0.85193543198130273</v>
      </c>
      <c r="M98" s="1159">
        <v>0.81209334515655052</v>
      </c>
      <c r="N98" s="1159">
        <v>0.79219705820021524</v>
      </c>
      <c r="O98" s="1159">
        <v>0.75532028514099514</v>
      </c>
      <c r="P98" s="1159">
        <v>0.70591100868849688</v>
      </c>
      <c r="Q98" s="1159">
        <v>0.64918400003028931</v>
      </c>
      <c r="R98" s="1159">
        <v>0.5895402200275065</v>
      </c>
      <c r="S98" s="1159">
        <v>0.53060977963355704</v>
      </c>
      <c r="T98" s="1159">
        <v>0.47510003753719243</v>
      </c>
      <c r="U98" s="1159">
        <v>0.42481544956425599</v>
      </c>
      <c r="V98" s="1159">
        <v>0.38078970044866434</v>
      </c>
      <c r="W98" s="1159">
        <v>0.34347230980469529</v>
      </c>
      <c r="X98" s="1159">
        <v>0.3129255999322148</v>
      </c>
      <c r="Y98" s="1159">
        <v>0.28900556707339636</v>
      </c>
      <c r="Z98" s="1159">
        <v>0.27151639518194981</v>
      </c>
      <c r="AA98" s="1159">
        <v>0.26034078035626079</v>
      </c>
      <c r="AB98" s="1159">
        <v>0.25555701851721457</v>
      </c>
    </row>
    <row r="99" spans="2:28">
      <c r="B99" s="1135" t="s">
        <v>322</v>
      </c>
      <c r="C99" s="1159">
        <v>18.82029052430844</v>
      </c>
      <c r="D99" s="1159">
        <v>19.320102846761401</v>
      </c>
      <c r="E99" s="1159">
        <v>21.26968020366974</v>
      </c>
      <c r="F99" s="1159">
        <v>22.324815930636117</v>
      </c>
      <c r="G99" s="1159">
        <v>22.631662414548096</v>
      </c>
      <c r="H99" s="1159">
        <v>24.401220286304767</v>
      </c>
      <c r="I99" s="1159">
        <v>24.138177231325528</v>
      </c>
      <c r="J99" s="1159">
        <v>24.506123051990194</v>
      </c>
      <c r="K99" s="1159">
        <v>24.815637518111629</v>
      </c>
      <c r="L99" s="1159">
        <v>25.152688777273966</v>
      </c>
      <c r="M99" s="1159">
        <v>25.516804620124457</v>
      </c>
      <c r="N99" s="1159">
        <v>25.551910759880855</v>
      </c>
      <c r="O99" s="1159">
        <v>25.524558937086859</v>
      </c>
      <c r="P99" s="1159">
        <v>25.593510823921775</v>
      </c>
      <c r="Q99" s="1159">
        <v>25.665566346511682</v>
      </c>
      <c r="R99" s="1159">
        <v>25.740752258018059</v>
      </c>
      <c r="S99" s="1159">
        <v>25.813152994647325</v>
      </c>
      <c r="T99" s="1159">
        <v>25.889022731985836</v>
      </c>
      <c r="U99" s="1159">
        <v>25.968036875226577</v>
      </c>
      <c r="V99" s="1159">
        <v>26.062254200366272</v>
      </c>
      <c r="W99" s="1159">
        <v>26.16429183467325</v>
      </c>
      <c r="X99" s="1159">
        <v>26.272427220308149</v>
      </c>
      <c r="Y99" s="1159">
        <v>26.384674136570997</v>
      </c>
      <c r="Z99" s="1159">
        <v>26.502340494085644</v>
      </c>
      <c r="AA99" s="1159">
        <v>26.625094611900423</v>
      </c>
      <c r="AB99" s="1159">
        <v>26.752154764899302</v>
      </c>
    </row>
    <row r="100" spans="2:28">
      <c r="B100" s="1134" t="s">
        <v>862</v>
      </c>
      <c r="C100" s="1159">
        <v>0.50452134378393287</v>
      </c>
      <c r="D100" s="1159">
        <v>0.53158021688144386</v>
      </c>
      <c r="E100" s="1159">
        <v>0.6483256450392334</v>
      </c>
      <c r="F100" s="1159">
        <v>0.87135817399958793</v>
      </c>
      <c r="G100" s="1159">
        <v>0.86403129784387134</v>
      </c>
      <c r="H100" s="1159">
        <v>1.0591876666937896</v>
      </c>
      <c r="I100" s="1159">
        <v>1.1158524860876551</v>
      </c>
      <c r="J100" s="1159">
        <v>1.1551931657097803</v>
      </c>
      <c r="K100" s="1159">
        <v>1.1970048088619194</v>
      </c>
      <c r="L100" s="1159">
        <v>1.2395385822590146</v>
      </c>
      <c r="M100" s="1159">
        <v>1.2821885498237642</v>
      </c>
      <c r="N100" s="1159">
        <v>1.2821885498237642</v>
      </c>
      <c r="O100" s="1159">
        <v>1.2821885498237642</v>
      </c>
      <c r="P100" s="1159">
        <v>1.2821885498237642</v>
      </c>
      <c r="Q100" s="1159">
        <v>1.282188549823764</v>
      </c>
      <c r="R100" s="1159">
        <v>1.2821885498237642</v>
      </c>
      <c r="S100" s="1159">
        <v>1.282188549823764</v>
      </c>
      <c r="T100" s="1159">
        <v>1.282188549823764</v>
      </c>
      <c r="U100" s="1159">
        <v>1.2821885498237637</v>
      </c>
      <c r="V100" s="1159">
        <v>1.2821885498237637</v>
      </c>
      <c r="W100" s="1159">
        <v>1.282188549823764</v>
      </c>
      <c r="X100" s="1159">
        <v>1.2821885498237637</v>
      </c>
      <c r="Y100" s="1159">
        <v>1.2821885498237637</v>
      </c>
      <c r="Z100" s="1159">
        <v>1.2821885498237637</v>
      </c>
      <c r="AA100" s="1159">
        <v>1.2821885498237637</v>
      </c>
      <c r="AB100" s="1159">
        <v>1.2821885498237637</v>
      </c>
    </row>
    <row r="101" spans="2:28">
      <c r="B101" s="1134" t="s">
        <v>860</v>
      </c>
      <c r="C101" s="1159">
        <v>3.6373438873416513</v>
      </c>
      <c r="D101" s="1159">
        <v>4.4207684767491386</v>
      </c>
      <c r="E101" s="1159">
        <v>4.1424817364528401</v>
      </c>
      <c r="F101" s="1159">
        <v>4.8575187974987841</v>
      </c>
      <c r="G101" s="1159">
        <v>4.0321661564325382</v>
      </c>
      <c r="H101" s="1159">
        <v>4.707868226315167</v>
      </c>
      <c r="I101" s="1159">
        <v>4.4438617675826206</v>
      </c>
      <c r="J101" s="1159">
        <v>4.6005352923210383</v>
      </c>
      <c r="K101" s="1159">
        <v>4.7670493833502743</v>
      </c>
      <c r="L101" s="1159">
        <v>4.9364393446462218</v>
      </c>
      <c r="M101" s="1159">
        <v>5.1062920470532864</v>
      </c>
      <c r="N101" s="1159">
        <v>5.1062920470532864</v>
      </c>
      <c r="O101" s="1159">
        <v>5.1062920470532873</v>
      </c>
      <c r="P101" s="1159">
        <v>5.1062920470532873</v>
      </c>
      <c r="Q101" s="1159">
        <v>5.1062920470532873</v>
      </c>
      <c r="R101" s="1159">
        <v>5.1062920470532873</v>
      </c>
      <c r="S101" s="1159">
        <v>5.1062920470532864</v>
      </c>
      <c r="T101" s="1159">
        <v>5.1062920470532864</v>
      </c>
      <c r="U101" s="1159">
        <v>5.1062920470532864</v>
      </c>
      <c r="V101" s="1159">
        <v>5.1062920470532864</v>
      </c>
      <c r="W101" s="1159">
        <v>5.1062920470532864</v>
      </c>
      <c r="X101" s="1159">
        <v>5.1062920470532864</v>
      </c>
      <c r="Y101" s="1159">
        <v>5.1062920470532864</v>
      </c>
      <c r="Z101" s="1159">
        <v>5.1062920470532864</v>
      </c>
      <c r="AA101" s="1159">
        <v>5.1062920470532873</v>
      </c>
      <c r="AB101" s="1159">
        <v>5.1062920470532873</v>
      </c>
    </row>
    <row r="102" spans="2:28">
      <c r="B102" s="1134" t="s">
        <v>863</v>
      </c>
      <c r="C102" s="1159">
        <v>1.8727107791469744</v>
      </c>
      <c r="D102" s="1159">
        <v>1.7649202219108762</v>
      </c>
      <c r="E102" s="1159">
        <v>1.5182973467439362</v>
      </c>
      <c r="F102" s="1159">
        <v>1.4897261888247977</v>
      </c>
      <c r="G102" s="1159">
        <v>1.7521823890534729</v>
      </c>
      <c r="H102" s="1159">
        <v>1.9473558765540779</v>
      </c>
      <c r="I102" s="1159">
        <v>2.080244221310521</v>
      </c>
      <c r="J102" s="1159">
        <v>2.1612949752935622</v>
      </c>
      <c r="K102" s="1159">
        <v>2.2477448424501385</v>
      </c>
      <c r="L102" s="1159">
        <v>2.3360106887938201</v>
      </c>
      <c r="M102" s="1159">
        <v>2.4248369011466564</v>
      </c>
      <c r="N102" s="1159">
        <v>2.4248369011466564</v>
      </c>
      <c r="O102" s="1159">
        <v>2.4248369011466564</v>
      </c>
      <c r="P102" s="1159">
        <v>2.4248369011466564</v>
      </c>
      <c r="Q102" s="1159">
        <v>2.4248369011466568</v>
      </c>
      <c r="R102" s="1159">
        <v>2.4248369011466568</v>
      </c>
      <c r="S102" s="1159">
        <v>2.4248369011466568</v>
      </c>
      <c r="T102" s="1159">
        <v>2.4248369011466568</v>
      </c>
      <c r="U102" s="1159">
        <v>2.4248369011466568</v>
      </c>
      <c r="V102" s="1159">
        <v>2.4248369011466568</v>
      </c>
      <c r="W102" s="1159">
        <v>2.4248369011466568</v>
      </c>
      <c r="X102" s="1159">
        <v>2.4248369011466568</v>
      </c>
      <c r="Y102" s="1159">
        <v>2.4248369011466568</v>
      </c>
      <c r="Z102" s="1159">
        <v>2.4248369011466564</v>
      </c>
      <c r="AA102" s="1159">
        <v>2.4248369011466564</v>
      </c>
      <c r="AB102" s="1159">
        <v>2.4248369011466564</v>
      </c>
    </row>
    <row r="103" spans="2:28">
      <c r="B103" s="1134" t="s">
        <v>776</v>
      </c>
      <c r="C103" s="1159">
        <v>5.4667997662067247</v>
      </c>
      <c r="D103" s="1159">
        <v>5.6604722534423377</v>
      </c>
      <c r="E103" s="1159">
        <v>6.104805644999507</v>
      </c>
      <c r="F103" s="1159">
        <v>6.1618625247300072</v>
      </c>
      <c r="G103" s="1159">
        <v>6.4233421712276195</v>
      </c>
      <c r="H103" s="1159">
        <v>7.5568344793427702</v>
      </c>
      <c r="I103" s="1159">
        <v>7.8307992412022678</v>
      </c>
      <c r="J103" s="1159">
        <v>8.0129278731853919</v>
      </c>
      <c r="K103" s="1159">
        <v>8.2378502945008911</v>
      </c>
      <c r="L103" s="1159">
        <v>8.4700710615836421</v>
      </c>
      <c r="M103" s="1159">
        <v>8.7064164118548302</v>
      </c>
      <c r="N103" s="1159">
        <v>8.7378850622706903</v>
      </c>
      <c r="O103" s="1159">
        <v>8.7695110559386276</v>
      </c>
      <c r="P103" s="1159">
        <v>8.8966475504837454</v>
      </c>
      <c r="Q103" s="1159">
        <v>9.0263267749197649</v>
      </c>
      <c r="R103" s="1159">
        <v>9.158599583844504</v>
      </c>
      <c r="S103" s="1159">
        <v>9.2935178489477401</v>
      </c>
      <c r="T103" s="1159">
        <v>9.4311344793530392</v>
      </c>
      <c r="U103" s="1159">
        <v>9.5715034423664438</v>
      </c>
      <c r="V103" s="1159">
        <v>9.7146797846401149</v>
      </c>
      <c r="W103" s="1159">
        <v>9.8607196537592632</v>
      </c>
      <c r="X103" s="1159">
        <v>10.009680320260793</v>
      </c>
      <c r="Y103" s="1159">
        <v>10.161620200092353</v>
      </c>
      <c r="Z103" s="1159">
        <v>10.316598877520544</v>
      </c>
      <c r="AA103" s="1159">
        <v>10.4746771284973</v>
      </c>
      <c r="AB103" s="1159">
        <v>10.635916944493593</v>
      </c>
    </row>
    <row r="104" spans="2:28">
      <c r="B104" s="1138" t="s">
        <v>323</v>
      </c>
      <c r="C104" s="1159">
        <v>3.7444682822546782</v>
      </c>
      <c r="D104" s="1159">
        <v>3.962268992522568</v>
      </c>
      <c r="E104" s="1159">
        <v>4.1845726286338092</v>
      </c>
      <c r="F104" s="1159">
        <v>4.0755186062578872</v>
      </c>
      <c r="G104" s="1159">
        <v>4.6973297579759636</v>
      </c>
      <c r="H104" s="1159">
        <v>4.9793507707810782</v>
      </c>
      <c r="I104" s="1159">
        <v>5.3191436611600675</v>
      </c>
      <c r="J104" s="1159">
        <v>5.526388848943613</v>
      </c>
      <c r="K104" s="1159">
        <v>5.7761766605015286</v>
      </c>
      <c r="L104" s="1159">
        <v>6.0330141639242738</v>
      </c>
      <c r="M104" s="1159">
        <v>6.2937300831720568</v>
      </c>
      <c r="N104" s="1159">
        <v>6.3251987335879161</v>
      </c>
      <c r="O104" s="1159">
        <v>6.3568247272558542</v>
      </c>
      <c r="P104" s="1159">
        <v>6.4839612218009712</v>
      </c>
      <c r="Q104" s="1159">
        <v>6.6136404462369898</v>
      </c>
      <c r="R104" s="1159">
        <v>6.7459132551617307</v>
      </c>
      <c r="S104" s="1159">
        <v>6.8808315202649659</v>
      </c>
      <c r="T104" s="1159">
        <v>7.0184481506702641</v>
      </c>
      <c r="U104" s="1159">
        <v>7.1588171136836678</v>
      </c>
      <c r="V104" s="1159">
        <v>7.3019934559573407</v>
      </c>
      <c r="W104" s="1159">
        <v>7.4480333250764881</v>
      </c>
      <c r="X104" s="1159">
        <v>7.5969939915780182</v>
      </c>
      <c r="Y104" s="1159">
        <v>7.7489338714095801</v>
      </c>
      <c r="Z104" s="1159">
        <v>7.9039125488377699</v>
      </c>
      <c r="AA104" s="1159">
        <v>8.0619907998145255</v>
      </c>
      <c r="AB104" s="1159">
        <v>8.2232306158108166</v>
      </c>
    </row>
    <row r="105" spans="2:28">
      <c r="B105" s="1138" t="s">
        <v>864</v>
      </c>
      <c r="C105" s="1159">
        <v>1.7223314839520467</v>
      </c>
      <c r="D105" s="1159">
        <v>1.6982032609197701</v>
      </c>
      <c r="E105" s="1159">
        <v>1.9202330163656971</v>
      </c>
      <c r="F105" s="1159">
        <v>2.08634391847212</v>
      </c>
      <c r="G105" s="1159">
        <v>1.7260124132516557</v>
      </c>
      <c r="H105" s="1159">
        <v>2.5774837085616915</v>
      </c>
      <c r="I105" s="1159">
        <v>2.5116555800422016</v>
      </c>
      <c r="J105" s="1159">
        <v>2.4865390242417793</v>
      </c>
      <c r="K105" s="1159">
        <v>2.4616736339993621</v>
      </c>
      <c r="L105" s="1159">
        <v>2.4370568976593683</v>
      </c>
      <c r="M105" s="1159">
        <v>2.4126863286827742</v>
      </c>
      <c r="N105" s="1159">
        <v>2.4126863286827747</v>
      </c>
      <c r="O105" s="1159">
        <v>2.4126863286827742</v>
      </c>
      <c r="P105" s="1159">
        <v>2.4126863286827742</v>
      </c>
      <c r="Q105" s="1159">
        <v>2.4126863286827747</v>
      </c>
      <c r="R105" s="1159">
        <v>2.4126863286827747</v>
      </c>
      <c r="S105" s="1159">
        <v>2.4126863286827751</v>
      </c>
      <c r="T105" s="1159">
        <v>2.4126863286827742</v>
      </c>
      <c r="U105" s="1159">
        <v>2.4126863286827747</v>
      </c>
      <c r="V105" s="1159">
        <v>2.4126863286827742</v>
      </c>
      <c r="W105" s="1159">
        <v>2.4126863286827742</v>
      </c>
      <c r="X105" s="1159">
        <v>2.4126863286827742</v>
      </c>
      <c r="Y105" s="1159">
        <v>2.4126863286827738</v>
      </c>
      <c r="Z105" s="1159">
        <v>2.4126863286827742</v>
      </c>
      <c r="AA105" s="1159">
        <v>2.4126863286827738</v>
      </c>
      <c r="AB105" s="1159">
        <v>2.4126863286827742</v>
      </c>
    </row>
    <row r="106" spans="2:28">
      <c r="B106" s="1134" t="s">
        <v>865</v>
      </c>
      <c r="C106" s="1159">
        <v>2.8193138861426199</v>
      </c>
      <c r="D106" s="1159">
        <v>2.6974180536096437</v>
      </c>
      <c r="E106" s="1159">
        <v>3.3495222030759262</v>
      </c>
      <c r="F106" s="1159">
        <v>4.0722190273918919</v>
      </c>
      <c r="G106" s="1159">
        <v>4.6454722022396435</v>
      </c>
      <c r="H106" s="1159">
        <v>3.928935606621494</v>
      </c>
      <c r="I106" s="1159">
        <v>3.6319774012228603</v>
      </c>
      <c r="J106" s="1159">
        <v>3.606372284321707</v>
      </c>
      <c r="K106" s="1159">
        <v>3.5170162889584629</v>
      </c>
      <c r="L106" s="1159">
        <v>3.4349943853848064</v>
      </c>
      <c r="M106" s="1159">
        <v>3.36806181003886</v>
      </c>
      <c r="N106" s="1159">
        <v>3.3716992993793946</v>
      </c>
      <c r="O106" s="1159">
        <v>3.3127214829174654</v>
      </c>
      <c r="P106" s="1159">
        <v>3.2545368752072652</v>
      </c>
      <c r="Q106" s="1159">
        <v>3.1969131733611476</v>
      </c>
      <c r="R106" s="1159">
        <v>3.139826275942784</v>
      </c>
      <c r="S106" s="1159">
        <v>3.0773087474688143</v>
      </c>
      <c r="T106" s="1159">
        <v>3.0155618544020317</v>
      </c>
      <c r="U106" s="1159">
        <v>2.9542070346293685</v>
      </c>
      <c r="V106" s="1159">
        <v>2.9052480174953867</v>
      </c>
      <c r="W106" s="1159">
        <v>2.8612457826832225</v>
      </c>
      <c r="X106" s="1159">
        <v>2.8204205018165918</v>
      </c>
      <c r="Y106" s="1159">
        <v>2.7807275382478736</v>
      </c>
      <c r="Z106" s="1159">
        <v>2.7434152183343281</v>
      </c>
      <c r="AA106" s="1159">
        <v>2.7080910851723572</v>
      </c>
      <c r="AB106" s="1159">
        <v>2.6739114221749456</v>
      </c>
    </row>
    <row r="107" spans="2:28">
      <c r="B107" s="1134" t="s">
        <v>50</v>
      </c>
      <c r="C107" s="1159">
        <v>0.61414808830004486</v>
      </c>
      <c r="D107" s="1159">
        <v>0.62744735775174099</v>
      </c>
      <c r="E107" s="1159">
        <v>0.84558626375440726</v>
      </c>
      <c r="F107" s="1159">
        <v>0.95869600643215924</v>
      </c>
      <c r="G107" s="1159">
        <v>0.94754608237271221</v>
      </c>
      <c r="H107" s="1159">
        <v>0.93810470632021126</v>
      </c>
      <c r="I107" s="1159">
        <v>1.0021213471058283</v>
      </c>
      <c r="J107" s="1159">
        <v>1.0344615235859627</v>
      </c>
      <c r="K107" s="1159">
        <v>1.0687338799768917</v>
      </c>
      <c r="L107" s="1159">
        <v>1.1034950666698755</v>
      </c>
      <c r="M107" s="1159">
        <v>1.1382499672881636</v>
      </c>
      <c r="N107" s="1159">
        <v>1.1382499672881636</v>
      </c>
      <c r="O107" s="1159">
        <v>1.1382499672881636</v>
      </c>
      <c r="P107" s="1159">
        <v>1.1382499672881634</v>
      </c>
      <c r="Q107" s="1159">
        <v>1.1382499672881636</v>
      </c>
      <c r="R107" s="1159">
        <v>1.1382499672881636</v>
      </c>
      <c r="S107" s="1159">
        <v>1.1382499672881634</v>
      </c>
      <c r="T107" s="1159">
        <v>1.1382499672881634</v>
      </c>
      <c r="U107" s="1159">
        <v>1.1382499672881634</v>
      </c>
      <c r="V107" s="1159">
        <v>1.1382499672881634</v>
      </c>
      <c r="W107" s="1159">
        <v>1.1382499672881632</v>
      </c>
      <c r="X107" s="1159">
        <v>1.1382499672881634</v>
      </c>
      <c r="Y107" s="1159">
        <v>1.1382499672881634</v>
      </c>
      <c r="Z107" s="1159">
        <v>1.1382499672881632</v>
      </c>
      <c r="AA107" s="1159">
        <v>1.1382499672881632</v>
      </c>
      <c r="AB107" s="1159">
        <v>1.1382499672881632</v>
      </c>
    </row>
    <row r="108" spans="2:28">
      <c r="B108" s="1134" t="s">
        <v>866</v>
      </c>
      <c r="C108" s="1159">
        <v>1.8420867863854082</v>
      </c>
      <c r="D108" s="1159">
        <v>1.7868854982987172</v>
      </c>
      <c r="E108" s="1159">
        <v>2.7248912646861374</v>
      </c>
      <c r="F108" s="1159">
        <v>2.2144214491481025</v>
      </c>
      <c r="G108" s="1159">
        <v>2.269853454165458</v>
      </c>
      <c r="H108" s="1159">
        <v>2.4363301637030679</v>
      </c>
      <c r="I108" s="1159">
        <v>2.0820690476837282</v>
      </c>
      <c r="J108" s="1159">
        <v>2.0670760839097935</v>
      </c>
      <c r="K108" s="1159">
        <v>2.0111062911572439</v>
      </c>
      <c r="L108" s="1159">
        <v>1.9558100627253712</v>
      </c>
      <c r="M108" s="1159">
        <v>1.9006400134518229</v>
      </c>
      <c r="N108" s="1159">
        <v>1.9006400134518231</v>
      </c>
      <c r="O108" s="1159">
        <v>1.9006400134518229</v>
      </c>
      <c r="P108" s="1159">
        <v>1.9006400134518231</v>
      </c>
      <c r="Q108" s="1159">
        <v>1.9006400134518231</v>
      </c>
      <c r="R108" s="1159">
        <v>1.9006400134518231</v>
      </c>
      <c r="S108" s="1159">
        <v>1.9006400134518231</v>
      </c>
      <c r="T108" s="1159">
        <v>1.9006400134518231</v>
      </c>
      <c r="U108" s="1159">
        <v>1.9006400134518231</v>
      </c>
      <c r="V108" s="1159">
        <v>1.9006400134518231</v>
      </c>
      <c r="W108" s="1159">
        <v>1.9006400134518229</v>
      </c>
      <c r="X108" s="1159">
        <v>1.9006400134518231</v>
      </c>
      <c r="Y108" s="1159">
        <v>1.9006400134518229</v>
      </c>
      <c r="Z108" s="1159">
        <v>1.9006400134518229</v>
      </c>
      <c r="AA108" s="1159">
        <v>1.9006400134518231</v>
      </c>
      <c r="AB108" s="1159">
        <v>1.9006400134518231</v>
      </c>
    </row>
    <row r="109" spans="2:28">
      <c r="B109" s="1134" t="s">
        <v>867</v>
      </c>
      <c r="C109" s="1159">
        <v>2.0633659870010823</v>
      </c>
      <c r="D109" s="1159">
        <v>1.8306107681175037</v>
      </c>
      <c r="E109" s="1159">
        <v>1.93577009891775</v>
      </c>
      <c r="F109" s="1159">
        <v>1.6990137626107884</v>
      </c>
      <c r="G109" s="1159">
        <v>1.6970686612127794</v>
      </c>
      <c r="H109" s="1159">
        <v>1.8266035607541939</v>
      </c>
      <c r="I109" s="1159">
        <v>1.9512517191300416</v>
      </c>
      <c r="J109" s="1159">
        <v>1.8682618536629616</v>
      </c>
      <c r="K109" s="1159">
        <v>1.7691317288558046</v>
      </c>
      <c r="L109" s="1159">
        <v>1.6763295852112148</v>
      </c>
      <c r="M109" s="1159">
        <v>1.5901189194670751</v>
      </c>
      <c r="N109" s="1159">
        <v>1.5901189194670753</v>
      </c>
      <c r="O109" s="1159">
        <v>1.5901189194670751</v>
      </c>
      <c r="P109" s="1159">
        <v>1.5901189194670753</v>
      </c>
      <c r="Q109" s="1159">
        <v>1.5901189194670753</v>
      </c>
      <c r="R109" s="1159">
        <v>1.5901189194670757</v>
      </c>
      <c r="S109" s="1159">
        <v>1.5901189194670755</v>
      </c>
      <c r="T109" s="1159">
        <v>1.5901189194670753</v>
      </c>
      <c r="U109" s="1159">
        <v>1.5901189194670755</v>
      </c>
      <c r="V109" s="1159">
        <v>1.5901189194670753</v>
      </c>
      <c r="W109" s="1159">
        <v>1.5901189194670751</v>
      </c>
      <c r="X109" s="1159">
        <v>1.5901189194670751</v>
      </c>
      <c r="Y109" s="1159">
        <v>1.5901189194670753</v>
      </c>
      <c r="Z109" s="1159">
        <v>1.5901189194670751</v>
      </c>
      <c r="AA109" s="1159">
        <v>1.5901189194670748</v>
      </c>
      <c r="AB109" s="1159">
        <v>1.5901189194670753</v>
      </c>
    </row>
    <row r="110" spans="2:28">
      <c r="B110" s="1141" t="s">
        <v>34</v>
      </c>
      <c r="C110" s="1159">
        <v>0.45149536409950913</v>
      </c>
      <c r="D110" s="1159">
        <v>0.81055975530271529</v>
      </c>
      <c r="E110" s="1159">
        <v>0.52565526338177626</v>
      </c>
      <c r="F110" s="1159">
        <v>0.63298043551747496</v>
      </c>
      <c r="G110" s="1159">
        <v>0.39315263186140287</v>
      </c>
      <c r="H110" s="1159">
        <v>0.27764966629539017</v>
      </c>
      <c r="I110" s="1159">
        <v>0.20766183811281783</v>
      </c>
      <c r="J110" s="1159">
        <v>0.20350860135056151</v>
      </c>
      <c r="K110" s="1159">
        <v>0.19536825729653901</v>
      </c>
      <c r="L110" s="1159">
        <v>0.18364616185874666</v>
      </c>
      <c r="M110" s="1159">
        <v>0.1689544689100469</v>
      </c>
      <c r="N110" s="1159">
        <v>0.15205902201904223</v>
      </c>
      <c r="O110" s="1159">
        <v>0.13685311981713799</v>
      </c>
      <c r="P110" s="1159">
        <v>0.12316780783542419</v>
      </c>
      <c r="Q110" s="1159">
        <v>0.11085102705188178</v>
      </c>
      <c r="R110" s="1159">
        <v>9.9765924346693624E-2</v>
      </c>
      <c r="S110" s="1159">
        <v>8.9789331912024262E-2</v>
      </c>
      <c r="T110" s="1159">
        <v>8.0810398720821824E-2</v>
      </c>
      <c r="U110" s="1159">
        <v>7.2729358848739642E-2</v>
      </c>
      <c r="V110" s="1159">
        <v>6.5456422963865668E-2</v>
      </c>
      <c r="W110" s="1159">
        <v>5.8910780667479089E-2</v>
      </c>
      <c r="X110" s="1159">
        <v>5.3019702600731175E-2</v>
      </c>
      <c r="Y110" s="1159">
        <v>4.7717732340658056E-2</v>
      </c>
      <c r="Z110" s="1159">
        <v>4.2945959106592255E-2</v>
      </c>
      <c r="AA110" s="1159">
        <v>3.8651363195933028E-2</v>
      </c>
      <c r="AB110" s="1159">
        <v>3.4786226876339733E-2</v>
      </c>
    </row>
    <row r="111" spans="2:28">
      <c r="B111" s="1138"/>
      <c r="C111" s="1159"/>
      <c r="D111" s="1159"/>
      <c r="E111" s="1159"/>
      <c r="F111" s="1159"/>
      <c r="G111" s="1159"/>
      <c r="H111" s="1159"/>
      <c r="I111" s="1159"/>
      <c r="J111" s="1159"/>
      <c r="K111" s="1122"/>
      <c r="L111" s="1142"/>
      <c r="M111" s="1122"/>
      <c r="N111" s="1122"/>
      <c r="O111" s="1122"/>
      <c r="P111" s="1122"/>
      <c r="Q111" s="1122"/>
      <c r="R111" s="1122"/>
      <c r="S111" s="1122"/>
      <c r="T111" s="1122"/>
      <c r="U111" s="1122"/>
      <c r="V111" s="1122"/>
      <c r="W111" s="1122"/>
      <c r="X111" s="1122"/>
      <c r="Y111" s="1122"/>
      <c r="Z111" s="1122"/>
      <c r="AA111" s="1122"/>
      <c r="AB111" s="1122"/>
    </row>
    <row r="112" spans="2:28">
      <c r="B112" s="1143" t="s">
        <v>868</v>
      </c>
      <c r="C112" s="1159">
        <v>27.298489298570797</v>
      </c>
      <c r="D112" s="1159">
        <v>27.549999230188909</v>
      </c>
      <c r="E112" s="1159">
        <v>29.388446637026274</v>
      </c>
      <c r="F112" s="1159">
        <v>27.732084970216249</v>
      </c>
      <c r="G112" s="1159">
        <v>31.798450182677286</v>
      </c>
      <c r="H112" s="1159">
        <v>30.047246886487123</v>
      </c>
      <c r="I112" s="1159">
        <v>28.95481282664786</v>
      </c>
      <c r="J112" s="1159">
        <v>29.160725080936345</v>
      </c>
      <c r="K112" s="1159">
        <v>29.052436582033891</v>
      </c>
      <c r="L112" s="1159">
        <v>29.014348890343843</v>
      </c>
      <c r="M112" s="1159">
        <v>28.933292346088088</v>
      </c>
      <c r="N112" s="1159">
        <v>28.809832103207572</v>
      </c>
      <c r="O112" s="1159">
        <v>28.757133986026417</v>
      </c>
      <c r="P112" s="1159">
        <v>28.654454741234634</v>
      </c>
      <c r="Q112" s="1159">
        <v>28.55817325557112</v>
      </c>
      <c r="R112" s="1159">
        <v>28.451290348055892</v>
      </c>
      <c r="S112" s="1159">
        <v>28.399641428303724</v>
      </c>
      <c r="T112" s="1159">
        <v>28.330286438420014</v>
      </c>
      <c r="U112" s="1159">
        <v>28.28624744008696</v>
      </c>
      <c r="V112" s="1159">
        <v>28.241815300681488</v>
      </c>
      <c r="W112" s="1159">
        <v>28.312898829596897</v>
      </c>
      <c r="X112" s="1159">
        <v>28.396025865861326</v>
      </c>
      <c r="Y112" s="1159">
        <v>28.420145331671538</v>
      </c>
      <c r="Z112" s="1159">
        <v>28.441147121060258</v>
      </c>
      <c r="AA112" s="1159">
        <v>28.456287052719901</v>
      </c>
      <c r="AB112" s="1159">
        <v>28.466084508877948</v>
      </c>
    </row>
    <row r="113" spans="2:28">
      <c r="B113" s="1141" t="s">
        <v>869</v>
      </c>
      <c r="C113" s="1159">
        <v>17.861175669297367</v>
      </c>
      <c r="D113" s="1159">
        <v>18.482548382626902</v>
      </c>
      <c r="E113" s="1159">
        <v>20.268913627443052</v>
      </c>
      <c r="F113" s="1159">
        <v>19.687711694919592</v>
      </c>
      <c r="G113" s="1159">
        <v>20.92880500292754</v>
      </c>
      <c r="H113" s="1159">
        <v>21.053921786391889</v>
      </c>
      <c r="I113" s="1159">
        <v>21.82590668876545</v>
      </c>
      <c r="J113" s="1159">
        <v>22.031818943053931</v>
      </c>
      <c r="K113" s="1159">
        <v>21.923530444151481</v>
      </c>
      <c r="L113" s="1159">
        <v>21.885442752461437</v>
      </c>
      <c r="M113" s="1159">
        <v>21.804386208205678</v>
      </c>
      <c r="N113" s="1159">
        <v>21.752215026703986</v>
      </c>
      <c r="O113" s="1159">
        <v>21.770093080287868</v>
      </c>
      <c r="P113" s="1159">
        <v>21.807154653610855</v>
      </c>
      <c r="Q113" s="1159">
        <v>21.847819169699811</v>
      </c>
      <c r="R113" s="1159">
        <v>21.87514334390201</v>
      </c>
      <c r="S113" s="1159">
        <v>21.922136629212154</v>
      </c>
      <c r="T113" s="1159">
        <v>21.949944211314815</v>
      </c>
      <c r="U113" s="1159">
        <v>22.065413768659397</v>
      </c>
      <c r="V113" s="1159">
        <v>22.176502471039612</v>
      </c>
      <c r="W113" s="1159">
        <v>22.247585999955017</v>
      </c>
      <c r="X113" s="1159">
        <v>22.33071303621945</v>
      </c>
      <c r="Y113" s="1159">
        <v>22.354832502029659</v>
      </c>
      <c r="Z113" s="1159">
        <v>22.375834291418379</v>
      </c>
      <c r="AA113" s="1159">
        <v>22.390974223078025</v>
      </c>
      <c r="AB113" s="1159">
        <v>22.400771679236072</v>
      </c>
    </row>
    <row r="114" spans="2:28">
      <c r="B114" s="1135" t="s">
        <v>969</v>
      </c>
      <c r="C114" s="1159">
        <v>0.78895508200128006</v>
      </c>
      <c r="D114" s="1159">
        <v>0.81753937583716951</v>
      </c>
      <c r="E114" s="1159">
        <v>1.1069187681991497</v>
      </c>
      <c r="F114" s="1159">
        <v>1.1265704985326974</v>
      </c>
      <c r="G114" s="1159">
        <v>1.439951663934095</v>
      </c>
      <c r="H114" s="1159">
        <v>1.281227005559455</v>
      </c>
      <c r="I114" s="1159">
        <v>1.4851974661828731</v>
      </c>
      <c r="J114" s="1159">
        <v>1.6911097204713497</v>
      </c>
      <c r="K114" s="1159">
        <v>1.5828212215688988</v>
      </c>
      <c r="L114" s="1159">
        <v>1.5447335298788596</v>
      </c>
      <c r="M114" s="1159">
        <v>1.4636769856230982</v>
      </c>
      <c r="N114" s="1159">
        <v>1.4115058041214095</v>
      </c>
      <c r="O114" s="1159">
        <v>1.4293838577052949</v>
      </c>
      <c r="P114" s="1159">
        <v>1.4664454310282813</v>
      </c>
      <c r="Q114" s="1159">
        <v>1.5071099471172387</v>
      </c>
      <c r="R114" s="1159">
        <v>1.5344341213194355</v>
      </c>
      <c r="S114" s="1159">
        <v>1.5814274066295821</v>
      </c>
      <c r="T114" s="1159">
        <v>1.6092349887322435</v>
      </c>
      <c r="U114" s="1159">
        <v>1.643341709186495</v>
      </c>
      <c r="V114" s="1159">
        <v>1.6931641953882954</v>
      </c>
      <c r="W114" s="1159">
        <v>1.7027977094767572</v>
      </c>
      <c r="X114" s="1159">
        <v>1.7242903808697503</v>
      </c>
      <c r="Y114" s="1159">
        <v>1.7484098466799607</v>
      </c>
      <c r="Z114" s="1159">
        <v>1.7694116360686789</v>
      </c>
      <c r="AA114" s="1159">
        <v>1.7845515677283277</v>
      </c>
      <c r="AB114" s="1159">
        <v>1.7943490238863751</v>
      </c>
    </row>
    <row r="115" spans="2:28">
      <c r="B115" s="1145" t="s">
        <v>870</v>
      </c>
      <c r="C115" s="1159">
        <v>9.4373136292734294</v>
      </c>
      <c r="D115" s="1159">
        <v>9.0674508475620073</v>
      </c>
      <c r="E115" s="1159">
        <v>9.1195330095832237</v>
      </c>
      <c r="F115" s="1159">
        <v>8.0443732752966586</v>
      </c>
      <c r="G115" s="1159">
        <v>10.869645179749744</v>
      </c>
      <c r="H115" s="1159">
        <v>8.9933251000952286</v>
      </c>
      <c r="I115" s="1159">
        <v>7.1289061378824119</v>
      </c>
      <c r="J115" s="1159">
        <v>7.1289061378824119</v>
      </c>
      <c r="K115" s="1159">
        <v>7.1289061378824119</v>
      </c>
      <c r="L115" s="1159">
        <v>7.1289061378824119</v>
      </c>
      <c r="M115" s="1159">
        <v>7.128906137882411</v>
      </c>
      <c r="N115" s="1159">
        <v>7.0576170765035862</v>
      </c>
      <c r="O115" s="1159">
        <v>6.9870409057385512</v>
      </c>
      <c r="P115" s="1159">
        <v>6.84730008762378</v>
      </c>
      <c r="Q115" s="1159">
        <v>6.7103540858713053</v>
      </c>
      <c r="R115" s="1159">
        <v>6.5761470041538796</v>
      </c>
      <c r="S115" s="1159">
        <v>6.4775047990915695</v>
      </c>
      <c r="T115" s="1159">
        <v>6.3803422271051966</v>
      </c>
      <c r="U115" s="1159">
        <v>6.2208336714275658</v>
      </c>
      <c r="V115" s="1159">
        <v>6.0653128296418766</v>
      </c>
      <c r="W115" s="1159">
        <v>6.0653128296418766</v>
      </c>
      <c r="X115" s="1159">
        <v>6.0653128296418757</v>
      </c>
      <c r="Y115" s="1159">
        <v>6.0653128296418766</v>
      </c>
      <c r="Z115" s="1159">
        <v>6.0653128296418775</v>
      </c>
      <c r="AA115" s="1159">
        <v>6.0653128296418757</v>
      </c>
      <c r="AB115" s="1159">
        <v>6.0653128296418766</v>
      </c>
    </row>
    <row r="116" spans="2:28">
      <c r="B116" s="1135"/>
      <c r="C116" s="1159"/>
      <c r="D116" s="1159"/>
      <c r="E116" s="1159"/>
      <c r="F116" s="1159"/>
      <c r="G116" s="1159"/>
      <c r="H116" s="1159"/>
      <c r="I116" s="1159"/>
      <c r="J116" s="1159"/>
      <c r="K116" s="1159"/>
      <c r="L116" s="1159"/>
      <c r="M116" s="1159"/>
      <c r="N116" s="1122"/>
      <c r="O116" s="1122"/>
      <c r="P116" s="1122"/>
      <c r="Q116" s="1122"/>
      <c r="R116" s="1122"/>
      <c r="S116" s="1122"/>
      <c r="T116" s="1122"/>
      <c r="U116" s="1122"/>
      <c r="V116" s="1122"/>
      <c r="W116" s="1122"/>
      <c r="X116" s="1122"/>
      <c r="Y116" s="1122"/>
      <c r="Z116" s="1122"/>
      <c r="AA116" s="1122"/>
      <c r="AB116" s="1122"/>
    </row>
    <row r="117" spans="2:28">
      <c r="B117" s="1143" t="s">
        <v>871</v>
      </c>
      <c r="C117" s="1159">
        <v>-9.5685082441780381E-2</v>
      </c>
      <c r="D117" s="1159">
        <v>1.1354200345901782</v>
      </c>
      <c r="E117" s="1159">
        <v>-0.71779913059309097</v>
      </c>
      <c r="F117" s="1159">
        <v>1.2594290516471633</v>
      </c>
      <c r="G117" s="1159">
        <v>-5.1255163897010894</v>
      </c>
      <c r="H117" s="1159">
        <v>-1.8790985406761493</v>
      </c>
      <c r="I117" s="1159">
        <v>-1.1694426331050427</v>
      </c>
      <c r="J117" s="1159">
        <v>-1.0633500162369998</v>
      </c>
      <c r="K117" s="1159">
        <v>-0.92471478038291033</v>
      </c>
      <c r="L117" s="1159">
        <v>-0.76264193487010756</v>
      </c>
      <c r="M117" s="1159">
        <v>-0.46850315189634056</v>
      </c>
      <c r="N117" s="1159">
        <v>-0.3949184537267828</v>
      </c>
      <c r="O117" s="1159">
        <v>-0.51097249857742078</v>
      </c>
      <c r="P117" s="1159">
        <v>-0.52210806293153322</v>
      </c>
      <c r="Q117" s="1159">
        <v>-0.56021091968208103</v>
      </c>
      <c r="R117" s="1159">
        <v>-0.59333164677931605</v>
      </c>
      <c r="S117" s="1159">
        <v>-0.68092193710298154</v>
      </c>
      <c r="T117" s="1159">
        <v>-0.73463367115091782</v>
      </c>
      <c r="U117" s="1159">
        <v>-0.79173831978297071</v>
      </c>
      <c r="V117" s="1159">
        <v>-0.81102043513699018</v>
      </c>
      <c r="W117" s="1159">
        <v>-0.91431422777881655</v>
      </c>
      <c r="X117" s="1159">
        <v>-0.99972955344245418</v>
      </c>
      <c r="Y117" s="1159">
        <v>-0.99875980058403635</v>
      </c>
      <c r="Z117" s="1159">
        <v>-0.96671595715874625</v>
      </c>
      <c r="AA117" s="1159">
        <v>-0.9016399632070663</v>
      </c>
      <c r="AB117" s="1159">
        <v>-0.80461271066322659</v>
      </c>
    </row>
    <row r="118" spans="2:28">
      <c r="B118" s="1143"/>
      <c r="C118" s="1159"/>
      <c r="D118" s="1159"/>
      <c r="E118" s="1159"/>
      <c r="F118" s="1159"/>
      <c r="G118" s="1159"/>
      <c r="H118" s="1159"/>
      <c r="I118" s="1159"/>
      <c r="J118" s="1159"/>
      <c r="K118" s="1159"/>
      <c r="L118" s="1159"/>
      <c r="M118" s="1159"/>
      <c r="N118" s="1159"/>
      <c r="O118" s="1159"/>
      <c r="P118" s="1159"/>
      <c r="Q118" s="1159"/>
      <c r="R118" s="1159"/>
      <c r="S118" s="1159"/>
      <c r="T118" s="1159"/>
      <c r="U118" s="1159"/>
      <c r="V118" s="1159"/>
      <c r="W118" s="1159"/>
      <c r="X118" s="1159"/>
      <c r="Y118" s="1159"/>
      <c r="Z118" s="1159"/>
      <c r="AA118" s="1159"/>
      <c r="AB118" s="1159"/>
    </row>
    <row r="119" spans="2:28">
      <c r="B119" s="1147" t="s">
        <v>872</v>
      </c>
      <c r="C119" s="1159">
        <v>3.1953193206922927</v>
      </c>
      <c r="D119" s="1159">
        <v>1.3400871426152021</v>
      </c>
      <c r="E119" s="1159">
        <v>1.8195960888619671</v>
      </c>
      <c r="F119" s="1159">
        <v>2.4548045558430154</v>
      </c>
      <c r="G119" s="1159">
        <v>3.8671143531463366</v>
      </c>
      <c r="H119" s="1159">
        <v>4.5348772404813618</v>
      </c>
      <c r="I119" s="1159">
        <v>2.7677169783676359</v>
      </c>
      <c r="J119" s="1159">
        <v>2.69367307337013</v>
      </c>
      <c r="K119" s="1159">
        <v>2.6397996119027267</v>
      </c>
      <c r="L119" s="1159">
        <v>2.5870036196646722</v>
      </c>
      <c r="M119" s="1159">
        <v>2.5695926447847262</v>
      </c>
      <c r="N119" s="1159">
        <v>2.543896718336879</v>
      </c>
      <c r="O119" s="1159">
        <v>2.5184577511535107</v>
      </c>
      <c r="P119" s="1159">
        <v>2.46808859613044</v>
      </c>
      <c r="Q119" s="1159">
        <v>2.4187268242078312</v>
      </c>
      <c r="R119" s="1159">
        <v>2.382445921844714</v>
      </c>
      <c r="S119" s="1159">
        <v>2.3109725441893727</v>
      </c>
      <c r="T119" s="1159">
        <v>2.2647530933055848</v>
      </c>
      <c r="U119" s="1159">
        <v>2.2194580314394727</v>
      </c>
      <c r="V119" s="1159">
        <v>2.1639715806534863</v>
      </c>
      <c r="W119" s="1159">
        <v>2.1315120069436841</v>
      </c>
      <c r="X119" s="1159">
        <v>2.1315120069436841</v>
      </c>
      <c r="Y119" s="1159">
        <v>2.1315120069436841</v>
      </c>
      <c r="Z119" s="1159">
        <v>2.1315120069436837</v>
      </c>
      <c r="AA119" s="1159">
        <v>2.1315120069436841</v>
      </c>
      <c r="AB119" s="1159">
        <v>2.1315120069436841</v>
      </c>
    </row>
    <row r="120" spans="2:28">
      <c r="B120" s="1141" t="s">
        <v>873</v>
      </c>
      <c r="C120" s="1159">
        <v>1.2240064344233723</v>
      </c>
      <c r="D120" s="1159">
        <v>0.86146992861285165</v>
      </c>
      <c r="E120" s="1159">
        <v>1.4562189640092289</v>
      </c>
      <c r="F120" s="1159">
        <v>1.8181352935076409</v>
      </c>
      <c r="G120" s="1159">
        <v>2.7737762370589771</v>
      </c>
      <c r="H120" s="1159">
        <v>2.8269784204621544</v>
      </c>
      <c r="I120" s="1159">
        <v>1.8689565430153603</v>
      </c>
      <c r="J120" s="1159">
        <v>1.8128878467248997</v>
      </c>
      <c r="K120" s="1159">
        <v>1.7766300897904015</v>
      </c>
      <c r="L120" s="1159">
        <v>1.7410974879945933</v>
      </c>
      <c r="M120" s="1159">
        <v>1.7236865131146475</v>
      </c>
      <c r="N120" s="1159">
        <v>1.7064496479835012</v>
      </c>
      <c r="O120" s="1159">
        <v>1.6893851515036664</v>
      </c>
      <c r="P120" s="1159">
        <v>1.6555974484735927</v>
      </c>
      <c r="Q120" s="1159">
        <v>1.6224854995041209</v>
      </c>
      <c r="R120" s="1159">
        <v>1.5981482170115593</v>
      </c>
      <c r="S120" s="1159">
        <v>1.5502037705012126</v>
      </c>
      <c r="T120" s="1159">
        <v>1.5191996950911881</v>
      </c>
      <c r="U120" s="1159">
        <v>1.4888157011893641</v>
      </c>
      <c r="V120" s="1159">
        <v>1.4515953086596303</v>
      </c>
      <c r="W120" s="1159">
        <v>1.4298213790297358</v>
      </c>
      <c r="X120" s="1159">
        <v>1.4298213790297358</v>
      </c>
      <c r="Y120" s="1159">
        <v>1.4298213790297358</v>
      </c>
      <c r="Z120" s="1159">
        <v>1.4298213790297356</v>
      </c>
      <c r="AA120" s="1159">
        <v>1.4298213790297358</v>
      </c>
      <c r="AB120" s="1159">
        <v>1.4298213790297358</v>
      </c>
    </row>
    <row r="121" spans="2:28">
      <c r="B121" s="1141" t="s">
        <v>874</v>
      </c>
      <c r="C121" s="1159">
        <v>1.9713128862689204</v>
      </c>
      <c r="D121" s="1159">
        <v>0.47861721400235041</v>
      </c>
      <c r="E121" s="1159">
        <v>0.36337712485273832</v>
      </c>
      <c r="F121" s="1159">
        <v>0.63666926233537458</v>
      </c>
      <c r="G121" s="1159">
        <v>0.49034328194410354</v>
      </c>
      <c r="H121" s="1159">
        <v>1.6069353050027018</v>
      </c>
      <c r="I121" s="1159">
        <v>0.89876043535227546</v>
      </c>
      <c r="J121" s="1159">
        <v>0.88078522664523007</v>
      </c>
      <c r="K121" s="1159">
        <v>0.86316952211232545</v>
      </c>
      <c r="L121" s="1159">
        <v>0.84590613167007889</v>
      </c>
      <c r="M121" s="1159">
        <v>0.84590613167007878</v>
      </c>
      <c r="N121" s="1159">
        <v>0.83744707035337806</v>
      </c>
      <c r="O121" s="1159">
        <v>0.82907259964984437</v>
      </c>
      <c r="P121" s="1159">
        <v>0.81249114765684738</v>
      </c>
      <c r="Q121" s="1159">
        <v>0.79624132470371045</v>
      </c>
      <c r="R121" s="1159">
        <v>0.78429770483315486</v>
      </c>
      <c r="S121" s="1159">
        <v>0.7607687736881602</v>
      </c>
      <c r="T121" s="1159">
        <v>0.74555339821439692</v>
      </c>
      <c r="U121" s="1159">
        <v>0.73064233025010883</v>
      </c>
      <c r="V121" s="1159">
        <v>0.71237627199385622</v>
      </c>
      <c r="W121" s="1159">
        <v>0.70169062791394843</v>
      </c>
      <c r="X121" s="1159">
        <v>0.70169062791394843</v>
      </c>
      <c r="Y121" s="1159">
        <v>0.70169062791394843</v>
      </c>
      <c r="Z121" s="1159">
        <v>0.70169062791394832</v>
      </c>
      <c r="AA121" s="1159">
        <v>0.70169062791394843</v>
      </c>
      <c r="AB121" s="1159">
        <v>0.70169062791394843</v>
      </c>
    </row>
    <row r="122" spans="2:28">
      <c r="B122" s="1141" t="s">
        <v>875</v>
      </c>
      <c r="C122" s="1159">
        <v>0</v>
      </c>
      <c r="D122" s="1159">
        <v>0</v>
      </c>
      <c r="E122" s="1159">
        <v>0</v>
      </c>
      <c r="F122" s="1159">
        <v>0</v>
      </c>
      <c r="G122" s="1159">
        <v>0.60299483414325594</v>
      </c>
      <c r="H122" s="1159">
        <v>0.10096351501650551</v>
      </c>
      <c r="I122" s="1159">
        <v>0</v>
      </c>
      <c r="J122" s="1159">
        <v>0</v>
      </c>
      <c r="K122" s="1159">
        <v>0</v>
      </c>
      <c r="L122" s="1159">
        <v>0</v>
      </c>
      <c r="M122" s="1159">
        <v>0</v>
      </c>
      <c r="N122" s="1159">
        <v>0</v>
      </c>
      <c r="O122" s="1159">
        <v>0</v>
      </c>
      <c r="P122" s="1159">
        <v>0</v>
      </c>
      <c r="Q122" s="1159">
        <v>0</v>
      </c>
      <c r="R122" s="1159">
        <v>0</v>
      </c>
      <c r="S122" s="1159">
        <v>0</v>
      </c>
      <c r="T122" s="1159">
        <v>0</v>
      </c>
      <c r="U122" s="1159">
        <v>0</v>
      </c>
      <c r="V122" s="1159">
        <v>0</v>
      </c>
      <c r="W122" s="1159">
        <v>0</v>
      </c>
      <c r="X122" s="1159">
        <v>0</v>
      </c>
      <c r="Y122" s="1159">
        <v>0</v>
      </c>
      <c r="Z122" s="1159">
        <v>0</v>
      </c>
      <c r="AA122" s="1159">
        <v>0</v>
      </c>
      <c r="AB122" s="1159">
        <v>0</v>
      </c>
    </row>
    <row r="123" spans="2:28">
      <c r="B123" s="1143"/>
      <c r="C123" s="1159"/>
      <c r="D123" s="1159"/>
      <c r="E123" s="1159"/>
      <c r="F123" s="1159"/>
      <c r="G123" s="1159"/>
      <c r="H123" s="1159"/>
      <c r="I123" s="1164"/>
      <c r="J123" s="1159"/>
      <c r="K123" s="1159"/>
      <c r="L123" s="1159"/>
      <c r="M123" s="1159"/>
      <c r="N123" s="1159"/>
      <c r="O123" s="1159"/>
      <c r="P123" s="1159"/>
      <c r="Q123" s="1159"/>
      <c r="R123" s="1159"/>
      <c r="S123" s="1159"/>
      <c r="T123" s="1159"/>
      <c r="U123" s="1159"/>
      <c r="V123" s="1159"/>
      <c r="W123" s="1159"/>
      <c r="X123" s="1159"/>
      <c r="Y123" s="1159"/>
      <c r="Z123" s="1159"/>
      <c r="AA123" s="1159"/>
      <c r="AB123" s="1159"/>
    </row>
    <row r="124" spans="2:28">
      <c r="B124" s="1143" t="s">
        <v>876</v>
      </c>
      <c r="C124" s="1159">
        <v>30.493808619263092</v>
      </c>
      <c r="D124" s="1159">
        <v>28.89008637280411</v>
      </c>
      <c r="E124" s="1159">
        <v>31.208042725888241</v>
      </c>
      <c r="F124" s="1159">
        <v>30.186889526059264</v>
      </c>
      <c r="G124" s="1159">
        <v>35.66556453582362</v>
      </c>
      <c r="H124" s="1159">
        <v>34.58212412696848</v>
      </c>
      <c r="I124" s="1159">
        <v>31.722529805015498</v>
      </c>
      <c r="J124" s="1159">
        <v>31.854398154306473</v>
      </c>
      <c r="K124" s="1159">
        <v>31.692236193936616</v>
      </c>
      <c r="L124" s="1159">
        <v>31.601352510008514</v>
      </c>
      <c r="M124" s="1159">
        <v>31.502884990872811</v>
      </c>
      <c r="N124" s="1159">
        <v>31.353728821544454</v>
      </c>
      <c r="O124" s="1159">
        <v>31.275591737179926</v>
      </c>
      <c r="P124" s="1159">
        <v>31.122543337365077</v>
      </c>
      <c r="Q124" s="1159">
        <v>30.97690007977895</v>
      </c>
      <c r="R124" s="1159">
        <v>30.833736269900605</v>
      </c>
      <c r="S124" s="1159">
        <v>30.710613972493096</v>
      </c>
      <c r="T124" s="1159">
        <v>30.595039531725593</v>
      </c>
      <c r="U124" s="1159">
        <v>30.505705471526433</v>
      </c>
      <c r="V124" s="1159">
        <v>30.405786881334969</v>
      </c>
      <c r="W124" s="1159">
        <v>30.444410836540584</v>
      </c>
      <c r="X124" s="1159">
        <v>30.527537872805009</v>
      </c>
      <c r="Y124" s="1159">
        <v>30.551657338615222</v>
      </c>
      <c r="Z124" s="1159">
        <v>30.572659128003941</v>
      </c>
      <c r="AA124" s="1159">
        <v>30.587799059663588</v>
      </c>
      <c r="AB124" s="1159">
        <v>30.597596515821632</v>
      </c>
    </row>
    <row r="125" spans="2:28">
      <c r="B125" s="1143"/>
      <c r="C125" s="1159"/>
      <c r="D125" s="1159"/>
      <c r="E125" s="1159"/>
      <c r="F125" s="1159"/>
      <c r="G125" s="1159"/>
      <c r="H125" s="1159"/>
      <c r="I125" s="1159"/>
      <c r="J125" s="1159"/>
      <c r="K125" s="1159"/>
      <c r="L125" s="1159"/>
      <c r="M125" s="1159"/>
      <c r="N125" s="1159"/>
      <c r="O125" s="1159"/>
      <c r="P125" s="1159"/>
      <c r="Q125" s="1159"/>
      <c r="R125" s="1159"/>
      <c r="S125" s="1159"/>
      <c r="T125" s="1159"/>
      <c r="U125" s="1159"/>
      <c r="V125" s="1159"/>
      <c r="W125" s="1159"/>
      <c r="X125" s="1159"/>
      <c r="Y125" s="1159"/>
      <c r="Z125" s="1159"/>
      <c r="AA125" s="1159"/>
      <c r="AB125" s="1159"/>
    </row>
    <row r="126" spans="2:28">
      <c r="B126" s="1143" t="s">
        <v>326</v>
      </c>
      <c r="C126" s="1159">
        <v>-3.2910044031340733</v>
      </c>
      <c r="D126" s="1159">
        <v>-0.20466710802502397</v>
      </c>
      <c r="E126" s="1159">
        <v>-2.5373952194550582</v>
      </c>
      <c r="F126" s="1159">
        <v>-1.1953755041958534</v>
      </c>
      <c r="G126" s="1159">
        <v>-8.9926307428474281</v>
      </c>
      <c r="H126" s="1159">
        <v>-6.4139757811575109</v>
      </c>
      <c r="I126" s="1159">
        <v>-3.937159611472679</v>
      </c>
      <c r="J126" s="1159">
        <v>-3.7570230896071295</v>
      </c>
      <c r="K126" s="1159">
        <v>-3.5645143922856359</v>
      </c>
      <c r="L126" s="1159">
        <v>-3.3496455545347801</v>
      </c>
      <c r="M126" s="1159">
        <v>-3.0380957966810662</v>
      </c>
      <c r="N126" s="1159">
        <v>-2.9388151720636628</v>
      </c>
      <c r="O126" s="1159">
        <v>-3.0294302497309289</v>
      </c>
      <c r="P126" s="1159">
        <v>-2.9901966590619722</v>
      </c>
      <c r="Q126" s="1159">
        <v>-2.9789377438899125</v>
      </c>
      <c r="R126" s="1159">
        <v>-2.9757775686240304</v>
      </c>
      <c r="S126" s="1159">
        <v>-2.9918944812923547</v>
      </c>
      <c r="T126" s="1159">
        <v>-2.9993867644565007</v>
      </c>
      <c r="U126" s="1159">
        <v>-3.0111963512224427</v>
      </c>
      <c r="V126" s="1159">
        <v>-2.974992015790475</v>
      </c>
      <c r="W126" s="1159">
        <v>-3.0458262347225036</v>
      </c>
      <c r="X126" s="1159">
        <v>-3.131241560386139</v>
      </c>
      <c r="Y126" s="1159">
        <v>-3.1302718075277194</v>
      </c>
      <c r="Z126" s="1159">
        <v>-3.0982279641024313</v>
      </c>
      <c r="AA126" s="1159">
        <v>-3.0331519701507497</v>
      </c>
      <c r="AB126" s="1159">
        <v>-2.9361247176069094</v>
      </c>
    </row>
    <row r="127" spans="2:28">
      <c r="B127" s="1148"/>
      <c r="C127" s="1159"/>
      <c r="D127" s="1159"/>
      <c r="E127" s="1159"/>
      <c r="F127" s="1159"/>
      <c r="G127" s="1159"/>
      <c r="H127" s="1159"/>
      <c r="I127" s="1159"/>
      <c r="J127" s="1159"/>
      <c r="K127" s="1159"/>
      <c r="L127" s="1159"/>
      <c r="M127" s="1159"/>
      <c r="N127" s="1159"/>
      <c r="O127" s="1159"/>
      <c r="P127" s="1159"/>
      <c r="Q127" s="1159"/>
      <c r="R127" s="1159"/>
      <c r="S127" s="1159"/>
      <c r="T127" s="1159"/>
      <c r="U127" s="1159"/>
      <c r="V127" s="1159"/>
      <c r="W127" s="1159"/>
      <c r="X127" s="1159"/>
      <c r="Y127" s="1159"/>
      <c r="Z127" s="1159"/>
      <c r="AA127" s="1159"/>
      <c r="AB127" s="1159"/>
    </row>
    <row r="128" spans="2:28">
      <c r="B128" s="1143" t="s">
        <v>877</v>
      </c>
      <c r="C128" s="1159">
        <v>1.8621645809572973</v>
      </c>
      <c r="D128" s="1159">
        <v>1.8695211330873547</v>
      </c>
      <c r="E128" s="1159">
        <v>-0.71833629466712456</v>
      </c>
      <c r="F128" s="1159">
        <v>1.4281447295376224</v>
      </c>
      <c r="G128" s="1159">
        <v>2.8470804000090902E-2</v>
      </c>
      <c r="H128" s="1159">
        <v>-9.4307644192829526E-2</v>
      </c>
      <c r="I128" s="1159">
        <v>0</v>
      </c>
      <c r="J128" s="1159">
        <v>0</v>
      </c>
      <c r="K128" s="1159">
        <v>0</v>
      </c>
      <c r="L128" s="1159">
        <v>0</v>
      </c>
      <c r="M128" s="1159">
        <v>0</v>
      </c>
      <c r="N128" s="1159">
        <v>0</v>
      </c>
      <c r="O128" s="1159">
        <v>0</v>
      </c>
      <c r="P128" s="1159">
        <v>0</v>
      </c>
      <c r="Q128" s="1159">
        <v>0</v>
      </c>
      <c r="R128" s="1159">
        <v>0</v>
      </c>
      <c r="S128" s="1159">
        <v>0</v>
      </c>
      <c r="T128" s="1159">
        <v>0</v>
      </c>
      <c r="U128" s="1159">
        <v>0</v>
      </c>
      <c r="V128" s="1159">
        <v>0</v>
      </c>
      <c r="W128" s="1159">
        <v>0</v>
      </c>
      <c r="X128" s="1159">
        <v>0</v>
      </c>
      <c r="Y128" s="1159">
        <v>0</v>
      </c>
      <c r="Z128" s="1159">
        <v>0</v>
      </c>
      <c r="AA128" s="1159">
        <v>0</v>
      </c>
      <c r="AB128" s="1159">
        <v>0</v>
      </c>
    </row>
    <row r="129" spans="2:28">
      <c r="B129" s="1135"/>
      <c r="C129" s="1159"/>
      <c r="D129" s="1159"/>
      <c r="E129" s="1159"/>
      <c r="F129" s="1159"/>
      <c r="G129" s="1159"/>
      <c r="H129" s="1159"/>
      <c r="I129" s="1159"/>
      <c r="J129" s="1159"/>
      <c r="K129" s="1159"/>
      <c r="L129" s="1159"/>
      <c r="M129" s="1159"/>
      <c r="N129" s="1159"/>
      <c r="O129" s="1159"/>
      <c r="P129" s="1159"/>
      <c r="Q129" s="1159"/>
      <c r="R129" s="1159"/>
      <c r="S129" s="1159"/>
      <c r="T129" s="1159"/>
      <c r="U129" s="1159"/>
      <c r="V129" s="1159"/>
      <c r="W129" s="1159"/>
      <c r="X129" s="1159"/>
      <c r="Y129" s="1159"/>
      <c r="Z129" s="1159"/>
      <c r="AA129" s="1159"/>
      <c r="AB129" s="1159"/>
    </row>
    <row r="130" spans="2:28">
      <c r="B130" s="1143" t="s">
        <v>878</v>
      </c>
      <c r="C130" s="1159">
        <v>5.153168984091371</v>
      </c>
      <c r="D130" s="1159">
        <v>2.0741882411123784</v>
      </c>
      <c r="E130" s="1159">
        <v>1.8190589247879334</v>
      </c>
      <c r="F130" s="1159">
        <v>2.6235202337334758</v>
      </c>
      <c r="G130" s="1159">
        <v>9.02110154684752</v>
      </c>
      <c r="H130" s="1159">
        <v>6.3196681369646814</v>
      </c>
      <c r="I130" s="1159">
        <v>3.937159611472679</v>
      </c>
      <c r="J130" s="1159">
        <v>3.7570230896071295</v>
      </c>
      <c r="K130" s="1159">
        <v>3.5645143922856359</v>
      </c>
      <c r="L130" s="1159">
        <v>3.3496455545347801</v>
      </c>
      <c r="M130" s="1159">
        <v>3.0380957966810662</v>
      </c>
      <c r="N130" s="1159">
        <v>2.9388151720636628</v>
      </c>
      <c r="O130" s="1159">
        <v>3.0294302497309289</v>
      </c>
      <c r="P130" s="1159">
        <v>2.9901966590619722</v>
      </c>
      <c r="Q130" s="1159">
        <v>2.9789377438899125</v>
      </c>
      <c r="R130" s="1159">
        <v>2.9757775686240304</v>
      </c>
      <c r="S130" s="1159">
        <v>2.9918944812923547</v>
      </c>
      <c r="T130" s="1159">
        <v>2.9993867644565007</v>
      </c>
      <c r="U130" s="1159">
        <v>3.0111963512224427</v>
      </c>
      <c r="V130" s="1159">
        <v>2.974992015790475</v>
      </c>
      <c r="W130" s="1159">
        <v>3.0458262347225036</v>
      </c>
      <c r="X130" s="1159">
        <v>3.131241560386139</v>
      </c>
      <c r="Y130" s="1159">
        <v>3.1302718075277194</v>
      </c>
      <c r="Z130" s="1159">
        <v>3.0982279641024313</v>
      </c>
      <c r="AA130" s="1159">
        <v>3.0331519701507497</v>
      </c>
      <c r="AB130" s="1159">
        <v>2.9361247176069094</v>
      </c>
    </row>
    <row r="131" spans="2:28">
      <c r="B131" s="1143"/>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59"/>
      <c r="X131" s="1159"/>
      <c r="Y131" s="1159"/>
      <c r="Z131" s="1159"/>
      <c r="AA131" s="1159"/>
      <c r="AB131" s="1159"/>
    </row>
    <row r="132" spans="2:28">
      <c r="B132" s="1135" t="s">
        <v>879</v>
      </c>
      <c r="C132" s="1159">
        <v>2.5336986523058469</v>
      </c>
      <c r="D132" s="1159">
        <v>1.3922290136667126</v>
      </c>
      <c r="E132" s="1159">
        <v>1.5551072046753613</v>
      </c>
      <c r="F132" s="1159">
        <v>1.6910044684282066</v>
      </c>
      <c r="G132" s="1159">
        <v>3.6391198795939919</v>
      </c>
      <c r="H132" s="1159">
        <v>3.3470498460912177</v>
      </c>
      <c r="I132" s="1159">
        <v>2.4230061667500702</v>
      </c>
      <c r="J132" s="1159">
        <v>2.481361293409893</v>
      </c>
      <c r="K132" s="1159">
        <v>2.2341691706548148</v>
      </c>
      <c r="L132" s="1159">
        <v>2.0023347795405004</v>
      </c>
      <c r="M132" s="1159">
        <v>1.0515034367268135</v>
      </c>
      <c r="N132" s="1159">
        <v>1.7664649394315604</v>
      </c>
      <c r="O132" s="1159">
        <v>1.4647249108746161</v>
      </c>
      <c r="P132" s="1159">
        <v>1.3191678885090401</v>
      </c>
      <c r="Q132" s="1159">
        <v>1.1772874891408747</v>
      </c>
      <c r="R132" s="1159">
        <v>0.67251415162086381</v>
      </c>
      <c r="S132" s="1159">
        <v>0.90158966755966119</v>
      </c>
      <c r="T132" s="1159">
        <v>0.73569577589614576</v>
      </c>
      <c r="U132" s="1159">
        <v>0.61121245820153325</v>
      </c>
      <c r="V132" s="1159">
        <v>0.51386830208097345</v>
      </c>
      <c r="W132" s="1159">
        <v>0.42683077315503676</v>
      </c>
      <c r="X132" s="1159">
        <v>0.35700222776217111</v>
      </c>
      <c r="Y132" s="1159">
        <v>0.39598097440927554</v>
      </c>
      <c r="Z132" s="1159">
        <v>0.46329643360749556</v>
      </c>
      <c r="AA132" s="1159">
        <v>0.39953702965599108</v>
      </c>
      <c r="AB132" s="1159">
        <v>0.35939428982506855</v>
      </c>
    </row>
    <row r="133" spans="2:28">
      <c r="B133" s="1134" t="s">
        <v>880</v>
      </c>
      <c r="C133" s="1159">
        <v>3.2142185848401033</v>
      </c>
      <c r="D133" s="1159">
        <v>2.1050740814870696</v>
      </c>
      <c r="E133" s="1159">
        <v>2.0831231952878944</v>
      </c>
      <c r="F133" s="1159">
        <v>2.1408246077108379</v>
      </c>
      <c r="G133" s="1159">
        <v>4.2391509941274332</v>
      </c>
      <c r="H133" s="1159">
        <v>4.077411553941575</v>
      </c>
      <c r="I133" s="1159">
        <v>3.1460612113034268</v>
      </c>
      <c r="J133" s="1159">
        <v>3.1425300973743875</v>
      </c>
      <c r="K133" s="1159">
        <v>3.0448921290283604</v>
      </c>
      <c r="L133" s="1159">
        <v>2.8421552200700679</v>
      </c>
      <c r="M133" s="1159">
        <v>2.6201754288221961</v>
      </c>
      <c r="N133" s="1159">
        <v>2.5248957097495284</v>
      </c>
      <c r="O133" s="1159">
        <v>2.285587154288971</v>
      </c>
      <c r="P133" s="1159">
        <v>2.1468013259891814</v>
      </c>
      <c r="Q133" s="1159">
        <v>2.0310106269275829</v>
      </c>
      <c r="R133" s="1159">
        <v>1.9070147850465327</v>
      </c>
      <c r="S133" s="1159">
        <v>1.7435784069361346</v>
      </c>
      <c r="T133" s="1159">
        <v>1.599973544588231</v>
      </c>
      <c r="U133" s="1159">
        <v>1.4693910546045892</v>
      </c>
      <c r="V133" s="1159">
        <v>1.3607432698115909</v>
      </c>
      <c r="W133" s="1159">
        <v>1.2611803504053811</v>
      </c>
      <c r="X133" s="1159">
        <v>1.1757141737937611</v>
      </c>
      <c r="Y133" s="1159">
        <v>1.096931341973713</v>
      </c>
      <c r="Z133" s="1159">
        <v>1.0273690986363468</v>
      </c>
      <c r="AA133" s="1159">
        <v>0.96419684739130929</v>
      </c>
      <c r="AB133" s="1159">
        <v>0.90598972847991321</v>
      </c>
    </row>
    <row r="134" spans="2:28">
      <c r="B134" s="1138" t="s">
        <v>881</v>
      </c>
      <c r="C134" s="1159">
        <v>0.99212203787081366</v>
      </c>
      <c r="D134" s="1159">
        <v>1.3085762087317103</v>
      </c>
      <c r="E134" s="1159">
        <v>1.1803636153782402</v>
      </c>
      <c r="F134" s="1159">
        <v>1.2635406594212992</v>
      </c>
      <c r="G134" s="1159">
        <v>2.8090454049080158</v>
      </c>
      <c r="H134" s="1159">
        <v>1.9947866479386076</v>
      </c>
      <c r="I134" s="1159">
        <v>1.9565742025932069</v>
      </c>
      <c r="J134" s="1159">
        <v>0</v>
      </c>
      <c r="K134" s="1159">
        <v>0</v>
      </c>
      <c r="L134" s="1159">
        <v>0</v>
      </c>
      <c r="M134" s="1159">
        <v>0</v>
      </c>
      <c r="N134" s="1159">
        <v>0</v>
      </c>
      <c r="O134" s="1159">
        <v>0</v>
      </c>
      <c r="P134" s="1159">
        <v>0</v>
      </c>
      <c r="Q134" s="1159">
        <v>0</v>
      </c>
      <c r="R134" s="1159">
        <v>0</v>
      </c>
      <c r="S134" s="1159">
        <v>0</v>
      </c>
      <c r="T134" s="1159">
        <v>0</v>
      </c>
      <c r="U134" s="1159">
        <v>0</v>
      </c>
      <c r="V134" s="1159">
        <v>0</v>
      </c>
      <c r="W134" s="1159">
        <v>0</v>
      </c>
      <c r="X134" s="1159">
        <v>0</v>
      </c>
      <c r="Y134" s="1159">
        <v>0</v>
      </c>
      <c r="Z134" s="1159">
        <v>0</v>
      </c>
      <c r="AA134" s="1159">
        <v>0</v>
      </c>
      <c r="AB134" s="1159">
        <v>0</v>
      </c>
    </row>
    <row r="135" spans="2:28">
      <c r="B135" s="1138" t="s">
        <v>882</v>
      </c>
      <c r="C135" s="1159">
        <v>0.80516077466887925</v>
      </c>
      <c r="D135" s="1159">
        <v>0.7964978727553591</v>
      </c>
      <c r="E135" s="1159">
        <v>0.90275957990965405</v>
      </c>
      <c r="F135" s="1159">
        <v>0.87728394828953871</v>
      </c>
      <c r="G135" s="1159">
        <v>1.4301055892194172</v>
      </c>
      <c r="H135" s="1159">
        <v>1.13966931539736</v>
      </c>
      <c r="I135" s="1159">
        <v>1.1894870087102205</v>
      </c>
      <c r="J135" s="1159">
        <v>0</v>
      </c>
      <c r="K135" s="1159">
        <v>0</v>
      </c>
      <c r="L135" s="1159">
        <v>0</v>
      </c>
      <c r="M135" s="1159">
        <v>0</v>
      </c>
      <c r="N135" s="1159">
        <v>0</v>
      </c>
      <c r="O135" s="1159">
        <v>0</v>
      </c>
      <c r="P135" s="1159">
        <v>0</v>
      </c>
      <c r="Q135" s="1159">
        <v>0</v>
      </c>
      <c r="R135" s="1159">
        <v>0</v>
      </c>
      <c r="S135" s="1159">
        <v>0</v>
      </c>
      <c r="T135" s="1159">
        <v>0</v>
      </c>
      <c r="U135" s="1159">
        <v>0</v>
      </c>
      <c r="V135" s="1159">
        <v>0</v>
      </c>
      <c r="W135" s="1159">
        <v>0</v>
      </c>
      <c r="X135" s="1159">
        <v>0</v>
      </c>
      <c r="Y135" s="1159">
        <v>0</v>
      </c>
      <c r="Z135" s="1159">
        <v>0</v>
      </c>
      <c r="AA135" s="1159">
        <v>0</v>
      </c>
      <c r="AB135" s="1159">
        <v>0</v>
      </c>
    </row>
    <row r="136" spans="2:28">
      <c r="B136" s="1138" t="s">
        <v>883</v>
      </c>
      <c r="C136" s="1159">
        <v>1.4169357723004099</v>
      </c>
      <c r="D136" s="1159">
        <v>0</v>
      </c>
      <c r="E136" s="1159">
        <v>0</v>
      </c>
      <c r="F136" s="1159">
        <v>0</v>
      </c>
      <c r="G136" s="1159">
        <v>0</v>
      </c>
      <c r="H136" s="1159">
        <v>0.94295559060560752</v>
      </c>
      <c r="I136" s="1159">
        <v>0</v>
      </c>
      <c r="J136" s="1159">
        <v>0</v>
      </c>
      <c r="K136" s="1159">
        <v>0</v>
      </c>
      <c r="L136" s="1159">
        <v>0</v>
      </c>
      <c r="M136" s="1159">
        <v>0</v>
      </c>
      <c r="N136" s="1159">
        <v>0</v>
      </c>
      <c r="O136" s="1159">
        <v>0</v>
      </c>
      <c r="P136" s="1159">
        <v>0</v>
      </c>
      <c r="Q136" s="1159">
        <v>0</v>
      </c>
      <c r="R136" s="1159">
        <v>0</v>
      </c>
      <c r="S136" s="1159">
        <v>0</v>
      </c>
      <c r="T136" s="1159">
        <v>0</v>
      </c>
      <c r="U136" s="1159">
        <v>0</v>
      </c>
      <c r="V136" s="1159">
        <v>0</v>
      </c>
      <c r="W136" s="1159">
        <v>0</v>
      </c>
      <c r="X136" s="1159">
        <v>0</v>
      </c>
      <c r="Y136" s="1159">
        <v>0</v>
      </c>
      <c r="Z136" s="1159">
        <v>0</v>
      </c>
      <c r="AA136" s="1159">
        <v>0</v>
      </c>
      <c r="AB136" s="1159">
        <v>0</v>
      </c>
    </row>
    <row r="137" spans="2:28">
      <c r="B137" s="1134" t="s">
        <v>884</v>
      </c>
      <c r="C137" s="1159">
        <v>-0.68051993253425624</v>
      </c>
      <c r="D137" s="1159">
        <v>-0.71284506782035684</v>
      </c>
      <c r="E137" s="1159">
        <v>-0.52801599061253279</v>
      </c>
      <c r="F137" s="1159">
        <v>-0.44982013928263115</v>
      </c>
      <c r="G137" s="1159">
        <v>-0.60003111453344182</v>
      </c>
      <c r="H137" s="1159">
        <v>-0.73036170785035748</v>
      </c>
      <c r="I137" s="1159">
        <v>-0.72305504455335667</v>
      </c>
      <c r="J137" s="1159">
        <v>-0.6611688039644944</v>
      </c>
      <c r="K137" s="1159">
        <v>-0.81072295837354524</v>
      </c>
      <c r="L137" s="1159">
        <v>-0.8398204405295675</v>
      </c>
      <c r="M137" s="1159">
        <v>-1.5686719920953827</v>
      </c>
      <c r="N137" s="1159">
        <v>-0.75843077031796835</v>
      </c>
      <c r="O137" s="1159">
        <v>-0.82086224341435488</v>
      </c>
      <c r="P137" s="1159">
        <v>-0.82763343748014107</v>
      </c>
      <c r="Q137" s="1159">
        <v>-0.85372313778670816</v>
      </c>
      <c r="R137" s="1159">
        <v>-1.234500633425669</v>
      </c>
      <c r="S137" s="1159">
        <v>-0.84198873937647334</v>
      </c>
      <c r="T137" s="1159">
        <v>-0.86427776869208539</v>
      </c>
      <c r="U137" s="1159">
        <v>-0.85817859640305594</v>
      </c>
      <c r="V137" s="1159">
        <v>-0.84687496773061743</v>
      </c>
      <c r="W137" s="1159">
        <v>-0.83434957725034442</v>
      </c>
      <c r="X137" s="1159">
        <v>-0.81871194603158992</v>
      </c>
      <c r="Y137" s="1159">
        <v>-0.7009503675644374</v>
      </c>
      <c r="Z137" s="1159">
        <v>-0.56407266502885123</v>
      </c>
      <c r="AA137" s="1159">
        <v>-0.56465981773531804</v>
      </c>
      <c r="AB137" s="1159">
        <v>-0.54659543865484461</v>
      </c>
    </row>
    <row r="138" spans="2:28">
      <c r="B138" s="1134"/>
      <c r="C138" s="1159"/>
      <c r="D138" s="1159"/>
      <c r="E138" s="1159"/>
      <c r="F138" s="1159"/>
      <c r="G138" s="1159"/>
      <c r="H138" s="1159"/>
      <c r="I138" s="1159"/>
      <c r="J138" s="1159"/>
      <c r="K138" s="1159"/>
      <c r="L138" s="1159"/>
      <c r="M138" s="1159"/>
      <c r="N138" s="1159"/>
      <c r="O138" s="1159"/>
      <c r="P138" s="1159"/>
      <c r="Q138" s="1159"/>
      <c r="R138" s="1159"/>
      <c r="S138" s="1159"/>
      <c r="T138" s="1159"/>
      <c r="U138" s="1159"/>
      <c r="V138" s="1159"/>
      <c r="W138" s="1159"/>
      <c r="X138" s="1159"/>
      <c r="Y138" s="1159"/>
      <c r="Z138" s="1159"/>
      <c r="AA138" s="1159"/>
      <c r="AB138" s="1159"/>
    </row>
    <row r="139" spans="2:28">
      <c r="B139" s="1135" t="s">
        <v>885</v>
      </c>
      <c r="C139" s="1159">
        <v>2.6194703317855232</v>
      </c>
      <c r="D139" s="1159">
        <v>0.68195922744566606</v>
      </c>
      <c r="E139" s="1159">
        <v>0.26395172011257201</v>
      </c>
      <c r="F139" s="1159">
        <v>0.93251576530526881</v>
      </c>
      <c r="G139" s="1159">
        <v>5.3819816672535277</v>
      </c>
      <c r="H139" s="1159">
        <v>2.9726182908734633</v>
      </c>
      <c r="I139" s="1159">
        <v>1.5141534447226082</v>
      </c>
      <c r="J139" s="1159">
        <v>1.2756617961972365</v>
      </c>
      <c r="K139" s="1159">
        <v>1.3303452216308211</v>
      </c>
      <c r="L139" s="1159">
        <v>1.3473107749942796</v>
      </c>
      <c r="M139" s="1159">
        <v>1.9865923599542525</v>
      </c>
      <c r="N139" s="1159">
        <v>1.1723502326321025</v>
      </c>
      <c r="O139" s="1159">
        <v>1.564705338856313</v>
      </c>
      <c r="P139" s="1159">
        <v>1.6710287705529323</v>
      </c>
      <c r="Q139" s="1159">
        <v>1.8016502547490378</v>
      </c>
      <c r="R139" s="1159">
        <v>2.3032634170031665</v>
      </c>
      <c r="S139" s="1159">
        <v>2.0903048137326934</v>
      </c>
      <c r="T139" s="1159">
        <v>2.2636909885603558</v>
      </c>
      <c r="U139" s="1159">
        <v>2.3999838930209094</v>
      </c>
      <c r="V139" s="1159">
        <v>2.4611237137095014</v>
      </c>
      <c r="W139" s="1159">
        <v>2.6189954615674664</v>
      </c>
      <c r="X139" s="1159">
        <v>2.7742393326239672</v>
      </c>
      <c r="Y139" s="1159">
        <v>2.7342908331184441</v>
      </c>
      <c r="Z139" s="1159">
        <v>2.6349315304949359</v>
      </c>
      <c r="AA139" s="1159">
        <v>2.6336149404947591</v>
      </c>
      <c r="AB139" s="1159">
        <v>2.576730427781841</v>
      </c>
    </row>
    <row r="140" spans="2:28">
      <c r="B140" s="1134" t="s">
        <v>886</v>
      </c>
      <c r="C140" s="1159">
        <v>2.6194703317855232</v>
      </c>
      <c r="D140" s="1159">
        <v>0.68195922744566606</v>
      </c>
      <c r="E140" s="1159">
        <v>0.26395172011257201</v>
      </c>
      <c r="F140" s="1159">
        <v>1.3986489955660433</v>
      </c>
      <c r="G140" s="1159">
        <v>5.7187491403855857</v>
      </c>
      <c r="H140" s="1159">
        <v>3.3473443768572237</v>
      </c>
      <c r="I140" s="1159">
        <v>1.5141534447226082</v>
      </c>
      <c r="J140" s="1159">
        <v>1.2756617961972365</v>
      </c>
      <c r="K140" s="1159">
        <v>1.3303452216308211</v>
      </c>
      <c r="L140" s="1159">
        <v>1.3473107749942796</v>
      </c>
      <c r="M140" s="1159">
        <v>1.9865923599542525</v>
      </c>
      <c r="N140" s="1159">
        <v>1.1723502326321025</v>
      </c>
      <c r="O140" s="1159">
        <v>1.564705338856313</v>
      </c>
      <c r="P140" s="1159">
        <v>1.6710287705529323</v>
      </c>
      <c r="Q140" s="1159">
        <v>1.8016502547490378</v>
      </c>
      <c r="R140" s="1159">
        <v>2.3032634170031665</v>
      </c>
      <c r="S140" s="1159">
        <v>2.0903048137326934</v>
      </c>
      <c r="T140" s="1159">
        <v>2.2636909885603558</v>
      </c>
      <c r="U140" s="1159">
        <v>2.3999838930209094</v>
      </c>
      <c r="V140" s="1159">
        <v>2.4611237137095014</v>
      </c>
      <c r="W140" s="1159">
        <v>2.6189954615674664</v>
      </c>
      <c r="X140" s="1159">
        <v>2.7742393326239672</v>
      </c>
      <c r="Y140" s="1159">
        <v>2.7342908331184441</v>
      </c>
      <c r="Z140" s="1159">
        <v>2.6349315304949359</v>
      </c>
      <c r="AA140" s="1159">
        <v>2.6336149404947591</v>
      </c>
      <c r="AB140" s="1159">
        <v>2.576730427781841</v>
      </c>
    </row>
    <row r="141" spans="2:28">
      <c r="B141" s="1138" t="s">
        <v>887</v>
      </c>
      <c r="C141" s="1159">
        <v>2.4582951854458579</v>
      </c>
      <c r="D141" s="1159">
        <v>2.9007185998956655</v>
      </c>
      <c r="E141" s="1159">
        <v>2.9160281020528638</v>
      </c>
      <c r="F141" s="1159">
        <v>1.7652575887468236</v>
      </c>
      <c r="G141" s="1159">
        <v>0.84661212186942392</v>
      </c>
      <c r="H141" s="1159">
        <v>1.0926271595086223</v>
      </c>
      <c r="I141" s="1159">
        <v>1.5141534447226082</v>
      </c>
      <c r="J141" s="1159">
        <v>1.2756617961972365</v>
      </c>
      <c r="K141" s="1159">
        <v>1.3303452216308211</v>
      </c>
      <c r="L141" s="1159">
        <v>1.3473107749942796</v>
      </c>
      <c r="M141" s="1159">
        <v>1.9865923599542525</v>
      </c>
      <c r="N141" s="1159">
        <v>1.1723502326321025</v>
      </c>
      <c r="O141" s="1159">
        <v>1.564705338856313</v>
      </c>
      <c r="P141" s="1159">
        <v>1.6710287705529323</v>
      </c>
      <c r="Q141" s="1159">
        <v>1.8016502547490378</v>
      </c>
      <c r="R141" s="1159">
        <v>2.3032634170031665</v>
      </c>
      <c r="S141" s="1159">
        <v>2.0903048137326934</v>
      </c>
      <c r="T141" s="1159">
        <v>2.2636909885603558</v>
      </c>
      <c r="U141" s="1159">
        <v>2.3999838930209094</v>
      </c>
      <c r="V141" s="1159">
        <v>2.4611237137095014</v>
      </c>
      <c r="W141" s="1159">
        <v>2.6189954615674664</v>
      </c>
      <c r="X141" s="1159">
        <v>2.7742393326239672</v>
      </c>
      <c r="Y141" s="1159">
        <v>2.7342908331184441</v>
      </c>
      <c r="Z141" s="1159">
        <v>2.6349315304949359</v>
      </c>
      <c r="AA141" s="1159">
        <v>2.6336149404947591</v>
      </c>
      <c r="AB141" s="1159">
        <v>2.576730427781841</v>
      </c>
    </row>
    <row r="142" spans="2:28">
      <c r="B142" s="1151" t="s">
        <v>888</v>
      </c>
      <c r="C142" s="1159">
        <v>1.8029179084473621</v>
      </c>
      <c r="D142" s="1159">
        <v>2.387511207656388</v>
      </c>
      <c r="E142" s="1159">
        <v>2.3039877088937764</v>
      </c>
      <c r="F142" s="1159">
        <v>1.6642500724408436</v>
      </c>
      <c r="G142" s="1159">
        <v>-0.11817961275978545</v>
      </c>
      <c r="H142" s="1159">
        <v>0.78973661445910592</v>
      </c>
      <c r="I142" s="1159">
        <v>1.7218152828354261</v>
      </c>
      <c r="J142" s="1159">
        <v>0</v>
      </c>
      <c r="K142" s="1159">
        <v>0</v>
      </c>
      <c r="L142" s="1159">
        <v>0</v>
      </c>
      <c r="M142" s="1159">
        <v>0</v>
      </c>
      <c r="N142" s="1159">
        <v>0</v>
      </c>
      <c r="O142" s="1159">
        <v>0</v>
      </c>
      <c r="P142" s="1159">
        <v>0</v>
      </c>
      <c r="Q142" s="1159">
        <v>0</v>
      </c>
      <c r="R142" s="1159">
        <v>0</v>
      </c>
      <c r="S142" s="1159">
        <v>0</v>
      </c>
      <c r="T142" s="1159">
        <v>0</v>
      </c>
      <c r="U142" s="1159">
        <v>0</v>
      </c>
      <c r="V142" s="1159">
        <v>0</v>
      </c>
      <c r="W142" s="1159">
        <v>0</v>
      </c>
      <c r="X142" s="1159">
        <v>0</v>
      </c>
      <c r="Y142" s="1159">
        <v>0</v>
      </c>
      <c r="Z142" s="1159">
        <v>0</v>
      </c>
      <c r="AA142" s="1159">
        <v>0</v>
      </c>
      <c r="AB142" s="1159">
        <v>0</v>
      </c>
    </row>
    <row r="143" spans="2:28">
      <c r="B143" s="1152" t="s">
        <v>889</v>
      </c>
      <c r="C143" s="1159">
        <v>2.7670667352932235E-2</v>
      </c>
      <c r="D143" s="1159">
        <v>6.0013042372815656E-2</v>
      </c>
      <c r="E143" s="1159">
        <v>-0.89436051707185615</v>
      </c>
      <c r="F143" s="1159">
        <v>0.55518754340118281</v>
      </c>
      <c r="G143" s="1159">
        <v>-0.50404071048776067</v>
      </c>
      <c r="H143" s="1159">
        <v>-0.13125256952145714</v>
      </c>
      <c r="I143" s="1159">
        <v>0.35497676382145127</v>
      </c>
      <c r="J143" s="1159">
        <v>0</v>
      </c>
      <c r="K143" s="1159">
        <v>0</v>
      </c>
      <c r="L143" s="1159">
        <v>0</v>
      </c>
      <c r="M143" s="1159">
        <v>0</v>
      </c>
      <c r="N143" s="1159">
        <v>0</v>
      </c>
      <c r="O143" s="1159">
        <v>0</v>
      </c>
      <c r="P143" s="1159">
        <v>0</v>
      </c>
      <c r="Q143" s="1159">
        <v>0</v>
      </c>
      <c r="R143" s="1159">
        <v>0</v>
      </c>
      <c r="S143" s="1159">
        <v>0</v>
      </c>
      <c r="T143" s="1159">
        <v>0</v>
      </c>
      <c r="U143" s="1159">
        <v>0</v>
      </c>
      <c r="V143" s="1159">
        <v>0</v>
      </c>
      <c r="W143" s="1159">
        <v>0</v>
      </c>
      <c r="X143" s="1159">
        <v>0</v>
      </c>
      <c r="Y143" s="1159">
        <v>0</v>
      </c>
      <c r="Z143" s="1159">
        <v>0</v>
      </c>
      <c r="AA143" s="1159">
        <v>0</v>
      </c>
      <c r="AB143" s="1159">
        <v>0</v>
      </c>
    </row>
    <row r="144" spans="2:28">
      <c r="B144" s="1152" t="s">
        <v>890</v>
      </c>
      <c r="C144" s="1159">
        <v>1.388684870207358</v>
      </c>
      <c r="D144" s="1159">
        <v>2.0657623952415403</v>
      </c>
      <c r="E144" s="1159">
        <v>3.0234795422058931</v>
      </c>
      <c r="F144" s="1159">
        <v>1.1258971150906576</v>
      </c>
      <c r="G144" s="1159">
        <v>-0.3964510136041669</v>
      </c>
      <c r="H144" s="1159">
        <v>1.3767889725225773</v>
      </c>
      <c r="I144" s="1159">
        <v>1.0770141080752225</v>
      </c>
      <c r="J144" s="1159">
        <v>0</v>
      </c>
      <c r="K144" s="1159">
        <v>1.1872072157500804</v>
      </c>
      <c r="L144" s="1159">
        <v>0</v>
      </c>
      <c r="M144" s="1159">
        <v>0</v>
      </c>
      <c r="N144" s="1159">
        <v>0</v>
      </c>
      <c r="O144" s="1159">
        <v>0</v>
      </c>
      <c r="P144" s="1159">
        <v>0</v>
      </c>
      <c r="Q144" s="1159">
        <v>0</v>
      </c>
      <c r="R144" s="1159">
        <v>0</v>
      </c>
      <c r="S144" s="1159">
        <v>0</v>
      </c>
      <c r="T144" s="1159">
        <v>0</v>
      </c>
      <c r="U144" s="1159">
        <v>0</v>
      </c>
      <c r="V144" s="1159">
        <v>0</v>
      </c>
      <c r="W144" s="1159">
        <v>0</v>
      </c>
      <c r="X144" s="1159">
        <v>0</v>
      </c>
      <c r="Y144" s="1159">
        <v>0</v>
      </c>
      <c r="Z144" s="1159">
        <v>0</v>
      </c>
      <c r="AA144" s="1159">
        <v>0</v>
      </c>
      <c r="AB144" s="1159">
        <v>0</v>
      </c>
    </row>
    <row r="145" spans="2:28">
      <c r="B145" s="1152" t="s">
        <v>891</v>
      </c>
      <c r="C145" s="1159">
        <v>0</v>
      </c>
      <c r="D145" s="1159">
        <v>0</v>
      </c>
      <c r="E145" s="1159">
        <v>0</v>
      </c>
      <c r="F145" s="1159">
        <v>0</v>
      </c>
      <c r="G145" s="1159">
        <v>0.56222351933110981</v>
      </c>
      <c r="H145" s="1159">
        <v>-0.3407518631807061</v>
      </c>
      <c r="I145" s="1159">
        <v>0.18601148826475766</v>
      </c>
      <c r="J145" s="1159">
        <v>0</v>
      </c>
      <c r="K145" s="1159">
        <v>0</v>
      </c>
      <c r="L145" s="1159">
        <v>0</v>
      </c>
      <c r="M145" s="1159">
        <v>0</v>
      </c>
      <c r="N145" s="1159">
        <v>0</v>
      </c>
      <c r="O145" s="1159">
        <v>0</v>
      </c>
      <c r="P145" s="1159">
        <v>0</v>
      </c>
      <c r="Q145" s="1159">
        <v>0</v>
      </c>
      <c r="R145" s="1159">
        <v>0</v>
      </c>
      <c r="S145" s="1159">
        <v>0</v>
      </c>
      <c r="T145" s="1159">
        <v>0</v>
      </c>
      <c r="U145" s="1159">
        <v>0</v>
      </c>
      <c r="V145" s="1159">
        <v>0</v>
      </c>
      <c r="W145" s="1159">
        <v>0</v>
      </c>
      <c r="X145" s="1159">
        <v>0</v>
      </c>
      <c r="Y145" s="1159">
        <v>0</v>
      </c>
      <c r="Z145" s="1159">
        <v>0</v>
      </c>
      <c r="AA145" s="1159">
        <v>0</v>
      </c>
      <c r="AB145" s="1159">
        <v>0</v>
      </c>
    </row>
    <row r="146" spans="2:28">
      <c r="B146" s="1151" t="s">
        <v>892</v>
      </c>
      <c r="C146" s="1159">
        <v>0.65537727699849568</v>
      </c>
      <c r="D146" s="1159">
        <v>0.5132073922392778</v>
      </c>
      <c r="E146" s="1159">
        <v>0.61204039315908754</v>
      </c>
      <c r="F146" s="1159">
        <v>0.10100751630598005</v>
      </c>
      <c r="G146" s="1159">
        <v>0.96479173462920942</v>
      </c>
      <c r="H146" s="1159">
        <v>0.30289054504951651</v>
      </c>
      <c r="I146" s="1159">
        <v>-0.20766183811281783</v>
      </c>
      <c r="J146" s="1159">
        <v>0</v>
      </c>
      <c r="K146" s="1159">
        <v>0</v>
      </c>
      <c r="L146" s="1159">
        <v>0</v>
      </c>
      <c r="M146" s="1159">
        <v>0</v>
      </c>
      <c r="N146" s="1159">
        <v>0</v>
      </c>
      <c r="O146" s="1159">
        <v>0</v>
      </c>
      <c r="P146" s="1159">
        <v>0</v>
      </c>
      <c r="Q146" s="1159">
        <v>0</v>
      </c>
      <c r="R146" s="1159">
        <v>0</v>
      </c>
      <c r="S146" s="1159">
        <v>0</v>
      </c>
      <c r="T146" s="1159">
        <v>0</v>
      </c>
      <c r="U146" s="1159">
        <v>0</v>
      </c>
      <c r="V146" s="1159">
        <v>0</v>
      </c>
      <c r="W146" s="1159">
        <v>0</v>
      </c>
      <c r="X146" s="1159">
        <v>0</v>
      </c>
      <c r="Y146" s="1159">
        <v>0</v>
      </c>
      <c r="Z146" s="1159">
        <v>0</v>
      </c>
      <c r="AA146" s="1159">
        <v>0</v>
      </c>
      <c r="AB146" s="1159">
        <v>0</v>
      </c>
    </row>
    <row r="147" spans="2:28">
      <c r="B147" s="1138" t="s">
        <v>893</v>
      </c>
      <c r="C147" s="1159">
        <v>0.25714704570976227</v>
      </c>
      <c r="D147" s="1159">
        <v>3.2911887422826525E-2</v>
      </c>
      <c r="E147" s="1159">
        <v>-0.45243582193605203</v>
      </c>
      <c r="F147" s="1159">
        <v>0.39417867286897712</v>
      </c>
      <c r="G147" s="1159">
        <v>2.3127624688779296</v>
      </c>
      <c r="H147" s="1159">
        <v>2.2547172173486012</v>
      </c>
      <c r="I147" s="1159">
        <v>0</v>
      </c>
      <c r="J147" s="1159">
        <v>0</v>
      </c>
      <c r="K147" s="1159">
        <v>0</v>
      </c>
      <c r="L147" s="1159">
        <v>0</v>
      </c>
      <c r="M147" s="1159">
        <v>0</v>
      </c>
      <c r="N147" s="1159">
        <v>0</v>
      </c>
      <c r="O147" s="1159">
        <v>0</v>
      </c>
      <c r="P147" s="1159">
        <v>0</v>
      </c>
      <c r="Q147" s="1159">
        <v>0</v>
      </c>
      <c r="R147" s="1159">
        <v>0</v>
      </c>
      <c r="S147" s="1159">
        <v>0</v>
      </c>
      <c r="T147" s="1159">
        <v>0</v>
      </c>
      <c r="U147" s="1159">
        <v>0</v>
      </c>
      <c r="V147" s="1159">
        <v>0</v>
      </c>
      <c r="W147" s="1159">
        <v>0</v>
      </c>
      <c r="X147" s="1159">
        <v>0</v>
      </c>
      <c r="Y147" s="1159">
        <v>0</v>
      </c>
      <c r="Z147" s="1159">
        <v>0</v>
      </c>
      <c r="AA147" s="1159">
        <v>0</v>
      </c>
      <c r="AB147" s="1159">
        <v>0</v>
      </c>
    </row>
    <row r="148" spans="2:28">
      <c r="B148" s="1151" t="s">
        <v>894</v>
      </c>
      <c r="C148" s="1159">
        <v>1.8917643839818928E-2</v>
      </c>
      <c r="D148" s="1159">
        <v>2.5055606020949188E-2</v>
      </c>
      <c r="E148" s="1159">
        <v>-2.2907360400816347E-2</v>
      </c>
      <c r="F148" s="1159">
        <v>-3.0266026862612181E-2</v>
      </c>
      <c r="G148" s="1159">
        <v>-7.0771091704058759E-3</v>
      </c>
      <c r="H148" s="1159">
        <v>0</v>
      </c>
      <c r="I148" s="1159">
        <v>0</v>
      </c>
      <c r="J148" s="1159">
        <v>0</v>
      </c>
      <c r="K148" s="1159">
        <v>0</v>
      </c>
      <c r="L148" s="1159">
        <v>0</v>
      </c>
      <c r="M148" s="1159">
        <v>0</v>
      </c>
      <c r="N148" s="1159">
        <v>0</v>
      </c>
      <c r="O148" s="1159">
        <v>0</v>
      </c>
      <c r="P148" s="1159">
        <v>0</v>
      </c>
      <c r="Q148" s="1159">
        <v>0</v>
      </c>
      <c r="R148" s="1159">
        <v>0</v>
      </c>
      <c r="S148" s="1159">
        <v>0</v>
      </c>
      <c r="T148" s="1159">
        <v>0</v>
      </c>
      <c r="U148" s="1159">
        <v>0</v>
      </c>
      <c r="V148" s="1159">
        <v>0</v>
      </c>
      <c r="W148" s="1159">
        <v>0</v>
      </c>
      <c r="X148" s="1159">
        <v>0</v>
      </c>
      <c r="Y148" s="1159">
        <v>0</v>
      </c>
      <c r="Z148" s="1159">
        <v>0</v>
      </c>
      <c r="AA148" s="1159">
        <v>0</v>
      </c>
      <c r="AB148" s="1159">
        <v>0</v>
      </c>
    </row>
    <row r="149" spans="2:28">
      <c r="B149" s="1151" t="s">
        <v>895</v>
      </c>
      <c r="C149" s="1159">
        <v>-8.9607947691467386E-5</v>
      </c>
      <c r="D149" s="1159">
        <v>7.8562814018773314E-3</v>
      </c>
      <c r="E149" s="1159">
        <v>1.455056087262227E-2</v>
      </c>
      <c r="F149" s="1159">
        <v>-3.0888771869810737E-3</v>
      </c>
      <c r="G149" s="1159">
        <v>0.64262178535916503</v>
      </c>
      <c r="H149" s="1159">
        <v>0.15144527252475826</v>
      </c>
      <c r="I149" s="1159">
        <v>0</v>
      </c>
      <c r="J149" s="1159">
        <v>0</v>
      </c>
      <c r="K149" s="1159">
        <v>0</v>
      </c>
      <c r="L149" s="1159">
        <v>0</v>
      </c>
      <c r="M149" s="1159">
        <v>0</v>
      </c>
      <c r="N149" s="1159">
        <v>0</v>
      </c>
      <c r="O149" s="1159">
        <v>0</v>
      </c>
      <c r="P149" s="1159">
        <v>0</v>
      </c>
      <c r="Q149" s="1159">
        <v>0</v>
      </c>
      <c r="R149" s="1159">
        <v>0</v>
      </c>
      <c r="S149" s="1159">
        <v>0</v>
      </c>
      <c r="T149" s="1159">
        <v>0</v>
      </c>
      <c r="U149" s="1159">
        <v>0</v>
      </c>
      <c r="V149" s="1159">
        <v>0</v>
      </c>
      <c r="W149" s="1159">
        <v>0</v>
      </c>
      <c r="X149" s="1159">
        <v>0</v>
      </c>
      <c r="Y149" s="1159">
        <v>0</v>
      </c>
      <c r="Z149" s="1159">
        <v>0</v>
      </c>
      <c r="AA149" s="1159">
        <v>0</v>
      </c>
      <c r="AB149" s="1159">
        <v>0</v>
      </c>
    </row>
    <row r="150" spans="2:28">
      <c r="B150" s="1151" t="s">
        <v>896</v>
      </c>
      <c r="C150" s="1159">
        <v>0.23831900981763482</v>
      </c>
      <c r="D150" s="1159">
        <v>0</v>
      </c>
      <c r="E150" s="1159">
        <v>-0.44407902240785802</v>
      </c>
      <c r="F150" s="1159">
        <v>0.2020150326119601</v>
      </c>
      <c r="G150" s="1159">
        <v>0.78389328438623262</v>
      </c>
      <c r="H150" s="1159">
        <v>1.5144527252475826</v>
      </c>
      <c r="I150" s="1159">
        <v>0</v>
      </c>
      <c r="J150" s="1159">
        <v>0</v>
      </c>
      <c r="K150" s="1159">
        <v>0</v>
      </c>
      <c r="L150" s="1159">
        <v>0</v>
      </c>
      <c r="M150" s="1159">
        <v>0</v>
      </c>
      <c r="N150" s="1159">
        <v>0</v>
      </c>
      <c r="O150" s="1159">
        <v>0</v>
      </c>
      <c r="P150" s="1159">
        <v>0</v>
      </c>
      <c r="Q150" s="1159">
        <v>0</v>
      </c>
      <c r="R150" s="1159">
        <v>0</v>
      </c>
      <c r="S150" s="1159">
        <v>0</v>
      </c>
      <c r="T150" s="1159">
        <v>0</v>
      </c>
      <c r="U150" s="1159">
        <v>0</v>
      </c>
      <c r="V150" s="1159">
        <v>0</v>
      </c>
      <c r="W150" s="1159">
        <v>0</v>
      </c>
      <c r="X150" s="1159">
        <v>0</v>
      </c>
      <c r="Y150" s="1159">
        <v>0</v>
      </c>
      <c r="Z150" s="1159">
        <v>0</v>
      </c>
      <c r="AA150" s="1159">
        <v>0</v>
      </c>
      <c r="AB150" s="1159">
        <v>0</v>
      </c>
    </row>
    <row r="151" spans="2:28">
      <c r="B151" s="1151" t="s">
        <v>897</v>
      </c>
      <c r="C151" s="1159">
        <v>0</v>
      </c>
      <c r="D151" s="1159">
        <v>0</v>
      </c>
      <c r="E151" s="1159">
        <v>0</v>
      </c>
      <c r="F151" s="1159">
        <v>0.22551854430661034</v>
      </c>
      <c r="G151" s="1159">
        <v>0.89332450830293753</v>
      </c>
      <c r="H151" s="1159">
        <v>0.58881921957626027</v>
      </c>
      <c r="I151" s="1159">
        <v>0</v>
      </c>
      <c r="J151" s="1159">
        <v>0</v>
      </c>
      <c r="K151" s="1159">
        <v>0</v>
      </c>
      <c r="L151" s="1159">
        <v>0</v>
      </c>
      <c r="M151" s="1159">
        <v>0</v>
      </c>
      <c r="N151" s="1159">
        <v>0</v>
      </c>
      <c r="O151" s="1159">
        <v>0</v>
      </c>
      <c r="P151" s="1159">
        <v>0</v>
      </c>
      <c r="Q151" s="1159">
        <v>0</v>
      </c>
      <c r="R151" s="1159">
        <v>0</v>
      </c>
      <c r="S151" s="1159">
        <v>0</v>
      </c>
      <c r="T151" s="1159">
        <v>0</v>
      </c>
      <c r="U151" s="1159">
        <v>0</v>
      </c>
      <c r="V151" s="1159">
        <v>0</v>
      </c>
      <c r="W151" s="1159">
        <v>0</v>
      </c>
      <c r="X151" s="1159">
        <v>0</v>
      </c>
      <c r="Y151" s="1159">
        <v>0</v>
      </c>
      <c r="Z151" s="1159">
        <v>0</v>
      </c>
      <c r="AA151" s="1159">
        <v>0</v>
      </c>
      <c r="AB151" s="1159">
        <v>0</v>
      </c>
    </row>
    <row r="152" spans="2:28">
      <c r="B152" s="1138" t="s">
        <v>898</v>
      </c>
      <c r="C152" s="1159">
        <v>-9.5971899370097022E-2</v>
      </c>
      <c r="D152" s="1159">
        <v>-2.2516712598728259</v>
      </c>
      <c r="E152" s="1159">
        <v>-2.1996405600042395</v>
      </c>
      <c r="F152" s="1159">
        <v>-0.76078726604975733</v>
      </c>
      <c r="G152" s="1159">
        <v>2.5593745496382323</v>
      </c>
      <c r="H152" s="1159">
        <v>0</v>
      </c>
      <c r="I152" s="1159">
        <v>0</v>
      </c>
      <c r="J152" s="1159">
        <v>0</v>
      </c>
      <c r="K152" s="1159">
        <v>0</v>
      </c>
      <c r="L152" s="1159">
        <v>0</v>
      </c>
      <c r="M152" s="1159">
        <v>0</v>
      </c>
      <c r="N152" s="1159">
        <v>0</v>
      </c>
      <c r="O152" s="1159">
        <v>0</v>
      </c>
      <c r="P152" s="1159">
        <v>0</v>
      </c>
      <c r="Q152" s="1159">
        <v>0</v>
      </c>
      <c r="R152" s="1159">
        <v>0</v>
      </c>
      <c r="S152" s="1159">
        <v>0</v>
      </c>
      <c r="T152" s="1159">
        <v>0</v>
      </c>
      <c r="U152" s="1159">
        <v>0</v>
      </c>
      <c r="V152" s="1159">
        <v>0</v>
      </c>
      <c r="W152" s="1159">
        <v>0</v>
      </c>
      <c r="X152" s="1159">
        <v>0</v>
      </c>
      <c r="Y152" s="1159">
        <v>0</v>
      </c>
      <c r="Z152" s="1159">
        <v>0</v>
      </c>
      <c r="AA152" s="1159">
        <v>0</v>
      </c>
      <c r="AB152" s="1159">
        <v>0</v>
      </c>
    </row>
    <row r="153" spans="2:28">
      <c r="B153" s="1153" t="s">
        <v>899</v>
      </c>
      <c r="C153" s="1159">
        <v>0</v>
      </c>
      <c r="D153" s="1159">
        <v>0</v>
      </c>
      <c r="E153" s="1159">
        <v>0</v>
      </c>
      <c r="F153" s="1159">
        <v>-0.46613323026077441</v>
      </c>
      <c r="G153" s="1159">
        <v>-0.33676747313205779</v>
      </c>
      <c r="H153" s="1159">
        <v>-0.37472608598376034</v>
      </c>
      <c r="I153" s="1159">
        <v>0</v>
      </c>
      <c r="J153" s="1159">
        <v>0</v>
      </c>
      <c r="K153" s="1159">
        <v>0</v>
      </c>
      <c r="L153" s="1159">
        <v>0</v>
      </c>
      <c r="M153" s="1159">
        <v>0</v>
      </c>
      <c r="N153" s="1159">
        <v>0</v>
      </c>
      <c r="O153" s="1159">
        <v>0</v>
      </c>
      <c r="P153" s="1159">
        <v>0</v>
      </c>
      <c r="Q153" s="1159">
        <v>0</v>
      </c>
      <c r="R153" s="1159">
        <v>0</v>
      </c>
      <c r="S153" s="1159">
        <v>0</v>
      </c>
      <c r="T153" s="1159">
        <v>0</v>
      </c>
      <c r="U153" s="1159">
        <v>0</v>
      </c>
      <c r="V153" s="1159">
        <v>0</v>
      </c>
      <c r="W153" s="1159">
        <v>0</v>
      </c>
      <c r="X153" s="1159">
        <v>0</v>
      </c>
      <c r="Y153" s="1159">
        <v>0</v>
      </c>
      <c r="Z153" s="1159">
        <v>0</v>
      </c>
      <c r="AA153" s="1159">
        <v>0</v>
      </c>
      <c r="AB153" s="1159">
        <v>0</v>
      </c>
    </row>
    <row r="154" spans="2:28">
      <c r="B154" s="1154" t="s">
        <v>900</v>
      </c>
      <c r="C154" s="1159">
        <v>0</v>
      </c>
      <c r="D154" s="1159">
        <v>0</v>
      </c>
      <c r="E154" s="1159">
        <v>0</v>
      </c>
      <c r="F154" s="1159">
        <v>0</v>
      </c>
      <c r="G154" s="1159">
        <v>0.60299483414325594</v>
      </c>
      <c r="H154" s="1159">
        <v>0.10096351501650551</v>
      </c>
      <c r="I154" s="1159">
        <v>0</v>
      </c>
      <c r="J154" s="1159">
        <v>0</v>
      </c>
      <c r="K154" s="1159">
        <v>0</v>
      </c>
      <c r="L154" s="1159">
        <v>0</v>
      </c>
      <c r="M154" s="1159">
        <v>0</v>
      </c>
      <c r="N154" s="1159">
        <v>0</v>
      </c>
      <c r="O154" s="1159">
        <v>0</v>
      </c>
      <c r="P154" s="1159">
        <v>0</v>
      </c>
      <c r="Q154" s="1159">
        <v>0</v>
      </c>
      <c r="R154" s="1159">
        <v>0</v>
      </c>
      <c r="S154" s="1159">
        <v>0</v>
      </c>
      <c r="T154" s="1159">
        <v>0</v>
      </c>
      <c r="U154" s="1159">
        <v>0</v>
      </c>
      <c r="V154" s="1159">
        <v>0</v>
      </c>
      <c r="W154" s="1159">
        <v>0</v>
      </c>
      <c r="X154" s="1159">
        <v>0</v>
      </c>
      <c r="Y154" s="1159">
        <v>0</v>
      </c>
      <c r="Z154" s="1159">
        <v>0</v>
      </c>
      <c r="AA154" s="1159">
        <v>0</v>
      </c>
      <c r="AB154" s="1159">
        <v>0</v>
      </c>
    </row>
    <row r="155" spans="2:28">
      <c r="B155" s="1154" t="s">
        <v>901</v>
      </c>
      <c r="C155" s="1159">
        <v>0</v>
      </c>
      <c r="D155" s="1159">
        <v>0</v>
      </c>
      <c r="E155" s="1159">
        <v>0</v>
      </c>
      <c r="F155" s="1159">
        <v>-0.46613323026077441</v>
      </c>
      <c r="G155" s="1159">
        <v>-0.93976230727531374</v>
      </c>
      <c r="H155" s="1159">
        <v>-0.4756896010002658</v>
      </c>
      <c r="I155" s="1159">
        <v>0</v>
      </c>
      <c r="J155" s="1159">
        <v>0</v>
      </c>
      <c r="K155" s="1159">
        <v>0</v>
      </c>
      <c r="L155" s="1159">
        <v>0</v>
      </c>
      <c r="M155" s="1159">
        <v>0</v>
      </c>
      <c r="N155" s="1159">
        <v>0</v>
      </c>
      <c r="O155" s="1159">
        <v>0</v>
      </c>
      <c r="P155" s="1159">
        <v>0</v>
      </c>
      <c r="Q155" s="1159">
        <v>0</v>
      </c>
      <c r="R155" s="1159">
        <v>0</v>
      </c>
      <c r="S155" s="1159">
        <v>0</v>
      </c>
      <c r="T155" s="1159">
        <v>0</v>
      </c>
      <c r="U155" s="1159">
        <v>0</v>
      </c>
      <c r="V155" s="1159">
        <v>0</v>
      </c>
      <c r="W155" s="1159">
        <v>0</v>
      </c>
      <c r="X155" s="1159">
        <v>0</v>
      </c>
      <c r="Y155" s="1159">
        <v>0</v>
      </c>
      <c r="Z155" s="1159">
        <v>0</v>
      </c>
      <c r="AA155" s="1159">
        <v>0</v>
      </c>
      <c r="AB155" s="1159">
        <v>0</v>
      </c>
    </row>
    <row r="156" spans="2:28">
      <c r="B156" s="1135"/>
      <c r="C156" s="1159"/>
      <c r="D156" s="1159"/>
      <c r="E156" s="1159"/>
      <c r="F156" s="1159"/>
      <c r="G156" s="1159"/>
      <c r="H156" s="1159"/>
      <c r="I156" s="1122"/>
      <c r="J156" s="1122"/>
      <c r="K156" s="1122"/>
      <c r="L156" s="1122"/>
      <c r="M156" s="1122"/>
      <c r="N156" s="1122"/>
      <c r="O156" s="1122"/>
      <c r="P156" s="1122"/>
      <c r="Q156" s="1122"/>
      <c r="R156" s="1122"/>
      <c r="S156" s="1122"/>
      <c r="T156" s="1122"/>
      <c r="U156" s="1122"/>
      <c r="V156" s="1122"/>
      <c r="W156" s="1122"/>
      <c r="X156" s="1122"/>
      <c r="Y156" s="1122"/>
      <c r="Z156" s="1122"/>
      <c r="AA156" s="1122"/>
      <c r="AB156" s="1122"/>
    </row>
    <row r="157" spans="2:28">
      <c r="B157" s="1165" t="s">
        <v>909</v>
      </c>
      <c r="C157" s="1159"/>
      <c r="D157" s="1159"/>
      <c r="E157" s="1159"/>
      <c r="F157" s="1159"/>
      <c r="G157" s="1159"/>
      <c r="H157" s="1159"/>
      <c r="I157" s="1122"/>
      <c r="J157" s="1122"/>
      <c r="K157" s="1122"/>
      <c r="L157" s="1122"/>
      <c r="M157" s="1122"/>
      <c r="N157" s="1122"/>
      <c r="O157" s="1122"/>
      <c r="P157" s="1122"/>
      <c r="Q157" s="1122"/>
      <c r="R157" s="1122"/>
      <c r="S157" s="1122"/>
      <c r="T157" s="1122"/>
      <c r="U157" s="1122"/>
      <c r="V157" s="1122"/>
      <c r="W157" s="1122"/>
      <c r="X157" s="1122"/>
      <c r="Y157" s="1122"/>
      <c r="Z157" s="1122"/>
      <c r="AA157" s="1122"/>
      <c r="AB157" s="1122"/>
    </row>
    <row r="158" spans="2:28">
      <c r="B158" s="1143" t="s">
        <v>910</v>
      </c>
      <c r="C158" s="1159">
        <v>-5.153168984091371</v>
      </c>
      <c r="D158" s="1159">
        <v>-2.0741882411123784</v>
      </c>
      <c r="E158" s="1159">
        <v>-1.8190589247879336</v>
      </c>
      <c r="F158" s="1159">
        <v>-2.6235202337334758</v>
      </c>
      <c r="G158" s="1159">
        <v>-9.0211015468475182</v>
      </c>
      <c r="H158" s="1159">
        <v>-6.3196681369646814</v>
      </c>
      <c r="I158" s="1159">
        <v>-3.937159611472679</v>
      </c>
      <c r="J158" s="1159">
        <v>-3.7570230896071295</v>
      </c>
      <c r="K158" s="1159">
        <v>-3.5645143922856359</v>
      </c>
      <c r="L158" s="1159">
        <v>-3.3496455545347801</v>
      </c>
      <c r="M158" s="1159">
        <v>-3.0380957966810662</v>
      </c>
      <c r="N158" s="1159">
        <v>-2.9388151720636628</v>
      </c>
      <c r="O158" s="1159">
        <v>-3.0294302497309289</v>
      </c>
      <c r="P158" s="1159">
        <v>-2.9901966590619722</v>
      </c>
      <c r="Q158" s="1159">
        <v>-2.9789377438899125</v>
      </c>
      <c r="R158" s="1159">
        <v>-2.9757775686240304</v>
      </c>
      <c r="S158" s="1159">
        <v>-2.9918944812923547</v>
      </c>
      <c r="T158" s="1159">
        <v>-2.9993867644565007</v>
      </c>
      <c r="U158" s="1159">
        <v>-3.0111963512224427</v>
      </c>
      <c r="V158" s="1159">
        <v>-2.974992015790475</v>
      </c>
      <c r="W158" s="1159">
        <v>-3.0458262347225036</v>
      </c>
      <c r="X158" s="1159">
        <v>-3.131241560386139</v>
      </c>
      <c r="Y158" s="1159">
        <v>-3.1302718075277194</v>
      </c>
      <c r="Z158" s="1159">
        <v>-3.0982279641024313</v>
      </c>
      <c r="AA158" s="1159">
        <v>-3.0331519701507497</v>
      </c>
      <c r="AB158" s="1159">
        <v>-2.9361247176069094</v>
      </c>
    </row>
    <row r="159" spans="2:28">
      <c r="B159" s="1143" t="s">
        <v>911</v>
      </c>
      <c r="C159" s="1159">
        <v>0.85771011633366767</v>
      </c>
      <c r="D159" s="1159">
        <v>0.7018624296264363</v>
      </c>
      <c r="E159" s="1159">
        <v>1.0522416150702312</v>
      </c>
      <c r="F159" s="1159">
        <v>0.93052130652548959</v>
      </c>
      <c r="G159" s="1159">
        <v>0.92861204458061408</v>
      </c>
      <c r="H159" s="1159">
        <v>1.7552364727063314</v>
      </c>
      <c r="I159" s="1159">
        <v>1.2875033962994704</v>
      </c>
      <c r="J159" s="1159">
        <v>1.09437788685455</v>
      </c>
      <c r="K159" s="1159">
        <v>0.93022120382636742</v>
      </c>
      <c r="L159" s="1159">
        <v>0.79068802325241239</v>
      </c>
      <c r="M159" s="1159">
        <v>0.67208481976455037</v>
      </c>
      <c r="N159" s="1159">
        <v>0.5712720967998679</v>
      </c>
      <c r="O159" s="1159">
        <v>0.48558128227988767</v>
      </c>
      <c r="P159" s="1159">
        <v>0.41274408993790457</v>
      </c>
      <c r="Q159" s="1159">
        <v>0.35083247644721888</v>
      </c>
      <c r="R159" s="1159">
        <v>0.2982076049801361</v>
      </c>
      <c r="S159" s="1159">
        <v>0.25347646423311565</v>
      </c>
      <c r="T159" s="1159">
        <v>0.21545499459814832</v>
      </c>
      <c r="U159" s="1159">
        <v>0.18313674540842609</v>
      </c>
      <c r="V159" s="1159">
        <v>0.15566623359716217</v>
      </c>
      <c r="W159" s="1159">
        <v>0.13231629855758784</v>
      </c>
      <c r="X159" s="1159">
        <v>0.11246885377394966</v>
      </c>
      <c r="Y159" s="1159">
        <v>9.5598525707857221E-2</v>
      </c>
      <c r="Z159" s="1159">
        <v>8.1258746851678637E-2</v>
      </c>
      <c r="AA159" s="1159">
        <v>6.9069934823926829E-2</v>
      </c>
      <c r="AB159" s="1159">
        <v>5.8709444600337814E-2</v>
      </c>
    </row>
    <row r="160" spans="2:28">
      <c r="B160" s="1143" t="s">
        <v>912</v>
      </c>
      <c r="C160" s="1159">
        <v>-4.1487145194677408</v>
      </c>
      <c r="D160" s="1159">
        <v>-0.90652953765146027</v>
      </c>
      <c r="E160" s="1159">
        <v>-3.5896368345252889</v>
      </c>
      <c r="F160" s="1159">
        <v>-2.125896810721343</v>
      </c>
      <c r="G160" s="1159">
        <v>-9.9212427874280422</v>
      </c>
      <c r="H160" s="1159">
        <v>-8.1692122538638419</v>
      </c>
      <c r="I160" s="1159">
        <v>-5.2246630077721496</v>
      </c>
      <c r="J160" s="1159">
        <v>-4.8514009764616794</v>
      </c>
      <c r="K160" s="1159">
        <v>-4.4947355961120028</v>
      </c>
      <c r="L160" s="1159">
        <v>-4.1403335777871924</v>
      </c>
      <c r="M160" s="1159">
        <v>-3.7101806164456166</v>
      </c>
      <c r="N160" s="1159">
        <v>-3.5100872688635305</v>
      </c>
      <c r="O160" s="1159">
        <v>-3.5150115320108162</v>
      </c>
      <c r="P160" s="1159">
        <v>-3.4029407489998769</v>
      </c>
      <c r="Q160" s="1159">
        <v>-3.3297702203371311</v>
      </c>
      <c r="R160" s="1159">
        <v>-3.2739851736041663</v>
      </c>
      <c r="S160" s="1159">
        <v>-3.2453709455254702</v>
      </c>
      <c r="T160" s="1159">
        <v>-3.2148417590546496</v>
      </c>
      <c r="U160" s="1159">
        <v>-3.1943330966308685</v>
      </c>
      <c r="V160" s="1159">
        <v>-3.1306582493876371</v>
      </c>
      <c r="W160" s="1159">
        <v>-3.178142533280091</v>
      </c>
      <c r="X160" s="1159">
        <v>-3.2437104141600881</v>
      </c>
      <c r="Y160" s="1159">
        <v>-3.2258703332355765</v>
      </c>
      <c r="Z160" s="1159">
        <v>-3.1794867109541101</v>
      </c>
      <c r="AA160" s="1159">
        <v>-3.1022219049746766</v>
      </c>
      <c r="AB160" s="1159">
        <v>-2.9948341622072467</v>
      </c>
    </row>
    <row r="161" spans="2:28">
      <c r="B161" s="1143" t="s">
        <v>913</v>
      </c>
      <c r="C161" s="1159">
        <v>12.632632949965723</v>
      </c>
      <c r="D161" s="1159">
        <v>10.407537990177209</v>
      </c>
      <c r="E161" s="1159">
        <v>10.939129098445191</v>
      </c>
      <c r="F161" s="1159">
        <v>10.499177831139674</v>
      </c>
      <c r="G161" s="1159">
        <v>14.133764698752824</v>
      </c>
      <c r="H161" s="1159">
        <v>13.427238825560085</v>
      </c>
      <c r="I161" s="1159">
        <v>9.8966231162500478</v>
      </c>
      <c r="J161" s="1159">
        <v>9.8225792112525419</v>
      </c>
      <c r="K161" s="1159">
        <v>9.7687057497851395</v>
      </c>
      <c r="L161" s="1159">
        <v>9.7159097575470845</v>
      </c>
      <c r="M161" s="1159">
        <v>9.6984987826671372</v>
      </c>
      <c r="N161" s="1159">
        <v>9.6015137948404643</v>
      </c>
      <c r="O161" s="1159">
        <v>9.5054986568920619</v>
      </c>
      <c r="P161" s="1159">
        <v>9.3153886837542199</v>
      </c>
      <c r="Q161" s="1159">
        <v>9.1290809100791375</v>
      </c>
      <c r="R161" s="1159">
        <v>8.9585929259985928</v>
      </c>
      <c r="S161" s="1159">
        <v>8.7884773432809418</v>
      </c>
      <c r="T161" s="1159">
        <v>8.6450953204107819</v>
      </c>
      <c r="U161" s="1159">
        <v>8.4402917028670394</v>
      </c>
      <c r="V161" s="1159">
        <v>8.2292844102953637</v>
      </c>
      <c r="W161" s="1159">
        <v>8.1968248365855612</v>
      </c>
      <c r="X161" s="1159">
        <v>8.1968248365855594</v>
      </c>
      <c r="Y161" s="1159">
        <v>8.1968248365855612</v>
      </c>
      <c r="Z161" s="1159">
        <v>8.1968248365855612</v>
      </c>
      <c r="AA161" s="1159">
        <v>8.1968248365855594</v>
      </c>
      <c r="AB161" s="1159">
        <v>8.1968248365855612</v>
      </c>
    </row>
    <row r="162" spans="2:28">
      <c r="B162" s="1143" t="s">
        <v>914</v>
      </c>
      <c r="C162" s="1159">
        <v>-2.5020493211327932</v>
      </c>
      <c r="D162" s="1159">
        <v>0.61287226781214554</v>
      </c>
      <c r="E162" s="1159">
        <v>-1.4304764512559085</v>
      </c>
      <c r="F162" s="1159">
        <v>-6.8805005663155949E-2</v>
      </c>
      <c r="G162" s="1159">
        <v>-7.5526790789133331</v>
      </c>
      <c r="H162" s="1159">
        <v>-5.1327487755980563</v>
      </c>
      <c r="I162" s="1159">
        <v>-2.4519621452898059</v>
      </c>
      <c r="J162" s="1159">
        <v>-2.0659133691357798</v>
      </c>
      <c r="K162" s="1159">
        <v>-1.9816931707167371</v>
      </c>
      <c r="L162" s="1159">
        <v>-1.8049120246559205</v>
      </c>
      <c r="M162" s="1159">
        <v>-1.574418811057968</v>
      </c>
      <c r="N162" s="1159">
        <v>-1.5273093679422534</v>
      </c>
      <c r="O162" s="1159">
        <v>-1.600046392025634</v>
      </c>
      <c r="P162" s="1159">
        <v>-1.5237512280336909</v>
      </c>
      <c r="Q162" s="1159">
        <v>-1.4718277967726738</v>
      </c>
      <c r="R162" s="1159">
        <v>-1.441343447304595</v>
      </c>
      <c r="S162" s="1159">
        <v>-1.4104670746627725</v>
      </c>
      <c r="T162" s="1159">
        <v>-1.3901517757242572</v>
      </c>
      <c r="U162" s="1159">
        <v>-1.3678546420359476</v>
      </c>
      <c r="V162" s="1159">
        <v>-1.2818278204021796</v>
      </c>
      <c r="W162" s="1159">
        <v>-1.3430285252457463</v>
      </c>
      <c r="X162" s="1159">
        <v>-1.4069511795163887</v>
      </c>
      <c r="Y162" s="1159">
        <v>-1.3818619608477587</v>
      </c>
      <c r="Z162" s="1159">
        <v>-1.3288163280337524</v>
      </c>
      <c r="AA162" s="1159">
        <v>-1.248600402422422</v>
      </c>
      <c r="AB162" s="1159">
        <v>-1.1417756937205343</v>
      </c>
    </row>
    <row r="163" spans="2:28">
      <c r="B163" s="1146" t="s">
        <v>915</v>
      </c>
      <c r="C163" s="1146">
        <v>-10.433067648853863</v>
      </c>
      <c r="D163" s="1146">
        <v>-7.9418843949028233</v>
      </c>
      <c r="E163" s="1146">
        <v>-8.3057884906375783</v>
      </c>
      <c r="F163" s="1146">
        <v>-6.1025226613729764</v>
      </c>
      <c r="G163" s="1146">
        <v>-11.200797825480031</v>
      </c>
      <c r="H163" s="1146">
        <v>-8.6220271688088719</v>
      </c>
      <c r="I163" s="1146">
        <v>-5.8914932693942799</v>
      </c>
      <c r="J163" s="1146">
        <v>-5.4536567804943648</v>
      </c>
      <c r="K163" s="1146">
        <v>-5.0984091969595493</v>
      </c>
      <c r="L163" s="1146">
        <v>-4.7202840409969475</v>
      </c>
      <c r="M163" s="1146">
        <v>-4.3534489162152141</v>
      </c>
      <c r="N163" s="1146">
        <v>-4.2382532355231461</v>
      </c>
      <c r="O163" s="1146">
        <v>-4.1847958225706368</v>
      </c>
      <c r="P163" s="1146">
        <v>-3.9394192745795924</v>
      </c>
      <c r="Q163" s="1146">
        <v>-3.6933727590981471</v>
      </c>
      <c r="R163" s="1146">
        <v>-3.4587839662164157</v>
      </c>
      <c r="S163" s="1146">
        <v>-3.2262442393041679</v>
      </c>
      <c r="T163" s="1146">
        <v>-3.0159714122866927</v>
      </c>
      <c r="U163" s="1146">
        <v>-2.8215975282646149</v>
      </c>
      <c r="V163" s="1146">
        <v>-2.5849120626165387</v>
      </c>
      <c r="W163" s="1146">
        <v>-2.5184105117230988</v>
      </c>
      <c r="X163" s="1146">
        <v>-2.4778005690263774</v>
      </c>
      <c r="Y163" s="1146">
        <v>-2.3708556230236044</v>
      </c>
      <c r="Z163" s="1146">
        <v>-2.2579610387430269</v>
      </c>
      <c r="AA163" s="1146">
        <v>-2.1395015168389029</v>
      </c>
      <c r="AB163" s="1146">
        <v>-2.0163065001596125</v>
      </c>
    </row>
    <row r="164" spans="2:28">
      <c r="B164" s="1146" t="s">
        <v>916</v>
      </c>
      <c r="C164" s="1127">
        <v>-92616.741774650145</v>
      </c>
      <c r="D164" s="1127">
        <v>-86280.012731521856</v>
      </c>
      <c r="E164" s="1127">
        <v>-103098.45264494367</v>
      </c>
      <c r="F164" s="1127">
        <v>-101082.68317747378</v>
      </c>
      <c r="G164" s="1127">
        <v>-184087.36890386546</v>
      </c>
      <c r="H164" s="1127">
        <v>-174926.92535067734</v>
      </c>
      <c r="I164" s="1127">
        <v>-146244.403085356</v>
      </c>
      <c r="J164" s="1127">
        <v>-153223.44879640127</v>
      </c>
      <c r="K164" s="1127">
        <v>-167716.42076212226</v>
      </c>
      <c r="L164" s="1127">
        <v>-179221.38472494378</v>
      </c>
      <c r="M164" s="1127">
        <v>-188577.6353422082</v>
      </c>
      <c r="N164" s="1127">
        <v>-207387.38153749751</v>
      </c>
      <c r="O164" s="1127"/>
      <c r="P164" s="1127"/>
      <c r="Q164" s="1127"/>
      <c r="R164" s="1127"/>
      <c r="S164" s="1127"/>
      <c r="T164" s="1127"/>
      <c r="U164" s="1127"/>
      <c r="V164" s="1127"/>
      <c r="W164" s="1127"/>
      <c r="X164" s="1127"/>
      <c r="Y164" s="1127"/>
      <c r="Z164" s="1127"/>
      <c r="AA164" s="1127"/>
      <c r="AB164" s="1127"/>
    </row>
    <row r="165" spans="2:28">
      <c r="B165" s="1146" t="s">
        <v>917</v>
      </c>
      <c r="C165" s="1166">
        <v>832505.26471180667</v>
      </c>
      <c r="D165" s="1166">
        <v>969075.36236146127</v>
      </c>
      <c r="E165" s="1166">
        <v>1133964.2109543229</v>
      </c>
      <c r="F165" s="1166">
        <v>1480314.3878478897</v>
      </c>
      <c r="G165" s="1166">
        <v>1695363.4269671859</v>
      </c>
      <c r="H165" s="1166">
        <v>1986535.7203341646</v>
      </c>
      <c r="I165" s="1166">
        <v>2410284.8185884077</v>
      </c>
      <c r="J165" s="1166">
        <v>2764945.8138749469</v>
      </c>
      <c r="K165" s="1166">
        <v>3161755.869578837</v>
      </c>
      <c r="L165" s="1166">
        <v>3615930.5429701041</v>
      </c>
      <c r="M165" s="1166">
        <v>4122134.4202684993</v>
      </c>
      <c r="N165" s="1166">
        <v>1197900.1726138655</v>
      </c>
      <c r="O165" s="1166"/>
      <c r="P165" s="1166"/>
      <c r="Q165" s="1166"/>
      <c r="R165" s="1166"/>
      <c r="S165" s="1166"/>
      <c r="T165" s="1166"/>
      <c r="U165" s="1166"/>
      <c r="V165" s="1166"/>
      <c r="W165" s="1166"/>
      <c r="X165" s="1166"/>
      <c r="Y165" s="1166"/>
      <c r="Z165" s="1166"/>
      <c r="AA165" s="1166"/>
      <c r="AB165" s="1166"/>
    </row>
    <row r="166" spans="2:28">
      <c r="B166" s="1146" t="s">
        <v>918</v>
      </c>
      <c r="C166" s="1161">
        <v>-11.125063792444823</v>
      </c>
      <c r="D166" s="1161">
        <v>-8.9033336397360348</v>
      </c>
      <c r="E166" s="1161">
        <v>-9.0918612465007111</v>
      </c>
      <c r="F166" s="1161">
        <v>-6.8284604950999492</v>
      </c>
      <c r="G166" s="1161">
        <v>-10.858283597233013</v>
      </c>
      <c r="H166" s="1161">
        <v>-8.8056269796775695</v>
      </c>
      <c r="I166" s="1161">
        <v>-6.0675154221402172</v>
      </c>
      <c r="J166" s="1161">
        <v>-5.5416438191121546</v>
      </c>
      <c r="K166" s="1161">
        <v>-5.3045341791193703</v>
      </c>
      <c r="L166" s="1161">
        <v>-4.9564388086318827</v>
      </c>
      <c r="M166" s="1161">
        <v>-4.5747570582602455</v>
      </c>
      <c r="N166" s="1161">
        <v>-17.312576313013633</v>
      </c>
      <c r="O166" s="1161"/>
      <c r="P166" s="1161"/>
      <c r="Q166" s="1161"/>
      <c r="R166" s="1161"/>
      <c r="S166" s="1161"/>
      <c r="T166" s="1161"/>
      <c r="U166" s="1161"/>
      <c r="V166" s="1161"/>
      <c r="W166" s="1161"/>
      <c r="X166" s="1161"/>
      <c r="Y166" s="1161"/>
      <c r="Z166" s="1161"/>
      <c r="AA166" s="1161"/>
      <c r="AB166" s="1161"/>
    </row>
    <row r="167" spans="2:28">
      <c r="B167" s="1146" t="s">
        <v>919</v>
      </c>
      <c r="C167" s="1161">
        <v>-11.036165096135097</v>
      </c>
      <c r="D167" s="1161">
        <v>-8.8559080672632025</v>
      </c>
      <c r="E167" s="1161">
        <v>-9.014345355843556</v>
      </c>
      <c r="F167" s="1161">
        <v>-6.8067405128672656</v>
      </c>
      <c r="G167" s="1161">
        <v>-11.10037324800547</v>
      </c>
      <c r="H167" s="1161">
        <v>-8.8306186272171239</v>
      </c>
      <c r="I167" s="1161">
        <v>-6.0738763116833745</v>
      </c>
      <c r="J167" s="1161">
        <v>-5.5630161742408104</v>
      </c>
      <c r="K167" s="1161">
        <v>-5.3026403443027466</v>
      </c>
      <c r="L167" s="1161">
        <v>-4.9478076393251031</v>
      </c>
      <c r="M167" s="1161">
        <v>-4.566809567182168</v>
      </c>
      <c r="N167" s="1161">
        <v>-4.4236940497375148</v>
      </c>
      <c r="O167" s="1161"/>
      <c r="P167" s="1161"/>
      <c r="Q167" s="1161"/>
      <c r="R167" s="1161"/>
      <c r="S167" s="1161"/>
      <c r="T167" s="1161"/>
      <c r="U167" s="1161"/>
      <c r="V167" s="1161"/>
      <c r="W167" s="1161"/>
      <c r="X167" s="1161"/>
      <c r="Y167" s="1161"/>
      <c r="Z167" s="1161"/>
      <c r="AA167" s="1161"/>
      <c r="AB167" s="1161"/>
    </row>
    <row r="168" spans="2:28">
      <c r="B168" s="1146" t="s">
        <v>920</v>
      </c>
      <c r="C168" s="1161">
        <v>-1.9535950186229654</v>
      </c>
      <c r="D168" s="1161">
        <v>1.2795221541188186</v>
      </c>
      <c r="E168" s="1161">
        <v>-0.58397517553811551</v>
      </c>
      <c r="F168" s="1161">
        <v>0.96480809466004314</v>
      </c>
      <c r="G168" s="1161">
        <v>-5.377060554870817</v>
      </c>
      <c r="H168" s="1161">
        <v>-3.7574719146119091</v>
      </c>
      <c r="I168" s="1161">
        <v>-0.93512499374005298</v>
      </c>
      <c r="J168" s="1161">
        <v>-0.25928208593165891</v>
      </c>
      <c r="K168" s="1161">
        <v>-0.40962867401111991</v>
      </c>
      <c r="L168" s="1161">
        <v>-0.31268710055324922</v>
      </c>
      <c r="M168" s="1161">
        <v>-0.16309549856985428</v>
      </c>
      <c r="N168" s="1161">
        <v>-13.038067619292288</v>
      </c>
      <c r="O168" s="1161"/>
      <c r="P168" s="1161"/>
      <c r="Q168" s="1161"/>
      <c r="R168" s="1161"/>
      <c r="S168" s="1161"/>
      <c r="T168" s="1161"/>
      <c r="U168" s="1161"/>
      <c r="V168" s="1161"/>
      <c r="W168" s="1161"/>
      <c r="X168" s="1161"/>
      <c r="Y168" s="1161"/>
      <c r="Z168" s="1161"/>
      <c r="AA168" s="1161"/>
      <c r="AB168" s="1161"/>
    </row>
    <row r="169" spans="2:28">
      <c r="B169" s="1146" t="s">
        <v>921</v>
      </c>
      <c r="C169" s="1161">
        <v>-1.9379841373271025</v>
      </c>
      <c r="D169" s="1161">
        <v>1.2727064968486106</v>
      </c>
      <c r="E169" s="1161">
        <v>-0.57899628786856061</v>
      </c>
      <c r="F169" s="1161">
        <v>0.96173923094046787</v>
      </c>
      <c r="G169" s="1161">
        <v>-5.4969442086964309</v>
      </c>
      <c r="H169" s="1161">
        <v>-3.7681361653173369</v>
      </c>
      <c r="I169" s="1161">
        <v>-0.9361053335299645</v>
      </c>
      <c r="J169" s="1161">
        <v>-0.26028205435256652</v>
      </c>
      <c r="K169" s="1161">
        <v>-0.40948242760784792</v>
      </c>
      <c r="L169" s="1161">
        <v>-0.31214258554779395</v>
      </c>
      <c r="M169" s="1161">
        <v>-0.16281216111537283</v>
      </c>
      <c r="N169" s="1161">
        <v>-3.3314754028944882</v>
      </c>
      <c r="O169" s="1161"/>
      <c r="P169" s="1161"/>
      <c r="Q169" s="1161"/>
      <c r="R169" s="1161"/>
      <c r="S169" s="1161"/>
      <c r="T169" s="1161"/>
      <c r="U169" s="1161"/>
      <c r="V169" s="1161"/>
      <c r="W169" s="1161"/>
      <c r="X169" s="1161"/>
      <c r="Y169" s="1161"/>
      <c r="Z169" s="1161"/>
      <c r="AA169" s="1161"/>
      <c r="AB169" s="1161"/>
    </row>
    <row r="170" spans="2:28">
      <c r="B170" s="1146" t="s">
        <v>922</v>
      </c>
      <c r="C170" s="1161">
        <v>-12.063007093845187</v>
      </c>
      <c r="D170" s="1161">
        <v>-9.1367371775332735</v>
      </c>
      <c r="E170" s="1161">
        <v>-9.376288832218826</v>
      </c>
      <c r="F170" s="1161">
        <v>-6.9255672001546582</v>
      </c>
      <c r="G170" s="1161">
        <v>-12.181480115850652</v>
      </c>
      <c r="H170" s="1161">
        <v>-9.4116146448449669</v>
      </c>
      <c r="I170" s="1161">
        <v>-6.6342199317899126</v>
      </c>
      <c r="J170" s="1161">
        <v>-6.1295516052166779</v>
      </c>
      <c r="K170" s="1161">
        <v>-5.6740186227460283</v>
      </c>
      <c r="L170" s="1161">
        <v>-5.2151665057240706</v>
      </c>
      <c r="M170" s="1161">
        <v>-4.7864036347657688</v>
      </c>
      <c r="N170" s="1161">
        <v>-4.6420533246463362</v>
      </c>
      <c r="O170" s="1161">
        <v>-4.1847958225706368</v>
      </c>
      <c r="P170" s="1161">
        <v>-3.9394192745795928</v>
      </c>
      <c r="Q170" s="1161">
        <v>-3.6933727590981467</v>
      </c>
      <c r="R170" s="1161">
        <v>-3.4587839662164153</v>
      </c>
      <c r="S170" s="1161">
        <v>-3.2262442393041679</v>
      </c>
      <c r="T170" s="1161">
        <v>-3.0159714122866936</v>
      </c>
      <c r="U170" s="1161">
        <v>-2.8215975282646149</v>
      </c>
      <c r="V170" s="1161">
        <v>-2.5849120626165392</v>
      </c>
      <c r="W170" s="1161">
        <v>-2.5184105117230979</v>
      </c>
      <c r="X170" s="1161">
        <v>-2.4778005690263774</v>
      </c>
      <c r="Y170" s="1161">
        <v>-2.3708556230236044</v>
      </c>
      <c r="Z170" s="1161">
        <v>-2.2579610387430269</v>
      </c>
      <c r="AA170" s="1161">
        <v>-2.1395015168389033</v>
      </c>
      <c r="AB170" s="1161">
        <v>-2.0163065001596125</v>
      </c>
    </row>
    <row r="171" spans="2:28">
      <c r="B171" s="1146" t="s">
        <v>923</v>
      </c>
      <c r="C171" s="1146">
        <v>18.820290524308437</v>
      </c>
      <c r="D171" s="1146">
        <v>19.320102846761404</v>
      </c>
      <c r="E171" s="1146">
        <v>21.26968020366974</v>
      </c>
      <c r="F171" s="1146">
        <v>22.32481593063612</v>
      </c>
      <c r="G171" s="1146">
        <v>22.631662414548096</v>
      </c>
      <c r="H171" s="1146">
        <v>24.40122028630477</v>
      </c>
      <c r="I171" s="1146">
        <v>24.138177231325532</v>
      </c>
      <c r="J171" s="1146">
        <v>24.506123051990198</v>
      </c>
      <c r="K171" s="1146">
        <v>24.815637518111625</v>
      </c>
      <c r="L171" s="1146">
        <v>25.152688777273962</v>
      </c>
      <c r="M171" s="1146">
        <v>25.516804620124454</v>
      </c>
      <c r="N171" s="1146">
        <v>25.551910759880855</v>
      </c>
      <c r="O171" s="1146">
        <v>25.524558937086855</v>
      </c>
      <c r="P171" s="1146">
        <v>25.593510823921783</v>
      </c>
      <c r="Q171" s="1146">
        <v>25.665566346511682</v>
      </c>
      <c r="R171" s="1146">
        <v>25.740752258018063</v>
      </c>
      <c r="S171" s="1146">
        <v>25.813152994647325</v>
      </c>
      <c r="T171" s="1146">
        <v>25.889022731985836</v>
      </c>
      <c r="U171" s="1146">
        <v>25.968036875226584</v>
      </c>
      <c r="V171" s="1146">
        <v>26.062254200366269</v>
      </c>
      <c r="W171" s="1146">
        <v>26.16429183467325</v>
      </c>
      <c r="X171" s="1146">
        <v>26.272427220308153</v>
      </c>
      <c r="Y171" s="1146">
        <v>26.384674136570993</v>
      </c>
      <c r="Z171" s="1146">
        <v>26.50234049408564</v>
      </c>
      <c r="AA171" s="1146">
        <v>26.625094611900426</v>
      </c>
      <c r="AB171" s="1146">
        <v>26.752154764899302</v>
      </c>
    </row>
    <row r="172" spans="2:28">
      <c r="B172" s="1146" t="s">
        <v>924</v>
      </c>
      <c r="C172" s="1146">
        <v>21.760550754973838</v>
      </c>
      <c r="D172" s="1146">
        <v>22.226803259320331</v>
      </c>
      <c r="E172" s="1146">
        <v>24.01104545141451</v>
      </c>
      <c r="F172" s="1146">
        <v>25.335754005036058</v>
      </c>
      <c r="G172" s="1146">
        <v>24.613170417585597</v>
      </c>
      <c r="H172" s="1146">
        <v>26.635833743307582</v>
      </c>
      <c r="I172" s="1146">
        <v>27.18122030912572</v>
      </c>
      <c r="J172" s="1146">
        <v>27.543270861527798</v>
      </c>
      <c r="K172" s="1146">
        <v>27.617318260183879</v>
      </c>
      <c r="L172" s="1146">
        <v>27.789738689631054</v>
      </c>
      <c r="M172" s="1146">
        <v>28.054475596684341</v>
      </c>
      <c r="N172" s="1146">
        <v>27.986372144969401</v>
      </c>
      <c r="O172" s="1146">
        <v>25.524558937086859</v>
      </c>
      <c r="P172" s="1146">
        <v>25.593510823921775</v>
      </c>
      <c r="Q172" s="1146">
        <v>25.665566346511682</v>
      </c>
      <c r="R172" s="1146">
        <v>25.740752258018059</v>
      </c>
      <c r="S172" s="1146">
        <v>25.813152994647325</v>
      </c>
      <c r="T172" s="1146">
        <v>25.889022731985836</v>
      </c>
      <c r="U172" s="1146">
        <v>25.968036875226577</v>
      </c>
      <c r="V172" s="1146">
        <v>26.062254200366272</v>
      </c>
      <c r="W172" s="1146">
        <v>26.16429183467325</v>
      </c>
      <c r="X172" s="1146">
        <v>26.272427220308149</v>
      </c>
      <c r="Y172" s="1146">
        <v>26.384674136570997</v>
      </c>
      <c r="Z172" s="1146">
        <v>26.502340494085644</v>
      </c>
      <c r="AA172" s="1146">
        <v>26.625094611900423</v>
      </c>
      <c r="AB172" s="1146">
        <v>26.752154764899302</v>
      </c>
    </row>
    <row r="173" spans="2:28">
      <c r="B173" s="1146" t="s">
        <v>972</v>
      </c>
      <c r="C173" s="1146">
        <f>C25/C20*100</f>
        <v>69.185111853834385</v>
      </c>
      <c r="D173" s="1146"/>
      <c r="E173" s="1146"/>
      <c r="F173" s="1146"/>
      <c r="G173" s="1146"/>
      <c r="H173" s="1146"/>
      <c r="I173" s="1146"/>
      <c r="J173" s="1146"/>
      <c r="K173" s="1146"/>
      <c r="L173" s="1146"/>
      <c r="M173" s="1146"/>
      <c r="N173" s="1146"/>
      <c r="O173" s="1146"/>
      <c r="P173" s="1146"/>
      <c r="Q173" s="1146"/>
      <c r="R173" s="1146"/>
      <c r="S173" s="1146"/>
      <c r="T173" s="1146"/>
      <c r="U173" s="1146"/>
      <c r="V173" s="1146"/>
      <c r="W173" s="1146"/>
      <c r="X173" s="1146"/>
      <c r="Y173" s="1146"/>
      <c r="Z173" s="1146"/>
      <c r="AA173" s="1146"/>
      <c r="AB173" s="1146"/>
    </row>
    <row r="174" spans="2:28">
      <c r="B174" s="1146"/>
      <c r="C174" s="1146"/>
      <c r="D174" s="1146"/>
      <c r="E174" s="1146"/>
      <c r="F174" s="1146">
        <v>10.532680203606946</v>
      </c>
      <c r="G174" s="1146">
        <v>13.825519373701621</v>
      </c>
      <c r="H174" s="1146">
        <v>13.389238223980081</v>
      </c>
      <c r="I174" s="1146">
        <v>2.7567423155337494</v>
      </c>
      <c r="J174" s="1146"/>
      <c r="K174" s="1146"/>
      <c r="L174" s="1146"/>
      <c r="M174" s="1146"/>
      <c r="N174" s="1146"/>
      <c r="O174" s="1146"/>
      <c r="P174" s="1146"/>
      <c r="Q174" s="1146"/>
      <c r="R174" s="1146"/>
      <c r="S174" s="1146"/>
      <c r="T174" s="1146"/>
      <c r="U174" s="1146"/>
      <c r="V174" s="1146"/>
      <c r="W174" s="1146"/>
      <c r="X174" s="1146"/>
      <c r="Y174" s="1146"/>
      <c r="Z174" s="1146"/>
      <c r="AA174" s="1146"/>
      <c r="AB174" s="1146"/>
    </row>
    <row r="175" spans="2:28">
      <c r="B175" s="1146"/>
      <c r="C175" s="1146"/>
      <c r="D175" s="1146"/>
      <c r="E175" s="1146"/>
      <c r="F175" s="1146"/>
      <c r="G175" s="1146"/>
      <c r="H175" s="1146">
        <v>-0.43628114972153931</v>
      </c>
      <c r="I175" s="1146"/>
      <c r="J175" s="1146"/>
      <c r="K175" s="1146"/>
      <c r="L175" s="1146"/>
      <c r="M175" s="1146"/>
      <c r="N175" s="1146"/>
      <c r="O175" s="1146"/>
      <c r="P175" s="1146"/>
      <c r="Q175" s="1146"/>
      <c r="R175" s="1146"/>
      <c r="S175" s="1146"/>
      <c r="T175" s="1146"/>
      <c r="U175" s="1146"/>
      <c r="V175" s="1146"/>
      <c r="W175" s="1146"/>
      <c r="X175" s="1146"/>
      <c r="Y175" s="1146"/>
      <c r="Z175" s="1146"/>
      <c r="AA175" s="1146"/>
      <c r="AB175" s="1146"/>
    </row>
    <row r="176" spans="2:28">
      <c r="B176" s="1146" t="s">
        <v>925</v>
      </c>
      <c r="C176" s="1146">
        <v>8.3944751235788964</v>
      </c>
      <c r="D176" s="1146">
        <v>7.5028969346508729</v>
      </c>
      <c r="E176" s="1146">
        <v>8.3488642397705739</v>
      </c>
      <c r="F176" s="1146">
        <v>23.115448347447366</v>
      </c>
      <c r="G176" s="1146">
        <v>6.7169826998865538</v>
      </c>
      <c r="H176" s="1146">
        <v>9.207466487783817</v>
      </c>
      <c r="I176" s="1146">
        <v>13.463928114239899</v>
      </c>
      <c r="J176" s="1146">
        <v>6.6910495877470515</v>
      </c>
      <c r="K176" s="1146">
        <v>5.9999999999998481</v>
      </c>
      <c r="L176" s="1146">
        <v>5.4999999999999929</v>
      </c>
      <c r="M176" s="1146">
        <v>5.2500000000002327</v>
      </c>
      <c r="N176" s="1146">
        <v>4.999999999999968</v>
      </c>
      <c r="O176" s="1146">
        <v>4.9999999999999156</v>
      </c>
      <c r="P176" s="1146">
        <v>4.9999999999999947</v>
      </c>
      <c r="Q176" s="1146">
        <v>5.0000000000002194</v>
      </c>
      <c r="R176" s="1146">
        <v>4.9999999999999174</v>
      </c>
      <c r="S176" s="1146">
        <v>5.0000000000000719</v>
      </c>
      <c r="T176" s="1146">
        <v>4.9999999999999751</v>
      </c>
      <c r="U176" s="1146">
        <v>5.0000000000000444</v>
      </c>
      <c r="V176" s="1146">
        <v>4.9999999999997744</v>
      </c>
      <c r="W176" s="1146">
        <v>5.0000000000002176</v>
      </c>
      <c r="X176" s="1146">
        <v>4.9999999999998535</v>
      </c>
      <c r="Y176" s="1146">
        <v>5.0000000000000426</v>
      </c>
      <c r="Z176" s="1146">
        <v>5.0000000000000249</v>
      </c>
      <c r="AA176" s="1146">
        <v>5.000000000000032</v>
      </c>
      <c r="AB176" s="1146">
        <v>5.0000000000000506</v>
      </c>
    </row>
    <row r="177" spans="2:28">
      <c r="B177" s="1146" t="s">
        <v>926</v>
      </c>
      <c r="C177" s="1146">
        <v>17.321836779140899</v>
      </c>
      <c r="D177" s="1146">
        <v>16.092935049989009</v>
      </c>
      <c r="E177" s="1146">
        <v>17.392635709295725</v>
      </c>
      <c r="F177" s="1146">
        <v>29.843320196597855</v>
      </c>
      <c r="G177" s="1146">
        <v>11.67316930610529</v>
      </c>
      <c r="H177" s="1146">
        <v>19.448066768411998</v>
      </c>
      <c r="I177" s="1146">
        <v>21.547988708515618</v>
      </c>
      <c r="J177" s="1146">
        <v>14.393566448288219</v>
      </c>
      <c r="K177" s="1146">
        <v>14.83347388678502</v>
      </c>
      <c r="L177" s="1146">
        <v>14.523235168851144</v>
      </c>
      <c r="M177" s="1146">
        <v>13.998795255656349</v>
      </c>
      <c r="N177" s="1146">
        <v>13.532437487236804</v>
      </c>
      <c r="O177" s="1146">
        <v>13.33219304413371</v>
      </c>
      <c r="P177" s="1146">
        <v>13.331527134403597</v>
      </c>
      <c r="Q177" s="1146">
        <v>13.36782879745102</v>
      </c>
      <c r="R177" s="1146">
        <v>13.405884486163533</v>
      </c>
      <c r="S177" s="1146">
        <v>13.376270496216879</v>
      </c>
      <c r="T177" s="1146">
        <v>13.416471397445996</v>
      </c>
      <c r="U177" s="1146">
        <v>13.364938412512274</v>
      </c>
      <c r="V177" s="1146">
        <v>12.466810090086454</v>
      </c>
      <c r="W177" s="1146">
        <v>12.640798170348555</v>
      </c>
      <c r="X177" s="1146">
        <v>12.05442504327805</v>
      </c>
      <c r="Y177" s="1146">
        <v>12.032028683075179</v>
      </c>
      <c r="Z177" s="1146">
        <v>11.852683476278369</v>
      </c>
      <c r="AA177" s="1146">
        <v>11.722309555193</v>
      </c>
      <c r="AB177" s="1146">
        <v>11.692965470603568</v>
      </c>
    </row>
    <row r="178" spans="2:28">
      <c r="B178" s="1146" t="s">
        <v>927</v>
      </c>
      <c r="C178" s="1146">
        <v>15.610856172781418</v>
      </c>
      <c r="D178" s="1146">
        <v>16.676066561526159</v>
      </c>
      <c r="E178" s="1146">
        <v>19.635016905332559</v>
      </c>
      <c r="F178" s="1146">
        <v>29.158732675345899</v>
      </c>
      <c r="G178" s="1146">
        <v>16.531593757922813</v>
      </c>
      <c r="H178" s="1146">
        <v>19.007813956785746</v>
      </c>
      <c r="I178" s="1146">
        <v>17.825162596539347</v>
      </c>
      <c r="J178" s="1146">
        <v>14.61070288945594</v>
      </c>
      <c r="K178" s="1146">
        <v>15.972051098370788</v>
      </c>
      <c r="L178" s="1146">
        <v>15.358507884914086</v>
      </c>
      <c r="M178" s="1146">
        <v>14.557740919165729</v>
      </c>
      <c r="N178" s="1146">
        <v>13.965291618194332</v>
      </c>
      <c r="O178" s="1146">
        <v>24.129931430358042</v>
      </c>
      <c r="P178" s="1146">
        <v>13.331527134403597</v>
      </c>
      <c r="Q178" s="1146">
        <v>13.36782879745102</v>
      </c>
      <c r="R178" s="1146">
        <v>13.405884486163533</v>
      </c>
      <c r="S178" s="1146">
        <v>13.376270496216879</v>
      </c>
      <c r="T178" s="1146">
        <v>13.416471397445996</v>
      </c>
      <c r="U178" s="1146">
        <v>13.364938412512274</v>
      </c>
      <c r="V178" s="1146">
        <v>12.466810090086454</v>
      </c>
      <c r="W178" s="1146">
        <v>12.640798170348555</v>
      </c>
      <c r="X178" s="1146">
        <v>12.05442504327805</v>
      </c>
      <c r="Y178" s="1146">
        <v>12.032028683075179</v>
      </c>
      <c r="Z178" s="1146">
        <v>11.852683476278369</v>
      </c>
      <c r="AA178" s="1146">
        <v>11.722309555193</v>
      </c>
      <c r="AB178" s="1146">
        <v>11.692965470603568</v>
      </c>
    </row>
    <row r="179" spans="2:28">
      <c r="B179" s="1146" t="s">
        <v>928</v>
      </c>
      <c r="C179" s="1136">
        <v>839211.27464000008</v>
      </c>
      <c r="D179" s="1136">
        <v>974265.00000000012</v>
      </c>
      <c r="E179" s="1136">
        <v>1143715.3622931701</v>
      </c>
      <c r="F179" s="1136">
        <v>1485038</v>
      </c>
      <c r="G179" s="1136">
        <v>1658389</v>
      </c>
      <c r="H179" s="1136">
        <v>1980913.6</v>
      </c>
      <c r="I179" s="1136">
        <v>2407760.6388534503</v>
      </c>
      <c r="J179" s="1136">
        <v>2754323.2663225504</v>
      </c>
      <c r="K179" s="1136">
        <v>3162885.0887901504</v>
      </c>
      <c r="L179" s="1136">
        <v>3622238.3283556704</v>
      </c>
      <c r="M179" s="1136">
        <v>4129308.0556140901</v>
      </c>
      <c r="N179" s="1136">
        <v>4688104.0868955003</v>
      </c>
      <c r="O179" s="1136">
        <v>5313131.1738703307</v>
      </c>
      <c r="P179" s="1136">
        <v>6021452.6980013102</v>
      </c>
      <c r="Q179" s="1136">
        <v>6826390.1857896205</v>
      </c>
      <c r="R179" s="1136">
        <v>7741528.1686713807</v>
      </c>
      <c r="S179" s="1136">
        <v>8777055.9170536902</v>
      </c>
      <c r="T179" s="1136">
        <v>9954627.1137030404</v>
      </c>
      <c r="U179" s="1136">
        <v>11285056.8966447</v>
      </c>
      <c r="V179" s="1136">
        <v>12691943.5085076</v>
      </c>
      <c r="W179" s="1136">
        <v>14296306.471312702</v>
      </c>
      <c r="X179" s="1136">
        <v>16019644.0188544</v>
      </c>
      <c r="Y179" s="1136">
        <v>17947132.182129499</v>
      </c>
      <c r="Z179" s="1136">
        <v>20074348.9527466</v>
      </c>
      <c r="AA179" s="1136">
        <v>22427526.278177202</v>
      </c>
      <c r="AB179" s="1136">
        <v>25049969.181795001</v>
      </c>
    </row>
    <row r="180" spans="2:28">
      <c r="B180" s="1146" t="s">
        <v>929</v>
      </c>
      <c r="C180" s="1136">
        <v>725818.026291908</v>
      </c>
      <c r="D180" s="1136">
        <v>846855.92347190203</v>
      </c>
      <c r="E180" s="1136">
        <v>1013136.2272094201</v>
      </c>
      <c r="F180" s="1136">
        <v>1308553.9113385</v>
      </c>
      <c r="G180" s="1136">
        <v>1524878.7280643901</v>
      </c>
      <c r="H180" s="1136">
        <v>1814724.8397614702</v>
      </c>
      <c r="I180" s="1136">
        <v>2138202.4931287402</v>
      </c>
      <c r="J180" s="1136">
        <v>2450608.9065747201</v>
      </c>
      <c r="K180" s="1136">
        <v>2842021.4133540601</v>
      </c>
      <c r="L180" s="1136">
        <v>3278513.49621499</v>
      </c>
      <c r="M180" s="1136">
        <v>3755790.9969938505</v>
      </c>
      <c r="N180" s="1136">
        <v>4280298.1622939296</v>
      </c>
      <c r="O180" s="1136">
        <v>5313131.1738703307</v>
      </c>
      <c r="P180" s="1136">
        <v>6021452.6980013102</v>
      </c>
      <c r="Q180" s="1136">
        <v>6826390.1857896205</v>
      </c>
      <c r="R180" s="1136">
        <v>7741528.1686713807</v>
      </c>
      <c r="S180" s="1136">
        <v>8777055.9170536902</v>
      </c>
      <c r="T180" s="1136">
        <v>9954627.1137030404</v>
      </c>
      <c r="U180" s="1136">
        <v>11285056.8966447</v>
      </c>
      <c r="V180" s="1136">
        <v>12691943.5085076</v>
      </c>
      <c r="W180" s="1136">
        <v>14296306.471312702</v>
      </c>
      <c r="X180" s="1136">
        <v>16019644.0188544</v>
      </c>
      <c r="Y180" s="1136">
        <v>17947132.182129499</v>
      </c>
      <c r="Z180" s="1136">
        <v>20074348.9527466</v>
      </c>
      <c r="AA180" s="1136">
        <v>22427526.278177202</v>
      </c>
      <c r="AB180" s="1136">
        <v>25049969.181795001</v>
      </c>
    </row>
    <row r="181" spans="2:28">
      <c r="B181" s="1122" t="s">
        <v>930</v>
      </c>
      <c r="C181" s="1136">
        <v>553109.84370960249</v>
      </c>
      <c r="D181" s="1136">
        <v>681160.70813516295</v>
      </c>
      <c r="E181" s="1136">
        <v>947643.84921307093</v>
      </c>
      <c r="F181" s="1136">
        <v>1241075.5791965334</v>
      </c>
      <c r="G181" s="1136">
        <v>1164143.8998370129</v>
      </c>
      <c r="H181" s="1136">
        <v>1516444.7478742071</v>
      </c>
      <c r="I181" s="1136">
        <v>1969862.3388977032</v>
      </c>
      <c r="J181" s="1136">
        <v>2395218.8284347551</v>
      </c>
      <c r="K181" s="1136">
        <v>2845227.3086795527</v>
      </c>
      <c r="L181" s="1136">
        <v>3379641.1846751976</v>
      </c>
      <c r="M181" s="1136">
        <v>4026281.7598664449</v>
      </c>
      <c r="N181" s="1136">
        <v>4725372.6168006947</v>
      </c>
      <c r="O181" s="1136">
        <v>5308841.970140635</v>
      </c>
      <c r="P181" s="1136">
        <v>5963332.664060628</v>
      </c>
      <c r="Q181" s="1136">
        <v>6698991.3083453942</v>
      </c>
      <c r="R181" s="1136">
        <v>7525920.6948191375</v>
      </c>
      <c r="S181" s="1136">
        <v>8412544.1287654303</v>
      </c>
      <c r="T181" s="1136">
        <v>9404411.3304894399</v>
      </c>
      <c r="U181" s="1136">
        <v>10500549.654063173</v>
      </c>
      <c r="V181" s="1136">
        <v>11710545.603955628</v>
      </c>
      <c r="W181" s="1136">
        <v>13127517.71535125</v>
      </c>
      <c r="X181" s="1136">
        <v>14650594.8977837</v>
      </c>
      <c r="Y181" s="1136">
        <v>16353584.59266278</v>
      </c>
      <c r="Z181" s="1136">
        <v>18245551.742055625</v>
      </c>
      <c r="AA181" s="1136">
        <v>20352099.305323318</v>
      </c>
      <c r="AB181" s="1136">
        <v>22707590.604995191</v>
      </c>
    </row>
    <row r="182" spans="2:28">
      <c r="B182" s="1146" t="s">
        <v>931</v>
      </c>
      <c r="C182" s="1146">
        <v>15.842307388546772</v>
      </c>
      <c r="D182" s="1146">
        <v>23.151073133457125</v>
      </c>
      <c r="E182" s="1146">
        <v>39.121919085360645</v>
      </c>
      <c r="F182" s="1146">
        <v>30.964347019941087</v>
      </c>
      <c r="G182" s="1146">
        <v>-6.1987908431270338</v>
      </c>
      <c r="H182" s="1146">
        <v>30.262654650040986</v>
      </c>
      <c r="I182" s="1146">
        <v>29.900040318587862</v>
      </c>
      <c r="J182" s="1146">
        <v>21.593208882559445</v>
      </c>
      <c r="K182" s="1146">
        <v>18.787781513009925</v>
      </c>
      <c r="L182" s="1146">
        <v>18.782818313509786</v>
      </c>
      <c r="M182" s="1146">
        <v>19.133409135958111</v>
      </c>
      <c r="N182" s="1146">
        <v>17.36318764132989</v>
      </c>
      <c r="O182" s="1146">
        <v>12.347584003544188</v>
      </c>
      <c r="P182" s="1146">
        <v>12.328313737744478</v>
      </c>
      <c r="Q182" s="1146">
        <v>12.336367694500417</v>
      </c>
      <c r="R182" s="1146">
        <v>12.344088063580273</v>
      </c>
      <c r="S182" s="1146">
        <v>11.780929801142426</v>
      </c>
      <c r="T182" s="1146">
        <v>11.790335795475571</v>
      </c>
      <c r="U182" s="1146">
        <v>11.655576144569647</v>
      </c>
      <c r="V182" s="1146">
        <v>11.523167736502726</v>
      </c>
      <c r="W182" s="1146">
        <v>12.099966639615767</v>
      </c>
      <c r="X182" s="1146">
        <v>11.602171982989384</v>
      </c>
      <c r="Y182" s="1146">
        <v>11.624031015537151</v>
      </c>
      <c r="Z182" s="1146">
        <v>11.569128093431559</v>
      </c>
      <c r="AA182" s="1146">
        <v>11.545540485970317</v>
      </c>
      <c r="AB182" s="1146">
        <v>11.573701878782439</v>
      </c>
    </row>
    <row r="183" spans="2:28">
      <c r="B183" s="1146" t="s">
        <v>932</v>
      </c>
      <c r="C183" s="1167"/>
      <c r="D183" s="1136">
        <v>15965</v>
      </c>
      <c r="E183" s="1136">
        <v>16127</v>
      </c>
      <c r="F183" s="1136">
        <v>16328</v>
      </c>
      <c r="G183" s="1136">
        <v>17500</v>
      </c>
      <c r="H183" s="1168">
        <v>18000</v>
      </c>
      <c r="I183" s="1168">
        <v>19494</v>
      </c>
      <c r="J183" s="1168">
        <v>20078.82</v>
      </c>
      <c r="K183" s="1168">
        <v>20681.184600000001</v>
      </c>
      <c r="L183" s="1168">
        <v>21301.620138000002</v>
      </c>
      <c r="M183" s="1168">
        <v>21940.668742139966</v>
      </c>
      <c r="N183" s="1168">
        <v>22598.888804404189</v>
      </c>
      <c r="O183" s="1168">
        <v>23276.855468536323</v>
      </c>
      <c r="P183" s="1168">
        <v>23975.16113259241</v>
      </c>
      <c r="Q183" s="1168">
        <v>24694.415966570203</v>
      </c>
      <c r="R183" s="1168">
        <v>25435.248445567271</v>
      </c>
      <c r="S183" s="1168">
        <v>26198.305898934334</v>
      </c>
      <c r="T183" s="1168">
        <v>26984.255075902329</v>
      </c>
      <c r="U183" s="1168">
        <v>27793.782728179394</v>
      </c>
      <c r="V183" s="1168">
        <v>28627.596210024771</v>
      </c>
      <c r="W183" s="1168">
        <v>29486.424096325507</v>
      </c>
      <c r="X183" s="1168">
        <v>30371.016819215311</v>
      </c>
      <c r="Y183" s="1168">
        <v>31282.147323791796</v>
      </c>
      <c r="Z183" s="1168">
        <v>32220.611743505531</v>
      </c>
      <c r="AA183" s="1168">
        <v>33187.230095810715</v>
      </c>
      <c r="AB183" s="1168">
        <v>34182.84699868501</v>
      </c>
    </row>
    <row r="184" spans="2:28">
      <c r="B184" s="1146" t="s">
        <v>933</v>
      </c>
      <c r="C184" s="1136">
        <v>15906.909090909099</v>
      </c>
      <c r="D184" s="1136">
        <v>16067.868421052601</v>
      </c>
      <c r="E184" s="1136">
        <v>16017</v>
      </c>
      <c r="F184" s="1136">
        <v>17483</v>
      </c>
      <c r="G184" s="1136">
        <v>18479</v>
      </c>
      <c r="H184" s="1136">
        <v>19498</v>
      </c>
      <c r="I184" s="1136">
        <v>21116.333999999999</v>
      </c>
      <c r="J184" s="1136">
        <v>21749.82402</v>
      </c>
      <c r="K184" s="1136">
        <v>22402.3187406</v>
      </c>
      <c r="L184" s="1136">
        <v>23074.388302817999</v>
      </c>
      <c r="M184" s="1136">
        <v>23766.619951902499</v>
      </c>
      <c r="N184" s="1136">
        <v>24479.6185504596</v>
      </c>
      <c r="O184" s="1136">
        <v>25214.0071069734</v>
      </c>
      <c r="P184" s="1136">
        <v>25970.4273201826</v>
      </c>
      <c r="Q184" s="1136">
        <v>26749.5401397881</v>
      </c>
      <c r="R184" s="1136">
        <v>27552.026343981699</v>
      </c>
      <c r="S184" s="1136">
        <v>28378.5871343012</v>
      </c>
      <c r="T184" s="1136">
        <v>29229.944748330199</v>
      </c>
      <c r="U184" s="1136">
        <v>30106.843090780101</v>
      </c>
      <c r="V184" s="1136">
        <v>31010.048383503501</v>
      </c>
      <c r="W184" s="1136">
        <v>31940.349835008601</v>
      </c>
      <c r="X184" s="1136">
        <v>32898.560330058899</v>
      </c>
      <c r="Y184" s="1136">
        <v>33885.517139960699</v>
      </c>
      <c r="Z184" s="1136">
        <v>34902.082654159502</v>
      </c>
      <c r="AA184" s="1136">
        <v>35949.145133784303</v>
      </c>
      <c r="AB184" s="1136">
        <v>37027.619487797798</v>
      </c>
    </row>
    <row r="185" spans="2:28">
      <c r="B185" s="1146" t="s">
        <v>934</v>
      </c>
      <c r="C185" s="1136">
        <v>15854.7796740699</v>
      </c>
      <c r="D185" s="1136">
        <v>15989.1028432824</v>
      </c>
      <c r="E185" s="1136">
        <v>16083.2954161177</v>
      </c>
      <c r="F185" s="1136">
        <v>16445.275142731702</v>
      </c>
      <c r="G185" s="1136">
        <v>17799.821103896102</v>
      </c>
      <c r="H185" s="1136">
        <v>19125.537563523401</v>
      </c>
      <c r="I185" s="1136">
        <v>20307.167000000001</v>
      </c>
      <c r="J185" s="1136">
        <v>21433.079010000001</v>
      </c>
      <c r="K185" s="1136">
        <v>22076.0713803</v>
      </c>
      <c r="L185" s="1136">
        <v>22738.353521708999</v>
      </c>
      <c r="M185" s="1136">
        <v>23420.504127360298</v>
      </c>
      <c r="N185" s="1136">
        <v>24123.119251181099</v>
      </c>
      <c r="O185" s="1136">
        <v>24846.812828716498</v>
      </c>
      <c r="P185" s="1136">
        <v>25592.217213577998</v>
      </c>
      <c r="Q185" s="1136">
        <v>26359.983729985401</v>
      </c>
      <c r="R185" s="1136">
        <v>27150.783241884899</v>
      </c>
      <c r="S185" s="1136">
        <v>27965.306739141499</v>
      </c>
      <c r="T185" s="1136">
        <v>28804.265941315702</v>
      </c>
      <c r="U185" s="1136">
        <v>29668.393919555201</v>
      </c>
      <c r="V185" s="1136">
        <v>30558.445737141799</v>
      </c>
      <c r="W185" s="1136">
        <v>31475.1991092561</v>
      </c>
      <c r="X185" s="1136">
        <v>32419.455082533801</v>
      </c>
      <c r="Y185" s="1136">
        <v>33392.038735009803</v>
      </c>
      <c r="Z185" s="1136">
        <v>34393.799897060097</v>
      </c>
      <c r="AA185" s="1136">
        <v>35425.613893971902</v>
      </c>
      <c r="AB185" s="1136">
        <v>36488.382310790999</v>
      </c>
    </row>
    <row r="186" spans="2:28">
      <c r="B186" s="1146" t="s">
        <v>935</v>
      </c>
      <c r="C186" s="1146">
        <v>2.6120215366368669</v>
      </c>
      <c r="D186" s="1146">
        <v>2.7616824167503404</v>
      </c>
      <c r="E186" s="1146">
        <v>3.7212621873847147</v>
      </c>
      <c r="F186" s="1146">
        <v>4.0779727409760005</v>
      </c>
      <c r="G186" s="1146">
        <v>4.8432398628636175</v>
      </c>
      <c r="H186" s="1146">
        <v>3.3133833687679086</v>
      </c>
      <c r="I186" s="1146">
        <v>4.5836998784120961</v>
      </c>
      <c r="J186" s="1146">
        <v>4.4270506652983546</v>
      </c>
      <c r="K186" s="1146">
        <v>4.2177569412945459</v>
      </c>
      <c r="L186" s="1146">
        <v>4.1811770816672036</v>
      </c>
      <c r="M186" s="1146">
        <v>4.0254980931517803</v>
      </c>
      <c r="N186" s="1159">
        <v>3.9546576161128604</v>
      </c>
      <c r="O186" s="1159">
        <v>4.0865486708125855</v>
      </c>
      <c r="P186" s="1159">
        <v>4.2695002731905607</v>
      </c>
      <c r="Q186" s="1159">
        <v>4.4685873978191939</v>
      </c>
      <c r="R186" s="1159">
        <v>4.6296962775690833</v>
      </c>
      <c r="S186" s="1159">
        <v>4.8291806308104004</v>
      </c>
      <c r="T186" s="1159">
        <v>5.0081080187994385</v>
      </c>
      <c r="U186" s="1159">
        <v>5.192992900675435</v>
      </c>
      <c r="V186" s="1159">
        <v>5.3792371581453757</v>
      </c>
      <c r="W186" s="1159">
        <v>5.4477432980653511</v>
      </c>
      <c r="X186" s="1159">
        <v>5.5223316633904194</v>
      </c>
      <c r="Y186" s="1159">
        <v>5.6010295433899424</v>
      </c>
      <c r="Z186" s="1159">
        <v>5.6708159103888498</v>
      </c>
      <c r="AA186" s="1159">
        <v>5.7290214883181196</v>
      </c>
      <c r="AB186" s="1159">
        <v>5.7865453351176406</v>
      </c>
    </row>
    <row r="187" spans="2:28">
      <c r="B187" s="1146" t="s">
        <v>936</v>
      </c>
      <c r="C187" s="1146">
        <v>1.7149546001122071</v>
      </c>
      <c r="D187" s="1146">
        <v>2.1545877920778556</v>
      </c>
      <c r="E187" s="1146">
        <v>2.1669197106296583</v>
      </c>
      <c r="F187" s="1146">
        <v>1.7850165844477142</v>
      </c>
      <c r="G187" s="1146">
        <v>1.7348695554374503</v>
      </c>
      <c r="H187" s="1146">
        <v>1.7080373145565182</v>
      </c>
      <c r="I187" s="1146">
        <v>1.8181725177867698</v>
      </c>
      <c r="J187" s="1146">
        <v>1.9545354566207775</v>
      </c>
      <c r="K187" s="1146">
        <v>2.1011256158673359</v>
      </c>
      <c r="L187" s="1146">
        <v>2.2587100370573858</v>
      </c>
      <c r="M187" s="1146">
        <v>2.4281132898366895</v>
      </c>
      <c r="N187" s="1146">
        <v>2.6102217865744413</v>
      </c>
      <c r="O187" s="1146">
        <v>2.8059884205675241</v>
      </c>
      <c r="P187" s="1146">
        <v>3.0164375521100881</v>
      </c>
      <c r="Q187" s="1146">
        <v>3.2426703685183447</v>
      </c>
      <c r="R187" s="1146">
        <v>3.4048038869442618</v>
      </c>
      <c r="S187" s="1146">
        <v>3.575044081291475</v>
      </c>
      <c r="T187" s="1146">
        <v>3.7537962853560489</v>
      </c>
      <c r="U187" s="1146">
        <v>3.9414860996238517</v>
      </c>
      <c r="V187" s="1146">
        <v>4.1385604046050446</v>
      </c>
      <c r="W187" s="1146">
        <v>4.1385604046050446</v>
      </c>
      <c r="X187" s="1146">
        <v>4.1385604046050446</v>
      </c>
      <c r="Y187" s="1146">
        <v>4.1385604046050446</v>
      </c>
      <c r="Z187" s="1146">
        <v>4.1385604046050446</v>
      </c>
      <c r="AA187" s="1146">
        <v>4.1385604046050446</v>
      </c>
      <c r="AB187" s="1146">
        <v>4.1385604046050446</v>
      </c>
    </row>
    <row r="188" spans="2:28">
      <c r="B188" s="1146" t="s">
        <v>937</v>
      </c>
      <c r="C188" s="1169">
        <v>5.9193785626811888</v>
      </c>
      <c r="D188" s="1169">
        <v>4.4323119131428452</v>
      </c>
      <c r="E188" s="1169">
        <v>7.1814523792367613</v>
      </c>
      <c r="F188" s="1169">
        <v>8.8245600449674733</v>
      </c>
      <c r="G188" s="1169">
        <v>11.175071184402219</v>
      </c>
      <c r="H188" s="1170">
        <v>7.26</v>
      </c>
      <c r="I188" s="1171">
        <v>11</v>
      </c>
      <c r="J188" s="1171">
        <v>10.5</v>
      </c>
      <c r="K188" s="1171">
        <v>9.5</v>
      </c>
      <c r="L188" s="1171">
        <v>9</v>
      </c>
      <c r="M188" s="1171">
        <v>8</v>
      </c>
      <c r="N188" s="1171">
        <v>7</v>
      </c>
      <c r="O188" s="1171">
        <v>7</v>
      </c>
      <c r="P188" s="1171">
        <v>7</v>
      </c>
      <c r="Q188" s="1171">
        <v>7</v>
      </c>
      <c r="R188" s="1171">
        <v>7</v>
      </c>
      <c r="S188" s="1171">
        <v>7</v>
      </c>
      <c r="T188" s="1171">
        <v>7</v>
      </c>
      <c r="U188" s="1171">
        <v>7</v>
      </c>
      <c r="V188" s="1171">
        <v>7</v>
      </c>
      <c r="W188" s="1171">
        <v>7</v>
      </c>
      <c r="X188" s="1171">
        <v>7</v>
      </c>
      <c r="Y188" s="1171">
        <v>7</v>
      </c>
      <c r="Z188" s="1171">
        <v>7</v>
      </c>
      <c r="AA188" s="1171">
        <v>7</v>
      </c>
      <c r="AB188" s="1171">
        <v>7</v>
      </c>
    </row>
    <row r="189" spans="2:28">
      <c r="B189" s="1146"/>
      <c r="C189" s="1136"/>
      <c r="D189" s="1136"/>
      <c r="E189" s="1136"/>
      <c r="F189" s="1136"/>
      <c r="G189" s="1136"/>
      <c r="H189" s="1172">
        <v>-1324.0781128082381</v>
      </c>
      <c r="I189" s="1136"/>
      <c r="J189" s="1136"/>
      <c r="K189" s="1136"/>
      <c r="L189" s="1136"/>
      <c r="M189" s="1136"/>
      <c r="N189" s="1144"/>
      <c r="O189" s="1144"/>
      <c r="P189" s="1144"/>
      <c r="Q189" s="1144"/>
      <c r="R189" s="1144"/>
      <c r="S189" s="1144"/>
      <c r="T189" s="1144"/>
      <c r="U189" s="1144"/>
      <c r="V189" s="1144"/>
      <c r="W189" s="1144"/>
      <c r="X189" s="1144"/>
      <c r="Y189" s="1144"/>
      <c r="Z189" s="1144"/>
      <c r="AA189" s="1144"/>
      <c r="AB189" s="1144"/>
    </row>
    <row r="190" spans="2:28">
      <c r="B190" s="1173" t="s">
        <v>938</v>
      </c>
      <c r="C190" s="1174"/>
      <c r="D190" s="1174"/>
      <c r="E190" s="1174"/>
      <c r="F190" s="1174"/>
      <c r="G190" s="1174"/>
      <c r="H190" s="1174"/>
      <c r="I190" s="1136"/>
      <c r="J190" s="1136"/>
      <c r="K190" s="1136"/>
      <c r="L190" s="1136"/>
      <c r="M190" s="1136"/>
      <c r="N190" s="1144"/>
      <c r="O190" s="1144"/>
      <c r="P190" s="1144"/>
      <c r="Q190" s="1144"/>
      <c r="R190" s="1144"/>
      <c r="S190" s="1144"/>
      <c r="T190" s="1144"/>
      <c r="U190" s="1144"/>
      <c r="V190" s="1144"/>
      <c r="W190" s="1144"/>
      <c r="X190" s="1144"/>
      <c r="Y190" s="1144"/>
      <c r="Z190" s="1144"/>
      <c r="AA190" s="1144"/>
      <c r="AB190" s="1144"/>
    </row>
    <row r="191" spans="2:28">
      <c r="B191" s="1146" t="s">
        <v>939</v>
      </c>
      <c r="C191" s="1146">
        <v>18.198700000000002</v>
      </c>
      <c r="D191" s="1146">
        <v>16.844999999999999</v>
      </c>
      <c r="E191" s="1146">
        <v>15.550120000000001</v>
      </c>
      <c r="F191" s="1146">
        <v>14.9024827586207</v>
      </c>
      <c r="G191" s="1146">
        <v>16.247499999999999</v>
      </c>
      <c r="H191" s="1146">
        <v>15</v>
      </c>
      <c r="I191" s="1146">
        <v>16.899999999999999</v>
      </c>
      <c r="J191" s="1146">
        <v>17.899999999999999</v>
      </c>
      <c r="K191" s="1146">
        <v>18.795000000000002</v>
      </c>
      <c r="L191" s="1146">
        <v>19.734749999999998</v>
      </c>
      <c r="M191" s="1146">
        <v>20.721487499999999</v>
      </c>
      <c r="N191" s="1146">
        <v>21.757561875</v>
      </c>
      <c r="O191" s="1146">
        <v>22.84543996875</v>
      </c>
      <c r="P191" s="1146">
        <v>23.987711967187501</v>
      </c>
      <c r="Q191" s="1146">
        <v>25.1870975655469</v>
      </c>
      <c r="R191" s="1146">
        <v>26.446452443824199</v>
      </c>
      <c r="S191" s="1146">
        <v>27.768775066015401</v>
      </c>
      <c r="T191" s="1146">
        <v>29.157213819316201</v>
      </c>
      <c r="U191" s="1146">
        <v>30.615074510282</v>
      </c>
      <c r="V191" s="1146">
        <v>32.145828235796102</v>
      </c>
      <c r="W191" s="1146">
        <v>33.753119647585905</v>
      </c>
      <c r="X191" s="1146">
        <v>35.440775629965202</v>
      </c>
      <c r="Y191" s="1146">
        <v>37.212814411463498</v>
      </c>
      <c r="Z191" s="1146">
        <v>39.073455132036706</v>
      </c>
      <c r="AA191" s="1146">
        <v>41.027127888638496</v>
      </c>
      <c r="AB191" s="1146">
        <v>43.078484283070402</v>
      </c>
    </row>
    <row r="192" spans="2:28">
      <c r="B192" s="1146" t="s">
        <v>940</v>
      </c>
      <c r="C192" s="1146">
        <v>53.3541666666667</v>
      </c>
      <c r="D192" s="1146">
        <v>64.272499999999994</v>
      </c>
      <c r="E192" s="1146">
        <v>71.127499999999998</v>
      </c>
      <c r="F192" s="1146">
        <v>97.034999999999997</v>
      </c>
      <c r="G192" s="1146">
        <v>61.776938812730499</v>
      </c>
      <c r="H192" s="1146">
        <v>79.030142234979195</v>
      </c>
      <c r="I192" s="1146">
        <v>107.155</v>
      </c>
      <c r="J192" s="1146">
        <v>108</v>
      </c>
      <c r="K192" s="1146">
        <v>105.5</v>
      </c>
      <c r="L192" s="1146">
        <v>104.5</v>
      </c>
      <c r="M192" s="1146">
        <v>105</v>
      </c>
      <c r="N192" s="1146">
        <v>106</v>
      </c>
      <c r="O192" s="1146">
        <v>0</v>
      </c>
      <c r="P192" s="1146">
        <v>0</v>
      </c>
      <c r="Q192" s="1146">
        <v>0</v>
      </c>
      <c r="R192" s="1146">
        <v>0</v>
      </c>
      <c r="S192" s="1146">
        <v>0</v>
      </c>
      <c r="T192" s="1146">
        <v>0</v>
      </c>
      <c r="U192" s="1146">
        <v>0</v>
      </c>
      <c r="V192" s="1146">
        <v>0</v>
      </c>
      <c r="W192" s="1146">
        <v>0</v>
      </c>
      <c r="X192" s="1146">
        <v>0</v>
      </c>
      <c r="Y192" s="1146">
        <v>0</v>
      </c>
      <c r="Z192" s="1146">
        <v>0</v>
      </c>
      <c r="AA192" s="1146">
        <v>0</v>
      </c>
      <c r="AB192" s="1146">
        <v>0</v>
      </c>
    </row>
    <row r="193" spans="2:28">
      <c r="B193" s="1146" t="s">
        <v>941</v>
      </c>
      <c r="C193" s="1146">
        <v>7.7</v>
      </c>
      <c r="D193" s="1146">
        <v>7.7</v>
      </c>
      <c r="E193" s="1146">
        <v>7.7</v>
      </c>
      <c r="F193" s="1146">
        <v>7.7</v>
      </c>
      <c r="G193" s="1146">
        <v>7.7</v>
      </c>
      <c r="H193" s="1146">
        <v>7.7</v>
      </c>
      <c r="I193" s="1146">
        <v>7.7</v>
      </c>
      <c r="J193" s="1146">
        <v>7.7</v>
      </c>
      <c r="K193" s="1146">
        <v>7.7</v>
      </c>
      <c r="L193" s="1146">
        <v>7.7</v>
      </c>
      <c r="M193" s="1146">
        <v>7.7</v>
      </c>
      <c r="N193" s="1146">
        <v>7.7</v>
      </c>
      <c r="O193" s="1146">
        <v>7.7</v>
      </c>
      <c r="P193" s="1146">
        <v>7.7</v>
      </c>
      <c r="Q193" s="1146">
        <v>7.7</v>
      </c>
      <c r="R193" s="1146">
        <v>7.7</v>
      </c>
      <c r="S193" s="1146">
        <v>7.7</v>
      </c>
      <c r="T193" s="1146">
        <v>7.7</v>
      </c>
      <c r="U193" s="1146">
        <v>7.7</v>
      </c>
      <c r="V193" s="1146">
        <v>7.7</v>
      </c>
      <c r="W193" s="1146">
        <v>7.7</v>
      </c>
      <c r="X193" s="1146">
        <v>7.7</v>
      </c>
      <c r="Y193" s="1146">
        <v>7.7</v>
      </c>
      <c r="Z193" s="1146">
        <v>7.7</v>
      </c>
      <c r="AA193" s="1146">
        <v>7.7</v>
      </c>
      <c r="AB193" s="1146">
        <v>7.7</v>
      </c>
    </row>
    <row r="194" spans="2:28">
      <c r="B194" s="1146" t="s">
        <v>942</v>
      </c>
      <c r="C194" s="1146">
        <v>410.82708333333358</v>
      </c>
      <c r="D194" s="1146">
        <v>494.89824999999996</v>
      </c>
      <c r="E194" s="1146">
        <v>547.68174999999997</v>
      </c>
      <c r="F194" s="1146">
        <v>747.16949999999997</v>
      </c>
      <c r="G194" s="1146">
        <v>475.68242885802488</v>
      </c>
      <c r="H194" s="1146">
        <v>608.53209520933979</v>
      </c>
      <c r="I194" s="1146">
        <v>825.09350000000006</v>
      </c>
      <c r="J194" s="1146">
        <v>831.6</v>
      </c>
      <c r="K194" s="1146">
        <v>812.35</v>
      </c>
      <c r="L194" s="1146">
        <v>804.65</v>
      </c>
      <c r="M194" s="1146">
        <v>808.5</v>
      </c>
      <c r="N194" s="1146">
        <v>816.2</v>
      </c>
      <c r="O194" s="1146">
        <v>0</v>
      </c>
      <c r="P194" s="1146">
        <v>0</v>
      </c>
      <c r="Q194" s="1146">
        <v>0</v>
      </c>
      <c r="R194" s="1146">
        <v>0</v>
      </c>
      <c r="S194" s="1146">
        <v>0</v>
      </c>
      <c r="T194" s="1146">
        <v>0</v>
      </c>
      <c r="U194" s="1146">
        <v>0</v>
      </c>
      <c r="V194" s="1146">
        <v>0</v>
      </c>
      <c r="W194" s="1146">
        <v>0</v>
      </c>
      <c r="X194" s="1146">
        <v>0</v>
      </c>
      <c r="Y194" s="1146">
        <v>0</v>
      </c>
      <c r="Z194" s="1146">
        <v>0</v>
      </c>
      <c r="AA194" s="1146">
        <v>0</v>
      </c>
      <c r="AB194" s="1146">
        <v>0</v>
      </c>
    </row>
    <row r="195" spans="2:28">
      <c r="B195" s="1146" t="s">
        <v>943</v>
      </c>
      <c r="C195" s="1146">
        <v>7.476518841458339</v>
      </c>
      <c r="D195" s="1146">
        <v>8.3365610212499988</v>
      </c>
      <c r="E195" s="1146">
        <v>8.5165169343100011</v>
      </c>
      <c r="F195" s="1146">
        <v>11.134680591517249</v>
      </c>
      <c r="G195" s="1146">
        <v>7.728650262870759</v>
      </c>
      <c r="H195" s="1146">
        <v>9.1279814281400977</v>
      </c>
      <c r="I195" s="1146">
        <v>13.94408015</v>
      </c>
      <c r="J195" s="1146">
        <v>14.885639999999999</v>
      </c>
      <c r="K195" s="1146">
        <v>15.268118250000001</v>
      </c>
      <c r="L195" s="1146">
        <v>15.879566587499998</v>
      </c>
      <c r="M195" s="1146">
        <v>16.753322643749996</v>
      </c>
      <c r="N195" s="1146">
        <v>17.758522002374999</v>
      </c>
      <c r="O195" s="1146">
        <v>0</v>
      </c>
      <c r="P195" s="1146">
        <v>0</v>
      </c>
      <c r="Q195" s="1146">
        <v>0</v>
      </c>
      <c r="R195" s="1146">
        <v>0</v>
      </c>
      <c r="S195" s="1146">
        <v>0</v>
      </c>
      <c r="T195" s="1146">
        <v>0</v>
      </c>
      <c r="U195" s="1146">
        <v>0</v>
      </c>
      <c r="V195" s="1146">
        <v>0</v>
      </c>
      <c r="W195" s="1146">
        <v>0</v>
      </c>
      <c r="X195" s="1146">
        <v>0</v>
      </c>
      <c r="Y195" s="1146">
        <v>0</v>
      </c>
      <c r="Z195" s="1146">
        <v>0</v>
      </c>
      <c r="AA195" s="1146">
        <v>0</v>
      </c>
      <c r="AB195" s="1146">
        <v>0</v>
      </c>
    </row>
    <row r="196" spans="2:28">
      <c r="B196" s="1146" t="s">
        <v>944</v>
      </c>
      <c r="C196" s="1175">
        <v>0.56148818227375774</v>
      </c>
      <c r="D196" s="1175">
        <v>0.62527884044505877</v>
      </c>
      <c r="E196" s="1175">
        <v>0.57408118670186437</v>
      </c>
      <c r="F196" s="1175">
        <v>0.48933202889140592</v>
      </c>
      <c r="G196" s="1175">
        <v>0.43978061486878472</v>
      </c>
      <c r="H196" s="1175">
        <v>0.3959248458156171</v>
      </c>
      <c r="I196" s="1175">
        <v>0.29246462490328012</v>
      </c>
      <c r="J196" s="1175">
        <v>0.29246462490328012</v>
      </c>
      <c r="K196" s="1175">
        <v>0.29246462490328023</v>
      </c>
      <c r="L196" s="1175">
        <v>0.29246462490328023</v>
      </c>
      <c r="M196" s="1175">
        <v>0.29246462490328035</v>
      </c>
      <c r="N196" s="1175">
        <v>0.29667263520178028</v>
      </c>
      <c r="O196" s="1175" t="e">
        <v>#DIV/0!</v>
      </c>
      <c r="P196" s="1175" t="e">
        <v>#DIV/0!</v>
      </c>
      <c r="Q196" s="1175" t="e">
        <v>#DIV/0!</v>
      </c>
      <c r="R196" s="1175" t="e">
        <v>#DIV/0!</v>
      </c>
      <c r="S196" s="1175" t="e">
        <v>#DIV/0!</v>
      </c>
      <c r="T196" s="1175" t="e">
        <v>#DIV/0!</v>
      </c>
      <c r="U196" s="1175" t="e">
        <v>#DIV/0!</v>
      </c>
      <c r="V196" s="1175" t="e">
        <v>#DIV/0!</v>
      </c>
      <c r="W196" s="1175" t="e">
        <v>#DIV/0!</v>
      </c>
      <c r="X196" s="1175" t="e">
        <v>#DIV/0!</v>
      </c>
      <c r="Y196" s="1175" t="e">
        <v>#DIV/0!</v>
      </c>
      <c r="Z196" s="1175" t="e">
        <v>#DIV/0!</v>
      </c>
      <c r="AA196" s="1175" t="e">
        <v>#DIV/0!</v>
      </c>
      <c r="AB196" s="1175" t="e">
        <v>#DIV/0!</v>
      </c>
    </row>
    <row r="197" spans="2:28">
      <c r="B197" s="1122"/>
      <c r="C197" s="1136"/>
      <c r="D197" s="1136"/>
      <c r="E197" s="1136"/>
      <c r="F197" s="1136"/>
      <c r="G197" s="1136"/>
      <c r="H197" s="1136"/>
      <c r="I197" s="1136"/>
      <c r="J197" s="1136"/>
      <c r="K197" s="1136"/>
      <c r="L197" s="1136"/>
      <c r="M197" s="1136"/>
      <c r="N197" s="1144"/>
      <c r="O197" s="1144"/>
      <c r="P197" s="1144"/>
      <c r="Q197" s="1144"/>
      <c r="R197" s="1144"/>
      <c r="S197" s="1144"/>
      <c r="T197" s="1144"/>
      <c r="U197" s="1144"/>
      <c r="V197" s="1144"/>
      <c r="W197" s="1144"/>
      <c r="X197" s="1144"/>
      <c r="Y197" s="1144"/>
      <c r="Z197" s="1144"/>
      <c r="AA197" s="1144"/>
      <c r="AB197" s="1144"/>
    </row>
    <row r="198" spans="2:28">
      <c r="B198" s="1122"/>
      <c r="C198" s="1136"/>
      <c r="D198" s="1136"/>
      <c r="E198" s="1136"/>
      <c r="F198" s="1136"/>
      <c r="G198" s="1136"/>
      <c r="H198" s="1136"/>
      <c r="I198" s="1136"/>
      <c r="J198" s="1136"/>
      <c r="K198" s="1136"/>
      <c r="L198" s="1136"/>
      <c r="M198" s="1136"/>
      <c r="N198" s="1144"/>
      <c r="O198" s="1144"/>
      <c r="P198" s="1144"/>
      <c r="Q198" s="1144"/>
      <c r="R198" s="1144"/>
      <c r="S198" s="1144"/>
      <c r="T198" s="1144"/>
      <c r="U198" s="1144"/>
      <c r="V198" s="1144"/>
      <c r="W198" s="1144"/>
      <c r="X198" s="1144"/>
      <c r="Y198" s="1144"/>
      <c r="Z198" s="1144"/>
      <c r="AA198" s="1144"/>
      <c r="AB198" s="1144"/>
    </row>
    <row r="199" spans="2:28">
      <c r="B199" s="1146"/>
      <c r="C199" s="1146"/>
      <c r="D199" s="1146"/>
      <c r="E199" s="1146"/>
      <c r="F199" s="1146"/>
      <c r="G199" s="1146"/>
      <c r="H199" s="1146"/>
      <c r="I199" s="1146"/>
      <c r="J199" s="1146"/>
      <c r="K199" s="1146"/>
      <c r="L199" s="1146"/>
      <c r="M199" s="1146"/>
      <c r="N199" s="1159"/>
      <c r="O199" s="1159"/>
      <c r="P199" s="1159"/>
      <c r="Q199" s="1159"/>
      <c r="R199" s="1159"/>
      <c r="S199" s="1159"/>
      <c r="T199" s="1159"/>
      <c r="U199" s="1159"/>
      <c r="V199" s="1159"/>
      <c r="W199" s="1159"/>
      <c r="X199" s="1159"/>
      <c r="Y199" s="1159"/>
      <c r="Z199" s="1159"/>
      <c r="AA199" s="1159"/>
      <c r="AB199" s="1159"/>
    </row>
    <row r="200" spans="2:28">
      <c r="B200" s="1173" t="s">
        <v>945</v>
      </c>
      <c r="C200" s="1146"/>
      <c r="D200" s="1146"/>
      <c r="E200" s="1146"/>
      <c r="F200" s="1146"/>
      <c r="G200" s="1146"/>
      <c r="H200" s="1146"/>
      <c r="I200" s="1146"/>
      <c r="J200" s="1146"/>
      <c r="K200" s="1146"/>
      <c r="L200" s="1146"/>
      <c r="M200" s="1146"/>
      <c r="N200" s="1159"/>
      <c r="O200" s="1159"/>
      <c r="P200" s="1159"/>
      <c r="Q200" s="1159"/>
      <c r="R200" s="1159"/>
      <c r="S200" s="1159"/>
      <c r="T200" s="1159"/>
      <c r="U200" s="1159"/>
      <c r="V200" s="1159"/>
      <c r="W200" s="1159"/>
      <c r="X200" s="1159"/>
      <c r="Y200" s="1159"/>
      <c r="Z200" s="1159"/>
      <c r="AA200" s="1159"/>
      <c r="AB200" s="1159"/>
    </row>
    <row r="201" spans="2:28">
      <c r="B201" s="1146" t="s">
        <v>946</v>
      </c>
      <c r="C201" s="1146">
        <v>0.58644165585237673</v>
      </c>
      <c r="D201" s="1146">
        <v>0.53389695964092687</v>
      </c>
      <c r="E201" s="1146">
        <v>1.0413059405267946</v>
      </c>
      <c r="F201" s="1146">
        <v>1.6710496406187079</v>
      </c>
      <c r="G201" s="1146">
        <v>-2.5059848793622361</v>
      </c>
      <c r="H201" s="1146">
        <v>0.72623260927319144</v>
      </c>
      <c r="I201" s="1176">
        <v>0.49924706016053877</v>
      </c>
      <c r="J201" s="1146">
        <v>0.49924706016053877</v>
      </c>
      <c r="K201" s="1146">
        <v>0.49924706016053877</v>
      </c>
      <c r="L201" s="1146">
        <v>0.49924706016053877</v>
      </c>
      <c r="M201" s="1146">
        <v>0.49924706016053877</v>
      </c>
      <c r="N201" s="1159">
        <v>0.49924706016053877</v>
      </c>
      <c r="O201" s="1159">
        <v>0.49924706016053877</v>
      </c>
      <c r="P201" s="1159">
        <v>0.49924706016053877</v>
      </c>
      <c r="Q201" s="1159">
        <v>0.49924706016053877</v>
      </c>
      <c r="R201" s="1159">
        <v>0.49924706016053877</v>
      </c>
      <c r="S201" s="1159">
        <v>0.49924706016053877</v>
      </c>
      <c r="T201" s="1159">
        <v>0.49924706016053877</v>
      </c>
      <c r="U201" s="1159">
        <v>0.49924706016053877</v>
      </c>
      <c r="V201" s="1159">
        <v>0.49924706016053877</v>
      </c>
      <c r="W201" s="1159">
        <v>0.49924706016053877</v>
      </c>
      <c r="X201" s="1159">
        <v>0.49924706016053877</v>
      </c>
      <c r="Y201" s="1159">
        <v>0.49924706016053877</v>
      </c>
      <c r="Z201" s="1159">
        <v>0.49924706016053877</v>
      </c>
      <c r="AA201" s="1159">
        <v>0.49924706016053877</v>
      </c>
      <c r="AB201" s="1159">
        <v>0.49924706016053877</v>
      </c>
    </row>
    <row r="202" spans="2:28">
      <c r="B202" s="1146" t="s">
        <v>947</v>
      </c>
      <c r="C202" s="1146">
        <v>0.53635125973762299</v>
      </c>
      <c r="D202" s="1146">
        <v>0.76805676031022962</v>
      </c>
      <c r="E202" s="1146">
        <v>2.3422491811647457</v>
      </c>
      <c r="F202" s="1146">
        <v>1.7338205205989183</v>
      </c>
      <c r="G202" s="1146">
        <v>1.3307505199192831</v>
      </c>
      <c r="H202" s="1146">
        <v>1.1300725625710768</v>
      </c>
      <c r="I202" s="1176">
        <v>1.268647504314413</v>
      </c>
      <c r="J202" s="1146">
        <v>1.268647504314413</v>
      </c>
      <c r="K202" s="1146">
        <v>1.268647504314413</v>
      </c>
      <c r="L202" s="1146">
        <v>1.268647504314413</v>
      </c>
      <c r="M202" s="1146">
        <v>1.268647504314413</v>
      </c>
      <c r="N202" s="1159">
        <v>1.268647504314413</v>
      </c>
      <c r="O202" s="1159">
        <v>1.268647504314413</v>
      </c>
      <c r="P202" s="1159">
        <v>1.268647504314413</v>
      </c>
      <c r="Q202" s="1159">
        <v>1.268647504314413</v>
      </c>
      <c r="R202" s="1159">
        <v>1.268647504314413</v>
      </c>
      <c r="S202" s="1159">
        <v>1.268647504314413</v>
      </c>
      <c r="T202" s="1159">
        <v>1.268647504314413</v>
      </c>
      <c r="U202" s="1159">
        <v>1.268647504314413</v>
      </c>
      <c r="V202" s="1159">
        <v>1.268647504314413</v>
      </c>
      <c r="W202" s="1159">
        <v>1.268647504314413</v>
      </c>
      <c r="X202" s="1159">
        <v>1.268647504314413</v>
      </c>
      <c r="Y202" s="1159">
        <v>1.268647504314413</v>
      </c>
      <c r="Z202" s="1159">
        <v>1.268647504314413</v>
      </c>
      <c r="AA202" s="1159">
        <v>1.268647504314413</v>
      </c>
      <c r="AB202" s="1159">
        <v>1.268647504314413</v>
      </c>
    </row>
    <row r="203" spans="2:28">
      <c r="B203" s="1146" t="s">
        <v>948</v>
      </c>
      <c r="C203" s="1146">
        <v>1.0653325705716308</v>
      </c>
      <c r="D203" s="1146">
        <v>2.411623002866043</v>
      </c>
      <c r="E203" s="1146">
        <v>0.77983522115441994</v>
      </c>
      <c r="F203" s="1146">
        <v>1.8519200136334486</v>
      </c>
      <c r="G203" s="1146">
        <v>-0.39049183520484154</v>
      </c>
      <c r="H203" s="1146">
        <v>2.0924242424394892</v>
      </c>
      <c r="I203" s="1176">
        <v>1.3802000806729524</v>
      </c>
      <c r="J203" s="1170">
        <v>1.2802000806729523</v>
      </c>
      <c r="K203" s="1170">
        <v>1.2802000806729523</v>
      </c>
      <c r="L203" s="1170">
        <v>1.2802000806729523</v>
      </c>
      <c r="M203" s="1170">
        <v>1.2802000806729523</v>
      </c>
      <c r="N203" s="1177">
        <v>1.2802000806729523</v>
      </c>
      <c r="O203" s="1177">
        <v>1.2802000806729523</v>
      </c>
      <c r="P203" s="1177">
        <v>1.2802000806729523</v>
      </c>
      <c r="Q203" s="1177">
        <v>1.2802000806729523</v>
      </c>
      <c r="R203" s="1177">
        <v>1.2802000806729523</v>
      </c>
      <c r="S203" s="1177">
        <v>1.2802000806729523</v>
      </c>
      <c r="T203" s="1177">
        <v>1.2802000806729523</v>
      </c>
      <c r="U203" s="1177">
        <v>1.2802000806729523</v>
      </c>
      <c r="V203" s="1177">
        <v>1.2802000806729523</v>
      </c>
      <c r="W203" s="1177">
        <v>1.2802000806729523</v>
      </c>
      <c r="X203" s="1177">
        <v>1.2802000806729523</v>
      </c>
      <c r="Y203" s="1177">
        <v>1.2802000806729523</v>
      </c>
      <c r="Z203" s="1177">
        <v>1.2802000806729523</v>
      </c>
      <c r="AA203" s="1177">
        <v>1.2802000806729523</v>
      </c>
      <c r="AB203" s="1177">
        <v>1.2802000806729523</v>
      </c>
    </row>
    <row r="204" spans="2:28">
      <c r="B204" s="1122" t="s">
        <v>949</v>
      </c>
      <c r="C204" s="1146">
        <v>1.3274708752380682</v>
      </c>
      <c r="D204" s="1146">
        <v>1.1412814140936001</v>
      </c>
      <c r="E204" s="1146">
        <v>0.97133949073039583</v>
      </c>
      <c r="F204" s="1146">
        <v>0.89500299656365634</v>
      </c>
      <c r="G204" s="1146">
        <v>2.5200552571347092</v>
      </c>
      <c r="H204" s="1146">
        <v>1.4544344561919083</v>
      </c>
      <c r="I204" s="1176">
        <v>1.309653446495612</v>
      </c>
      <c r="J204" s="1146">
        <v>1.309653446495612</v>
      </c>
      <c r="K204" s="1146">
        <v>1.309653446495612</v>
      </c>
      <c r="L204" s="1146">
        <v>1.309653446495612</v>
      </c>
      <c r="M204" s="1146">
        <v>1.309653446495612</v>
      </c>
      <c r="N204" s="1159">
        <v>1.309653446495612</v>
      </c>
      <c r="O204" s="1159">
        <v>1.309653446495612</v>
      </c>
      <c r="P204" s="1159">
        <v>1.309653446495612</v>
      </c>
      <c r="Q204" s="1159">
        <v>1.309653446495612</v>
      </c>
      <c r="R204" s="1159">
        <v>1.309653446495612</v>
      </c>
      <c r="S204" s="1159">
        <v>1.309653446495612</v>
      </c>
      <c r="T204" s="1159">
        <v>1.309653446495612</v>
      </c>
      <c r="U204" s="1159">
        <v>1.309653446495612</v>
      </c>
      <c r="V204" s="1159">
        <v>1.309653446495612</v>
      </c>
      <c r="W204" s="1159">
        <v>1.309653446495612</v>
      </c>
      <c r="X204" s="1159">
        <v>1.309653446495612</v>
      </c>
      <c r="Y204" s="1159">
        <v>1.309653446495612</v>
      </c>
      <c r="Z204" s="1159">
        <v>1.309653446495612</v>
      </c>
      <c r="AA204" s="1159">
        <v>1.309653446495612</v>
      </c>
      <c r="AB204" s="1159">
        <v>1.309653446495612</v>
      </c>
    </row>
    <row r="205" spans="2:28">
      <c r="B205" s="1146" t="s">
        <v>50</v>
      </c>
      <c r="C205" s="1146">
        <v>0.88041744196297578</v>
      </c>
      <c r="D205" s="1146">
        <v>1.1562158921726657</v>
      </c>
      <c r="E205" s="1146">
        <v>3.3465579765254589</v>
      </c>
      <c r="F205" s="1146">
        <v>1.5819887217112305</v>
      </c>
      <c r="G205" s="1146">
        <v>0.88873692758510348</v>
      </c>
      <c r="H205" s="1146">
        <v>0.93880194155372043</v>
      </c>
      <c r="I205" s="1176">
        <v>1.2564810335575261</v>
      </c>
      <c r="J205" s="1146">
        <v>1.2564810335575261</v>
      </c>
      <c r="K205" s="1146">
        <v>1.2564810335575261</v>
      </c>
      <c r="L205" s="1146">
        <v>1.2564810335575261</v>
      </c>
      <c r="M205" s="1146">
        <v>1.2564810335575261</v>
      </c>
      <c r="N205" s="1159">
        <v>1.2564810335575261</v>
      </c>
      <c r="O205" s="1159">
        <v>1.2564810335575261</v>
      </c>
      <c r="P205" s="1159">
        <v>1.2564810335575261</v>
      </c>
      <c r="Q205" s="1159">
        <v>1.2564810335575261</v>
      </c>
      <c r="R205" s="1159">
        <v>1.2564810335575261</v>
      </c>
      <c r="S205" s="1159">
        <v>1.2564810335575261</v>
      </c>
      <c r="T205" s="1159">
        <v>1.2564810335575261</v>
      </c>
      <c r="U205" s="1159">
        <v>1.2564810335575261</v>
      </c>
      <c r="V205" s="1159">
        <v>1.2564810335575261</v>
      </c>
      <c r="W205" s="1159">
        <v>1.2564810335575261</v>
      </c>
      <c r="X205" s="1159">
        <v>1.2564810335575261</v>
      </c>
      <c r="Y205" s="1159">
        <v>1.2564810335575261</v>
      </c>
      <c r="Z205" s="1159">
        <v>1.2564810335575261</v>
      </c>
      <c r="AA205" s="1159">
        <v>1.2564810335575261</v>
      </c>
      <c r="AB205" s="1159">
        <v>1.2564810335575261</v>
      </c>
    </row>
    <row r="206" spans="2:28">
      <c r="B206" s="1146" t="s">
        <v>950</v>
      </c>
      <c r="C206" s="1146">
        <v>-3.0091238468612943E-2</v>
      </c>
      <c r="D206" s="1146">
        <v>0.78382291461419262</v>
      </c>
      <c r="E206" s="1146">
        <v>4.5431067452674245</v>
      </c>
      <c r="F206" s="1146">
        <v>0.18493289873575849</v>
      </c>
      <c r="G206" s="1146">
        <v>1.239475101147872</v>
      </c>
      <c r="H206" s="1146">
        <v>1.450462198857158</v>
      </c>
      <c r="I206" s="1176">
        <v>1.1868002222866654</v>
      </c>
      <c r="J206" s="1146">
        <v>1.1868002222866654</v>
      </c>
      <c r="K206" s="1146">
        <v>1.1868002222866654</v>
      </c>
      <c r="L206" s="1146">
        <v>1.1868002222866654</v>
      </c>
      <c r="M206" s="1146">
        <v>1.1868002222866654</v>
      </c>
      <c r="N206" s="1159">
        <v>1.1868002222866654</v>
      </c>
      <c r="O206" s="1159">
        <v>1.1868002222866654</v>
      </c>
      <c r="P206" s="1159">
        <v>1.1868002222866654</v>
      </c>
      <c r="Q206" s="1159">
        <v>1.1868002222866654</v>
      </c>
      <c r="R206" s="1159">
        <v>1.1868002222866654</v>
      </c>
      <c r="S206" s="1159">
        <v>1.1868002222866654</v>
      </c>
      <c r="T206" s="1159">
        <v>1.1868002222866654</v>
      </c>
      <c r="U206" s="1159">
        <v>1.1868002222866654</v>
      </c>
      <c r="V206" s="1159">
        <v>1.1868002222866654</v>
      </c>
      <c r="W206" s="1159">
        <v>1.1868002222866654</v>
      </c>
      <c r="X206" s="1159">
        <v>1.1868002222866654</v>
      </c>
      <c r="Y206" s="1159">
        <v>1.1868002222866654</v>
      </c>
      <c r="Z206" s="1159">
        <v>1.1868002222866654</v>
      </c>
      <c r="AA206" s="1159">
        <v>1.1868002222866654</v>
      </c>
      <c r="AB206" s="1159">
        <v>1.1868002222866654</v>
      </c>
    </row>
    <row r="207" spans="2:28">
      <c r="B207" s="1146" t="s">
        <v>951</v>
      </c>
      <c r="C207" s="1146">
        <v>-4.3308775879362747E-3</v>
      </c>
      <c r="D207" s="1146">
        <v>0.1862449570521344</v>
      </c>
      <c r="E207" s="1146">
        <v>1.3877280794075655</v>
      </c>
      <c r="F207" s="1146">
        <v>0.46786685919266141</v>
      </c>
      <c r="G207" s="1146">
        <v>0.98904769810710891</v>
      </c>
      <c r="H207" s="1146">
        <v>1.4688026601333524</v>
      </c>
      <c r="I207" s="1176">
        <v>0.73884192068368315</v>
      </c>
      <c r="J207" s="1146">
        <v>0.73884192068368315</v>
      </c>
      <c r="K207" s="1146">
        <v>0.73884192068368315</v>
      </c>
      <c r="L207" s="1146">
        <v>0.73884192068368315</v>
      </c>
      <c r="M207" s="1146">
        <v>0.73884192068368315</v>
      </c>
      <c r="N207" s="1159">
        <v>0.73884192068368315</v>
      </c>
      <c r="O207" s="1159">
        <v>0.73884192068368315</v>
      </c>
      <c r="P207" s="1159">
        <v>0.73884192068368315</v>
      </c>
      <c r="Q207" s="1159">
        <v>0.73884192068368315</v>
      </c>
      <c r="R207" s="1159">
        <v>0.73884192068368315</v>
      </c>
      <c r="S207" s="1159">
        <v>0.73884192068368315</v>
      </c>
      <c r="T207" s="1159">
        <v>0.73884192068368315</v>
      </c>
      <c r="U207" s="1159">
        <v>0.73884192068368315</v>
      </c>
      <c r="V207" s="1159">
        <v>0.73884192068368315</v>
      </c>
      <c r="W207" s="1159">
        <v>0.73884192068368315</v>
      </c>
      <c r="X207" s="1159">
        <v>0.73884192068368315</v>
      </c>
      <c r="Y207" s="1159">
        <v>0.73884192068368315</v>
      </c>
      <c r="Z207" s="1159">
        <v>0.73884192068368315</v>
      </c>
      <c r="AA207" s="1159">
        <v>0.73884192068368315</v>
      </c>
      <c r="AB207" s="1159">
        <v>0.73884192068368315</v>
      </c>
    </row>
    <row r="208" spans="2:28">
      <c r="B208" s="1122"/>
      <c r="C208" s="1146"/>
      <c r="D208" s="1146"/>
      <c r="E208" s="1146"/>
      <c r="F208" s="1146"/>
      <c r="G208" s="1146"/>
      <c r="H208" s="1146"/>
      <c r="I208" s="1146"/>
      <c r="J208" s="1146"/>
      <c r="K208" s="1146"/>
      <c r="L208" s="1146"/>
      <c r="M208" s="1146"/>
      <c r="N208" s="1123"/>
      <c r="O208" s="1123"/>
      <c r="P208" s="1123"/>
      <c r="Q208" s="1123"/>
      <c r="R208" s="1123"/>
      <c r="S208" s="1123"/>
      <c r="T208" s="1123"/>
      <c r="U208" s="1123"/>
      <c r="V208" s="1123"/>
      <c r="W208" s="1123"/>
      <c r="X208" s="1123"/>
      <c r="Y208" s="1123"/>
      <c r="Z208" s="1123"/>
      <c r="AA208" s="1123"/>
      <c r="AB208" s="1123"/>
    </row>
    <row r="209" spans="2:28">
      <c r="B209" s="1178" t="s">
        <v>952</v>
      </c>
      <c r="C209" s="1178"/>
      <c r="D209" s="1178"/>
      <c r="E209" s="1178"/>
      <c r="F209" s="1178"/>
      <c r="G209" s="1178"/>
      <c r="H209" s="1178"/>
      <c r="I209" s="1122"/>
      <c r="J209" s="1122"/>
      <c r="K209" s="1122"/>
      <c r="L209" s="1122"/>
      <c r="M209" s="1122"/>
      <c r="N209" s="1123"/>
      <c r="O209" s="1123"/>
      <c r="P209" s="1123"/>
      <c r="Q209" s="1123"/>
      <c r="R209" s="1123"/>
      <c r="S209" s="1123"/>
      <c r="T209" s="1123"/>
      <c r="U209" s="1123"/>
      <c r="V209" s="1123"/>
      <c r="W209" s="1123"/>
      <c r="X209" s="1123"/>
      <c r="Y209" s="1123"/>
      <c r="Z209" s="1123"/>
      <c r="AA209" s="1123"/>
      <c r="AB209" s="1123"/>
    </row>
    <row r="210" spans="2:28">
      <c r="B210" s="1178" t="s">
        <v>953</v>
      </c>
      <c r="C210" s="1178"/>
      <c r="D210" s="1178"/>
      <c r="E210" s="1178"/>
      <c r="F210" s="1178"/>
      <c r="G210" s="1178"/>
      <c r="H210" s="1178"/>
      <c r="I210" s="1122"/>
      <c r="J210" s="1122"/>
      <c r="K210" s="1122"/>
      <c r="L210" s="1122"/>
      <c r="M210" s="1122"/>
      <c r="N210" s="1123"/>
      <c r="O210" s="1123"/>
      <c r="P210" s="1123"/>
      <c r="Q210" s="1123"/>
      <c r="R210" s="1123"/>
      <c r="S210" s="1123"/>
      <c r="T210" s="1123"/>
      <c r="U210" s="1123"/>
      <c r="V210" s="1123"/>
      <c r="W210" s="1123"/>
      <c r="X210" s="1123"/>
      <c r="Y210" s="1123"/>
      <c r="Z210" s="1123"/>
      <c r="AA210" s="1123"/>
      <c r="AB210" s="1123"/>
    </row>
    <row r="211" spans="2:28">
      <c r="B211" s="1179" t="s">
        <v>954</v>
      </c>
      <c r="C211" s="1179"/>
      <c r="D211" s="1179"/>
      <c r="E211" s="1179"/>
      <c r="F211" s="1179"/>
      <c r="G211" s="1179"/>
      <c r="H211" s="1179"/>
      <c r="I211" s="1122"/>
      <c r="J211" s="1122"/>
      <c r="K211" s="1122"/>
      <c r="L211" s="1122"/>
      <c r="M211" s="1122"/>
      <c r="N211" s="1123"/>
      <c r="O211" s="1123"/>
      <c r="P211" s="1123"/>
      <c r="Q211" s="1123"/>
      <c r="R211" s="1123"/>
      <c r="S211" s="1123"/>
      <c r="T211" s="1123"/>
      <c r="U211" s="1123"/>
      <c r="V211" s="1123"/>
      <c r="W211" s="1123"/>
      <c r="X211" s="1123"/>
      <c r="Y211" s="1123"/>
      <c r="Z211" s="1123"/>
      <c r="AA211" s="1123"/>
      <c r="AB211" s="1123"/>
    </row>
    <row r="212" spans="2:28">
      <c r="B212" s="1178" t="s">
        <v>955</v>
      </c>
      <c r="C212" s="1178"/>
      <c r="D212" s="1178"/>
      <c r="E212" s="1178"/>
      <c r="F212" s="1178"/>
      <c r="G212" s="1178"/>
      <c r="H212" s="1178"/>
      <c r="I212" s="1122"/>
      <c r="J212" s="1122"/>
      <c r="K212" s="1122"/>
      <c r="L212" s="1122"/>
      <c r="M212" s="1122"/>
      <c r="N212" s="1123"/>
      <c r="O212" s="1123"/>
      <c r="P212" s="1123"/>
      <c r="Q212" s="1123"/>
      <c r="R212" s="1123"/>
      <c r="S212" s="1123"/>
      <c r="T212" s="1123"/>
      <c r="U212" s="1123"/>
      <c r="V212" s="1123"/>
      <c r="W212" s="1123"/>
      <c r="X212" s="1123"/>
      <c r="Y212" s="1123"/>
      <c r="Z212" s="1123"/>
      <c r="AA212" s="1123"/>
      <c r="AB212" s="1123"/>
    </row>
    <row r="213" spans="2:28">
      <c r="B213" s="1178"/>
      <c r="C213" s="1178"/>
      <c r="D213" s="1178"/>
      <c r="E213" s="1178"/>
      <c r="F213" s="1178"/>
      <c r="G213" s="1178"/>
      <c r="H213" s="1178"/>
      <c r="I213" s="1122"/>
      <c r="J213" s="1122"/>
      <c r="K213" s="1122"/>
      <c r="L213" s="1122"/>
      <c r="M213" s="1122"/>
      <c r="N213" s="1123"/>
      <c r="O213" s="1123"/>
      <c r="P213" s="1123"/>
      <c r="Q213" s="1123"/>
      <c r="R213" s="1123"/>
      <c r="S213" s="1123"/>
      <c r="T213" s="1123"/>
      <c r="U213" s="1123"/>
      <c r="V213" s="1123"/>
      <c r="W213" s="1123"/>
      <c r="X213" s="1123"/>
      <c r="Y213" s="1123"/>
      <c r="Z213" s="1123"/>
      <c r="AA213" s="1123"/>
      <c r="AB213" s="1123"/>
    </row>
    <row r="214" spans="2:28">
      <c r="B214" s="1178" t="s">
        <v>956</v>
      </c>
      <c r="C214" s="1178">
        <v>345878.82363551157</v>
      </c>
      <c r="D214" s="1178">
        <v>407714.01370577491</v>
      </c>
      <c r="E214" s="1178">
        <v>509902.75805747678</v>
      </c>
      <c r="F214" s="1178">
        <v>637028.12202825083</v>
      </c>
      <c r="G214" s="1178">
        <v>848447.15393000003</v>
      </c>
      <c r="H214" s="1178">
        <v>1046862.7022571793</v>
      </c>
      <c r="I214" s="1178">
        <v>1240330.7598659135</v>
      </c>
      <c r="J214" s="1178">
        <v>1405290.2462683576</v>
      </c>
      <c r="K214" s="1178">
        <v>1585992.4291796985</v>
      </c>
      <c r="L214" s="1178">
        <v>1777821.5527251258</v>
      </c>
      <c r="M214" s="1178">
        <v>1977440.8290237843</v>
      </c>
      <c r="N214" s="1178">
        <v>2189348.5395960636</v>
      </c>
      <c r="O214" s="1178">
        <v>2424921.5677844044</v>
      </c>
      <c r="P214" s="1178">
        <v>2683906.6971380971</v>
      </c>
      <c r="Q214" s="1178">
        <v>2971333.2477203575</v>
      </c>
      <c r="R214" s="1178">
        <v>3302872.0768610281</v>
      </c>
      <c r="S214" s="1178">
        <v>3649548.8063153452</v>
      </c>
      <c r="T214" s="1178">
        <v>4043514.4629712515</v>
      </c>
      <c r="U214" s="1178">
        <v>4487889.3135663923</v>
      </c>
      <c r="V214" s="1178">
        <v>4981328.4016365577</v>
      </c>
      <c r="W214" s="1178">
        <v>5533623.7075051172</v>
      </c>
      <c r="X214" s="1178">
        <v>6152026.9346202929</v>
      </c>
      <c r="Y214" s="1178">
        <v>6830442.7935891673</v>
      </c>
      <c r="Z214" s="1178">
        <v>7569166.8828195753</v>
      </c>
      <c r="AA214" s="1178">
        <v>8366375.7323244987</v>
      </c>
      <c r="AB214" s="1178">
        <v>9218656.365228653</v>
      </c>
    </row>
    <row r="215" spans="2:28">
      <c r="B215" s="1178" t="s">
        <v>957</v>
      </c>
      <c r="C215" s="1127">
        <v>226009.97736727283</v>
      </c>
      <c r="D215" s="1127">
        <v>251322.83237026265</v>
      </c>
      <c r="E215" s="1127">
        <v>308368.09334999998</v>
      </c>
      <c r="F215" s="1127">
        <v>381418.04432999995</v>
      </c>
      <c r="G215" s="1127">
        <v>516093.89293000003</v>
      </c>
      <c r="H215" s="1127">
        <v>621704.29225717927</v>
      </c>
      <c r="I215" s="1127">
        <v>747715.15921203885</v>
      </c>
      <c r="J215" s="1127">
        <v>847396.09120311029</v>
      </c>
      <c r="K215" s="1127">
        <v>956599.15572146955</v>
      </c>
      <c r="L215" s="1127">
        <v>1070984.8673370213</v>
      </c>
      <c r="M215" s="1127">
        <v>1160819.172680778</v>
      </c>
      <c r="N215" s="1127">
        <v>1290984.0535669341</v>
      </c>
      <c r="O215" s="1127">
        <v>1417622.6641339951</v>
      </c>
      <c r="P215" s="1127">
        <v>1551134.3963594434</v>
      </c>
      <c r="Q215" s="1127">
        <v>1691624.077028506</v>
      </c>
      <c r="R215" s="1127">
        <v>1821769.2942025161</v>
      </c>
      <c r="S215" s="1127">
        <v>1962731.0303163382</v>
      </c>
      <c r="T215" s="1127">
        <v>2109906.9487444679</v>
      </c>
      <c r="U215" s="1127">
        <v>2262775.1655838867</v>
      </c>
      <c r="V215" s="1127">
        <v>2424092.7518055849</v>
      </c>
      <c r="W215" s="1127">
        <v>2583052.0964653986</v>
      </c>
      <c r="X215" s="1127">
        <v>2739014.9482565001</v>
      </c>
      <c r="Y215" s="1127">
        <v>2909546.8233888019</v>
      </c>
      <c r="Z215" s="1127">
        <v>3103013.3981240736</v>
      </c>
      <c r="AA215" s="1127">
        <v>3294076.8870005785</v>
      </c>
      <c r="AB215" s="1127">
        <v>3486180.6440682588</v>
      </c>
    </row>
    <row r="216" spans="2:28">
      <c r="B216" s="1146" t="s">
        <v>958</v>
      </c>
      <c r="C216" s="1178">
        <v>119868.84626823876</v>
      </c>
      <c r="D216" s="1178">
        <v>156391.18133551226</v>
      </c>
      <c r="E216" s="1178">
        <v>201534.6647074768</v>
      </c>
      <c r="F216" s="1178">
        <v>255610.07769825085</v>
      </c>
      <c r="G216" s="1178">
        <v>332353.261</v>
      </c>
      <c r="H216" s="1178">
        <v>425158.41000000003</v>
      </c>
      <c r="I216" s="1178">
        <v>492615.60065387457</v>
      </c>
      <c r="J216" s="1178">
        <v>557894.15506524721</v>
      </c>
      <c r="K216" s="1178">
        <v>629393.27345822915</v>
      </c>
      <c r="L216" s="1178">
        <v>706836.68538810441</v>
      </c>
      <c r="M216" s="1178">
        <v>816621.65634300653</v>
      </c>
      <c r="N216" s="1178">
        <v>898364.48602912924</v>
      </c>
      <c r="O216" s="1178">
        <v>1007298.9036504093</v>
      </c>
      <c r="P216" s="1178">
        <v>1132772.3007786539</v>
      </c>
      <c r="Q216" s="1178">
        <v>1279709.1706918515</v>
      </c>
      <c r="R216" s="1178">
        <v>1481102.7826585122</v>
      </c>
      <c r="S216" s="1178">
        <v>1686817.775999007</v>
      </c>
      <c r="T216" s="1178">
        <v>1933607.5142267833</v>
      </c>
      <c r="U216" s="1178">
        <v>2225114.1479825056</v>
      </c>
      <c r="V216" s="1178">
        <v>2557235.6498309737</v>
      </c>
      <c r="W216" s="1178">
        <v>2950571.6110397186</v>
      </c>
      <c r="X216" s="1178">
        <v>3413011.9863637928</v>
      </c>
      <c r="Y216" s="1178">
        <v>3920895.9702003663</v>
      </c>
      <c r="Z216" s="1178">
        <v>4466153.4846955007</v>
      </c>
      <c r="AA216" s="1178">
        <v>5072298.8453239193</v>
      </c>
      <c r="AB216" s="1178">
        <v>5732475.7211603941</v>
      </c>
    </row>
    <row r="217" spans="2:28">
      <c r="B217" s="1146"/>
      <c r="C217" s="1146"/>
      <c r="D217" s="1146"/>
      <c r="E217" s="1146"/>
      <c r="F217" s="1146"/>
      <c r="G217" s="1146"/>
      <c r="H217" s="1146"/>
      <c r="I217" s="1122"/>
      <c r="J217" s="1122"/>
      <c r="K217" s="1122"/>
      <c r="L217" s="1122"/>
      <c r="M217" s="1122"/>
      <c r="N217" s="1123"/>
      <c r="O217" s="1123"/>
      <c r="P217" s="1123"/>
      <c r="Q217" s="1123"/>
      <c r="R217" s="1123"/>
      <c r="S217" s="1123"/>
      <c r="T217" s="1123"/>
      <c r="U217" s="1123"/>
      <c r="V217" s="1123"/>
      <c r="W217" s="1123"/>
      <c r="X217" s="1123"/>
      <c r="Y217" s="1123"/>
      <c r="Z217" s="1123"/>
      <c r="AA217" s="1123"/>
      <c r="AB217" s="1123"/>
    </row>
    <row r="218" spans="2:28">
      <c r="B218" s="1146" t="s">
        <v>447</v>
      </c>
      <c r="C218" s="1146"/>
      <c r="D218" s="1146"/>
      <c r="E218" s="1146"/>
      <c r="F218" s="1146"/>
      <c r="G218" s="1146"/>
      <c r="H218" s="1146"/>
      <c r="I218" s="1122"/>
      <c r="J218" s="1122"/>
      <c r="K218" s="1122"/>
      <c r="L218" s="1122"/>
      <c r="M218" s="1122"/>
      <c r="N218" s="1123"/>
      <c r="O218" s="1123"/>
      <c r="P218" s="1123"/>
      <c r="Q218" s="1123"/>
      <c r="R218" s="1123"/>
      <c r="S218" s="1123"/>
      <c r="T218" s="1123"/>
      <c r="U218" s="1123"/>
      <c r="V218" s="1123"/>
      <c r="W218" s="1123"/>
      <c r="X218" s="1123"/>
      <c r="Y218" s="1123"/>
      <c r="Z218" s="1123"/>
      <c r="AA218" s="1123"/>
      <c r="AB218" s="1123"/>
    </row>
    <row r="219" spans="2:28">
      <c r="B219" s="1178" t="s">
        <v>959</v>
      </c>
      <c r="C219" s="1146">
        <v>41.214749382851728</v>
      </c>
      <c r="D219" s="1146">
        <v>41.848369150669981</v>
      </c>
      <c r="E219" s="1146">
        <v>44.583012073485882</v>
      </c>
      <c r="F219" s="1146">
        <v>42.896418948757599</v>
      </c>
      <c r="G219" s="1146">
        <v>51.160925086333791</v>
      </c>
      <c r="H219" s="1146">
        <v>52.847469079781128</v>
      </c>
      <c r="I219" s="1146">
        <v>51.513873092324729</v>
      </c>
      <c r="J219" s="1146">
        <v>51.021253149585398</v>
      </c>
      <c r="K219" s="1146">
        <v>50.143852358112817</v>
      </c>
      <c r="L219" s="1146">
        <v>49.080744875563589</v>
      </c>
      <c r="M219" s="1146">
        <v>47.887946415993639</v>
      </c>
      <c r="N219" s="1146">
        <v>46.700083850865767</v>
      </c>
      <c r="O219" s="1146">
        <v>45.640159981557154</v>
      </c>
      <c r="P219" s="1146">
        <v>44.572411870460456</v>
      </c>
      <c r="Q219" s="1146">
        <v>43.527152226160929</v>
      </c>
      <c r="R219" s="1146">
        <v>42.664342296488407</v>
      </c>
      <c r="S219" s="1146">
        <v>41.580557772502345</v>
      </c>
      <c r="T219" s="1146">
        <v>40.619446783748963</v>
      </c>
      <c r="U219" s="1146">
        <v>39.768424339098743</v>
      </c>
      <c r="V219" s="1146">
        <v>39.247955983238491</v>
      </c>
      <c r="W219" s="1146">
        <v>38.706666778646742</v>
      </c>
      <c r="X219" s="1146">
        <v>38.403018989558284</v>
      </c>
      <c r="Y219" s="1146">
        <v>38.058686615070712</v>
      </c>
      <c r="Z219" s="1146">
        <v>37.705665576685867</v>
      </c>
      <c r="AA219" s="1146">
        <v>37.304050516107459</v>
      </c>
      <c r="AB219" s="1146">
        <v>36.801068689251274</v>
      </c>
    </row>
    <row r="220" spans="2:28">
      <c r="B220" s="1178" t="s">
        <v>960</v>
      </c>
      <c r="C220" s="1146">
        <v>26.931237007537256</v>
      </c>
      <c r="D220" s="1146">
        <v>25.79614708218633</v>
      </c>
      <c r="E220" s="1146">
        <v>26.961961298807452</v>
      </c>
      <c r="F220" s="1146">
        <v>25.684059554704998</v>
      </c>
      <c r="G220" s="1146">
        <v>31.120195136967265</v>
      </c>
      <c r="H220" s="1146">
        <v>31.384725323566823</v>
      </c>
      <c r="I220" s="1146">
        <v>31.054380869358042</v>
      </c>
      <c r="J220" s="1146">
        <v>30.766036128159922</v>
      </c>
      <c r="K220" s="1146">
        <v>30.24451185760222</v>
      </c>
      <c r="L220" s="1146">
        <v>29.566935420927951</v>
      </c>
      <c r="M220" s="1146">
        <v>28.111711624482972</v>
      </c>
      <c r="N220" s="1146">
        <v>27.537444340785399</v>
      </c>
      <c r="O220" s="1146">
        <v>26.681491906425741</v>
      </c>
      <c r="P220" s="1146">
        <v>25.760135870108364</v>
      </c>
      <c r="Q220" s="1146">
        <v>24.78065318548493</v>
      </c>
      <c r="R220" s="1146">
        <v>23.532424794046477</v>
      </c>
      <c r="S220" s="1146">
        <v>22.362065923526597</v>
      </c>
      <c r="T220" s="1146">
        <v>21.195238401648172</v>
      </c>
      <c r="U220" s="1146">
        <v>20.051074498850426</v>
      </c>
      <c r="V220" s="1146">
        <v>19.09946061594648</v>
      </c>
      <c r="W220" s="1146">
        <v>18.067968126233239</v>
      </c>
      <c r="X220" s="1146">
        <v>17.097851519252252</v>
      </c>
      <c r="Y220" s="1146">
        <v>16.21176460875418</v>
      </c>
      <c r="Z220" s="1146">
        <v>15.457604156569746</v>
      </c>
      <c r="AA220" s="1146">
        <v>14.687651442887105</v>
      </c>
      <c r="AB220" s="1146">
        <v>13.916905920195029</v>
      </c>
    </row>
    <row r="221" spans="2:28">
      <c r="B221" s="1146" t="s">
        <v>961</v>
      </c>
      <c r="C221" s="1146">
        <v>14.283512375314475</v>
      </c>
      <c r="D221" s="1146">
        <v>16.052222068483651</v>
      </c>
      <c r="E221" s="1146">
        <v>17.621050774678423</v>
      </c>
      <c r="F221" s="1146">
        <v>17.212359394052601</v>
      </c>
      <c r="G221" s="1146">
        <v>20.040729949366526</v>
      </c>
      <c r="H221" s="1146">
        <v>21.462743756214305</v>
      </c>
      <c r="I221" s="1146">
        <v>20.459492222966684</v>
      </c>
      <c r="J221" s="1146">
        <v>20.255217021425469</v>
      </c>
      <c r="K221" s="1146">
        <v>19.899340500510604</v>
      </c>
      <c r="L221" s="1146">
        <v>19.513809454635631</v>
      </c>
      <c r="M221" s="1146">
        <v>19.776234791510671</v>
      </c>
      <c r="N221" s="1146">
        <v>19.162639510080357</v>
      </c>
      <c r="O221" s="1146">
        <v>18.958668075131413</v>
      </c>
      <c r="P221" s="1146">
        <v>18.812276000352089</v>
      </c>
      <c r="Q221" s="1146">
        <v>18.746499040675996</v>
      </c>
      <c r="R221" s="1146">
        <v>19.131917502441933</v>
      </c>
      <c r="S221" s="1146">
        <v>19.218491848975745</v>
      </c>
      <c r="T221" s="1146">
        <v>19.424208382100783</v>
      </c>
      <c r="U221" s="1146">
        <v>19.717349840248318</v>
      </c>
      <c r="V221" s="1146">
        <v>20.148495367292018</v>
      </c>
      <c r="W221" s="1146">
        <v>20.638698652413499</v>
      </c>
      <c r="X221" s="1146">
        <v>21.305167470306028</v>
      </c>
      <c r="Y221" s="1146">
        <v>21.846922006316536</v>
      </c>
      <c r="Z221" s="1146">
        <v>22.24806142011612</v>
      </c>
      <c r="AA221" s="1146">
        <v>22.61639907322035</v>
      </c>
      <c r="AB221" s="1146">
        <v>22.884162769056243</v>
      </c>
    </row>
    <row r="222" spans="2:28">
      <c r="B222" s="1146" t="s">
        <v>962</v>
      </c>
      <c r="C222" s="1146">
        <v>34.656312580314832</v>
      </c>
      <c r="D222" s="1146">
        <v>38.358058854550755</v>
      </c>
      <c r="E222" s="1146">
        <v>39.524137009033311</v>
      </c>
      <c r="F222" s="1146">
        <v>40.12539931273475</v>
      </c>
      <c r="G222" s="1146">
        <v>39.17194600282911</v>
      </c>
      <c r="H222" s="1146">
        <v>40.612623707320957</v>
      </c>
      <c r="I222" s="1146">
        <v>39.716470524937158</v>
      </c>
      <c r="J222" s="1146">
        <v>39.699567868395377</v>
      </c>
      <c r="K222" s="1146">
        <v>39.684506803337129</v>
      </c>
      <c r="L222" s="1146">
        <v>39.758584561236354</v>
      </c>
      <c r="M222" s="1146">
        <v>41.29689467098509</v>
      </c>
      <c r="N222" s="1146">
        <v>41.033415638556939</v>
      </c>
      <c r="O222" s="1146">
        <v>41.539442637344983</v>
      </c>
      <c r="P222" s="1146">
        <v>42.206098370951246</v>
      </c>
      <c r="Q222" s="1146">
        <v>43.068517194214401</v>
      </c>
      <c r="R222" s="1146">
        <v>44.842874570731709</v>
      </c>
      <c r="S222" s="1146">
        <v>46.219899103145593</v>
      </c>
      <c r="T222" s="1146">
        <v>47.819972747319703</v>
      </c>
      <c r="U222" s="1146">
        <v>49.580415035108636</v>
      </c>
      <c r="V222" s="1146">
        <v>51.336419598250615</v>
      </c>
      <c r="W222" s="1146">
        <v>53.320785203336662</v>
      </c>
      <c r="X222" s="1146">
        <v>55.477845312366895</v>
      </c>
      <c r="Y222" s="1146">
        <v>57.403247325054714</v>
      </c>
      <c r="Z222" s="1146">
        <v>59.004558280155436</v>
      </c>
      <c r="AA222" s="1146">
        <v>60.627193991855791</v>
      </c>
      <c r="AB222" s="1146">
        <v>62.183419080272984</v>
      </c>
    </row>
    <row r="223" spans="2:28">
      <c r="B223" s="1146" t="s">
        <v>963</v>
      </c>
      <c r="C223" s="1146">
        <v>151.50919388823445</v>
      </c>
      <c r="D223" s="1146">
        <v>145.88724942240185</v>
      </c>
      <c r="E223" s="1146">
        <v>155.50054132360367</v>
      </c>
      <c r="F223" s="1146">
        <v>147.96198265605602</v>
      </c>
      <c r="G223" s="1146">
        <v>191.8083907957888</v>
      </c>
      <c r="H223" s="1146">
        <v>187.6142813187092</v>
      </c>
      <c r="I223" s="1146">
        <v>185.39926851252207</v>
      </c>
      <c r="J223" s="1146">
        <v>181.58725871046542</v>
      </c>
      <c r="K223" s="1146">
        <v>178.27200052572186</v>
      </c>
      <c r="L223" s="1146">
        <v>173.72665288124915</v>
      </c>
      <c r="M223" s="1146">
        <v>168.23573183449116</v>
      </c>
      <c r="N223" s="1146">
        <v>164.35060977818276</v>
      </c>
      <c r="O223" s="1146">
        <v>161.58004336920987</v>
      </c>
      <c r="P223" s="1146">
        <v>158.43830015373959</v>
      </c>
      <c r="Q223" s="1146">
        <v>155.46542889075138</v>
      </c>
      <c r="R223" s="1146">
        <v>153.14956402219568</v>
      </c>
      <c r="S223" s="1146">
        <v>150.00894173954183</v>
      </c>
      <c r="T223" s="1146">
        <v>147.19509310512578</v>
      </c>
      <c r="U223" s="1146">
        <v>144.64133243874059</v>
      </c>
      <c r="V223" s="1146">
        <v>143.07990773004317</v>
      </c>
      <c r="W223" s="1146">
        <v>141.27250491647038</v>
      </c>
      <c r="X223" s="1146">
        <v>140.17595134620447</v>
      </c>
      <c r="Y223" s="1146">
        <v>138.79198982095107</v>
      </c>
      <c r="Z223" s="1146">
        <v>137.2391128018225</v>
      </c>
      <c r="AA223" s="1146">
        <v>135.38206602655129</v>
      </c>
      <c r="AB223" s="1146">
        <v>133.04089152489138</v>
      </c>
    </row>
    <row r="224" spans="2:28">
      <c r="B224" s="1146" t="s">
        <v>964</v>
      </c>
      <c r="C224" s="1146">
        <v>6621</v>
      </c>
      <c r="D224" s="1146">
        <v>7965</v>
      </c>
      <c r="E224" s="1146">
        <v>12660</v>
      </c>
      <c r="F224" s="1146">
        <v>16730</v>
      </c>
      <c r="G224" s="1146">
        <v>23880</v>
      </c>
      <c r="H224" s="1146">
        <v>25380</v>
      </c>
      <c r="I224" s="1146">
        <v>35760</v>
      </c>
      <c r="J224" s="1122"/>
      <c r="K224" s="1122"/>
      <c r="L224" s="1122"/>
      <c r="M224" s="1122"/>
      <c r="N224" s="1123"/>
      <c r="O224" s="1123"/>
      <c r="P224" s="1123"/>
      <c r="Q224" s="1123"/>
      <c r="R224" s="1123"/>
      <c r="S224" s="1123"/>
      <c r="T224" s="1123"/>
      <c r="U224" s="1123"/>
      <c r="V224" s="1123"/>
      <c r="W224" s="1123"/>
      <c r="X224" s="1123"/>
      <c r="Y224" s="1123"/>
      <c r="Z224" s="1123"/>
      <c r="AA224" s="1123"/>
      <c r="AB224" s="1123"/>
    </row>
    <row r="225" spans="2:28">
      <c r="B225" s="1146" t="s">
        <v>965</v>
      </c>
      <c r="C225" s="1170">
        <v>3419.5899999999997</v>
      </c>
      <c r="D225" s="1170">
        <v>4557.8</v>
      </c>
      <c r="E225" s="1170">
        <v>5086.9299999999994</v>
      </c>
      <c r="F225" s="1170">
        <v>4937.7700000000004</v>
      </c>
      <c r="G225" s="1170">
        <v>5737.3749999999991</v>
      </c>
      <c r="H225" s="1170">
        <v>8348.0618385386606</v>
      </c>
      <c r="I225" s="1170">
        <v>10145.347739004696</v>
      </c>
      <c r="J225" s="1122"/>
      <c r="K225" s="1122"/>
      <c r="L225" s="1122"/>
      <c r="M225" s="1122"/>
      <c r="N225" s="1123"/>
      <c r="O225" s="1123"/>
      <c r="P225" s="1123"/>
      <c r="Q225" s="1123"/>
      <c r="R225" s="1123"/>
      <c r="S225" s="1123"/>
      <c r="T225" s="1123"/>
      <c r="U225" s="1123"/>
      <c r="V225" s="1123"/>
      <c r="W225" s="1123"/>
      <c r="X225" s="1123"/>
      <c r="Y225" s="1123"/>
      <c r="Z225" s="1123"/>
      <c r="AA225" s="1123"/>
      <c r="AB225" s="1123"/>
    </row>
    <row r="226" spans="2:28">
      <c r="B226" s="1146" t="s">
        <v>966</v>
      </c>
      <c r="C226" s="1146">
        <v>3201.4100000000003</v>
      </c>
      <c r="D226" s="1146">
        <v>3407.2</v>
      </c>
      <c r="E226" s="1146">
        <v>7573.0700000000006</v>
      </c>
      <c r="F226" s="1146">
        <v>11792.23</v>
      </c>
      <c r="G226" s="1146">
        <v>18142.625</v>
      </c>
      <c r="H226" s="1146">
        <v>17031.938161461338</v>
      </c>
      <c r="I226" s="1146">
        <v>25614.652260995303</v>
      </c>
      <c r="J226" s="1122"/>
      <c r="K226" s="1122"/>
      <c r="L226" s="1122"/>
      <c r="M226" s="1122"/>
      <c r="N226" s="1123"/>
      <c r="O226" s="1123"/>
      <c r="P226" s="1123"/>
      <c r="Q226" s="1123"/>
      <c r="R226" s="1123"/>
      <c r="S226" s="1123"/>
      <c r="T226" s="1123"/>
      <c r="U226" s="1123"/>
      <c r="V226" s="1123"/>
      <c r="W226" s="1123"/>
      <c r="X226" s="1123"/>
      <c r="Y226" s="1123"/>
      <c r="Z226" s="1123"/>
      <c r="AA226" s="1123"/>
      <c r="AB226" s="1123"/>
    </row>
    <row r="227" spans="2:28">
      <c r="B227" s="1146" t="s">
        <v>967</v>
      </c>
      <c r="C227" s="1146">
        <v>1.7149546001122071</v>
      </c>
      <c r="D227" s="1146">
        <v>2.1545877920778556</v>
      </c>
      <c r="E227" s="1146">
        <v>2.1669197106296583</v>
      </c>
      <c r="F227" s="1146">
        <v>1.7850165844477142</v>
      </c>
      <c r="G227" s="1146">
        <v>1.7348695554374503</v>
      </c>
      <c r="H227" s="1146"/>
      <c r="I227" s="1122"/>
      <c r="J227" s="1122"/>
      <c r="K227" s="1122"/>
      <c r="L227" s="1122"/>
      <c r="M227" s="1122"/>
      <c r="N227" s="1123"/>
      <c r="O227" s="1123"/>
      <c r="P227" s="1123"/>
      <c r="Q227" s="1123"/>
      <c r="R227" s="1123"/>
      <c r="S227" s="1123"/>
      <c r="T227" s="1123"/>
      <c r="U227" s="1123"/>
      <c r="V227" s="1123"/>
      <c r="W227" s="1123"/>
      <c r="X227" s="1123"/>
      <c r="Y227" s="1123"/>
      <c r="Z227" s="1123"/>
      <c r="AA227" s="1123"/>
      <c r="AB227" s="1123"/>
    </row>
    <row r="228" spans="2:28">
      <c r="B228" s="1146" t="s">
        <v>968</v>
      </c>
      <c r="C228" s="1146"/>
      <c r="D228" s="1180"/>
      <c r="E228" s="1180"/>
      <c r="F228" s="1180"/>
      <c r="G228" s="1180"/>
      <c r="H228" s="1146"/>
      <c r="I228" s="1122"/>
      <c r="J228" s="1122"/>
      <c r="K228" s="1122"/>
      <c r="L228" s="1122"/>
      <c r="M228" s="1122"/>
      <c r="N228" s="1123"/>
      <c r="O228" s="1123"/>
      <c r="P228" s="1123"/>
      <c r="Q228" s="1123"/>
      <c r="R228" s="1123"/>
      <c r="S228" s="1123"/>
      <c r="T228" s="1123"/>
      <c r="U228" s="1123"/>
      <c r="V228" s="1123"/>
      <c r="W228" s="1123"/>
      <c r="X228" s="1123"/>
      <c r="Y228" s="1123"/>
      <c r="Z228" s="1123"/>
      <c r="AA228" s="1123"/>
      <c r="AB228" s="1123"/>
    </row>
    <row r="229" spans="2:28">
      <c r="B229" s="1146"/>
      <c r="C229" s="1146"/>
      <c r="D229" s="1146"/>
      <c r="E229" s="1146"/>
      <c r="F229" s="1146"/>
      <c r="G229" s="1146"/>
      <c r="H229" s="1146"/>
      <c r="I229" s="1122"/>
      <c r="J229" s="1122"/>
      <c r="K229" s="1122"/>
      <c r="L229" s="1122"/>
      <c r="M229" s="1122"/>
      <c r="N229" s="1123"/>
      <c r="O229" s="1123"/>
      <c r="P229" s="1123"/>
      <c r="Q229" s="1123"/>
      <c r="R229" s="1123"/>
      <c r="S229" s="1123"/>
      <c r="T229" s="1123"/>
      <c r="U229" s="1123"/>
      <c r="V229" s="1123"/>
      <c r="W229" s="1123"/>
      <c r="X229" s="1123"/>
      <c r="Y229" s="1123"/>
      <c r="Z229" s="1123"/>
      <c r="AA229" s="1123"/>
      <c r="AB229" s="1123"/>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sheetPr>
    <tabColor rgb="FFFFFF00"/>
  </sheetPr>
  <dimension ref="A1:R103"/>
  <sheetViews>
    <sheetView workbookViewId="0">
      <pane xSplit="2" ySplit="3" topLeftCell="C73" activePane="bottomRight" state="frozen"/>
      <selection pane="topRight" activeCell="C1" sqref="C1"/>
      <selection pane="bottomLeft" activeCell="A4" sqref="A4"/>
      <selection pane="bottomRight" activeCell="A97" sqref="A97"/>
    </sheetView>
  </sheetViews>
  <sheetFormatPr defaultColWidth="9.140625" defaultRowHeight="15"/>
  <cols>
    <col min="1" max="1" width="45.42578125" customWidth="1"/>
    <col min="3" max="18" width="15.7109375" customWidth="1"/>
  </cols>
  <sheetData>
    <row r="1" spans="1:18">
      <c r="A1" t="s">
        <v>1016</v>
      </c>
    </row>
    <row r="2" spans="1:18">
      <c r="A2" t="s">
        <v>1023</v>
      </c>
    </row>
    <row r="3" spans="1:18">
      <c r="C3">
        <v>2005</v>
      </c>
      <c r="D3">
        <f>C3+1</f>
        <v>2006</v>
      </c>
      <c r="E3">
        <f t="shared" ref="E3:R3" si="0">D3+1</f>
        <v>2007</v>
      </c>
      <c r="F3">
        <f t="shared" si="0"/>
        <v>2008</v>
      </c>
      <c r="G3">
        <f t="shared" si="0"/>
        <v>2009</v>
      </c>
      <c r="H3">
        <f t="shared" si="0"/>
        <v>2010</v>
      </c>
      <c r="I3">
        <f t="shared" si="0"/>
        <v>2011</v>
      </c>
      <c r="J3">
        <f t="shared" si="0"/>
        <v>2012</v>
      </c>
      <c r="K3">
        <f t="shared" si="0"/>
        <v>2013</v>
      </c>
      <c r="L3">
        <f t="shared" si="0"/>
        <v>2014</v>
      </c>
      <c r="M3">
        <f t="shared" si="0"/>
        <v>2015</v>
      </c>
      <c r="N3">
        <f t="shared" si="0"/>
        <v>2016</v>
      </c>
      <c r="O3">
        <f t="shared" si="0"/>
        <v>2017</v>
      </c>
      <c r="P3">
        <f t="shared" si="0"/>
        <v>2018</v>
      </c>
      <c r="Q3">
        <f t="shared" si="0"/>
        <v>2019</v>
      </c>
      <c r="R3">
        <f t="shared" si="0"/>
        <v>2020</v>
      </c>
    </row>
    <row r="4" spans="1:18">
      <c r="A4" t="s">
        <v>876</v>
      </c>
      <c r="C4" s="1321">
        <f>C5+C8</f>
        <v>255907480</v>
      </c>
      <c r="D4" s="1321">
        <f t="shared" ref="D4:R4" si="1">D5+D8</f>
        <v>281466000</v>
      </c>
      <c r="E4" s="1321">
        <f t="shared" si="1"/>
        <v>356931178.92699999</v>
      </c>
      <c r="F4" s="1321">
        <f t="shared" si="1"/>
        <v>448286780.48000002</v>
      </c>
      <c r="G4" s="1321">
        <f t="shared" si="1"/>
        <v>591473799.04999995</v>
      </c>
      <c r="H4" s="1321">
        <f t="shared" si="1"/>
        <v>685042000</v>
      </c>
      <c r="I4" s="1321">
        <f t="shared" si="1"/>
        <v>763802586.29371738</v>
      </c>
      <c r="J4" s="1321">
        <f t="shared" si="1"/>
        <v>877373099.71108425</v>
      </c>
      <c r="K4" s="1321">
        <f t="shared" si="1"/>
        <v>1002389012.8821764</v>
      </c>
      <c r="L4" s="1321">
        <f t="shared" si="1"/>
        <v>1144676302.8963153</v>
      </c>
      <c r="M4" s="1321">
        <f t="shared" si="1"/>
        <v>1300851167.6789529</v>
      </c>
      <c r="N4" s="1321">
        <f t="shared" si="1"/>
        <v>1469895442.2769578</v>
      </c>
      <c r="O4" s="1321">
        <f t="shared" si="1"/>
        <v>1661713214.4005201</v>
      </c>
      <c r="P4" s="1321">
        <f t="shared" si="1"/>
        <v>1874029225.4743962</v>
      </c>
      <c r="Q4" s="1321">
        <f t="shared" si="1"/>
        <v>2114604066.9078872</v>
      </c>
      <c r="R4" s="1321">
        <f t="shared" si="1"/>
        <v>2387002378.7881994</v>
      </c>
    </row>
    <row r="5" spans="1:18">
      <c r="A5" t="s">
        <v>1017</v>
      </c>
      <c r="C5" s="1321">
        <f>C6+C7</f>
        <v>249286480</v>
      </c>
      <c r="D5" s="1321">
        <f t="shared" ref="D5:R5" si="2">D6+D7</f>
        <v>273501000</v>
      </c>
      <c r="E5" s="1321">
        <f t="shared" si="2"/>
        <v>344271178.92699999</v>
      </c>
      <c r="F5" s="1321">
        <f t="shared" si="2"/>
        <v>431556780.48000002</v>
      </c>
      <c r="G5" s="1321">
        <f t="shared" si="2"/>
        <v>567593799.04999995</v>
      </c>
      <c r="H5" s="1321">
        <f t="shared" si="2"/>
        <v>659662000</v>
      </c>
      <c r="I5" s="1321">
        <f t="shared" si="2"/>
        <v>728042586.29371738</v>
      </c>
      <c r="J5" s="1321">
        <f t="shared" si="2"/>
        <v>830794471.22109962</v>
      </c>
      <c r="K5" s="1321">
        <f t="shared" si="2"/>
        <v>952326196.48296762</v>
      </c>
      <c r="L5" s="1321">
        <f t="shared" si="2"/>
        <v>1088722372.9060817</v>
      </c>
      <c r="M5" s="1321">
        <f t="shared" si="2"/>
        <v>1240411436.003449</v>
      </c>
      <c r="N5" s="1321">
        <f t="shared" si="2"/>
        <v>1403722580.9871747</v>
      </c>
      <c r="O5" s="1321">
        <f t="shared" si="2"/>
        <v>1585768175.0625098</v>
      </c>
      <c r="P5" s="1321">
        <f t="shared" si="2"/>
        <v>1785727907.503027</v>
      </c>
      <c r="Q5" s="1321">
        <f t="shared" si="2"/>
        <v>2011722861.3888168</v>
      </c>
      <c r="R5" s="1321">
        <f t="shared" si="2"/>
        <v>2268213729.05655</v>
      </c>
    </row>
    <row r="6" spans="1:18">
      <c r="A6" t="s">
        <v>1018</v>
      </c>
      <c r="C6" s="1321">
        <f>'GGO(SQ) (SQ and Post SPF)'!C177</f>
        <v>143272000</v>
      </c>
      <c r="D6" s="1321">
        <f>'GGO(SQ) (SQ and Post SPF)'!D177</f>
        <v>172104000</v>
      </c>
      <c r="E6" s="1321">
        <f>'GGO(SQ) (SQ and Post SPF)'!E177</f>
        <v>219158678.92699999</v>
      </c>
      <c r="F6" s="1321">
        <f>'GGO(SQ) (SQ and Post SPF)'!F177</f>
        <v>275640000</v>
      </c>
      <c r="G6" s="1321">
        <f>'GGO(SQ) (SQ and Post SPF)'!G177</f>
        <v>323201000</v>
      </c>
      <c r="H6" s="1321">
        <f>'GGO(SQ) (SQ and Post SPF)'!H177</f>
        <v>391679999.99999994</v>
      </c>
      <c r="I6" s="1321">
        <f>'GGO(SQ) (SQ and Post SPF)'!I177</f>
        <v>489755590.32497692</v>
      </c>
      <c r="J6" s="1321">
        <f>'GGO(SQ) (SQ and Post SPF)'!J177</f>
        <v>560248886.65260875</v>
      </c>
      <c r="K6" s="1321">
        <f>'GGO(SQ) (SQ and Post SPF)'!K177</f>
        <v>643353258.95522738</v>
      </c>
      <c r="L6" s="1321">
        <f>'GGO(SQ) (SQ and Post SPF)'!L177</f>
        <v>736788965.7197628</v>
      </c>
      <c r="M6" s="1321">
        <f>'GGO(SQ) (SQ and Post SPF)'!M177</f>
        <v>839930544.49714053</v>
      </c>
      <c r="N6" s="1321">
        <f>'GGO(SQ) (SQ and Post SPF)'!N177</f>
        <v>953593620.36742365</v>
      </c>
      <c r="O6" s="1321">
        <f>'GGO(SQ) (SQ and Post SPF)'!O177</f>
        <v>1080728562.6913521</v>
      </c>
      <c r="P6" s="1321">
        <f>'GGO(SQ) (SQ and Post SPF)'!P177</f>
        <v>1224806184.2757998</v>
      </c>
      <c r="Q6" s="1321">
        <f>'GGO(SQ) (SQ and Post SPF)'!Q177</f>
        <v>1388536178.0903809</v>
      </c>
      <c r="R6" s="1321">
        <f>'GGO(SQ) (SQ and Post SPF)'!R177</f>
        <v>1574681734.1737673</v>
      </c>
    </row>
    <row r="7" spans="1:18">
      <c r="A7" t="s">
        <v>1025</v>
      </c>
      <c r="C7" s="1321">
        <f>'GGO(SQ) (SQ and Post SPF)'!C180+'GGO(SQ) (SQ and Post SPF)'!C182</f>
        <v>106014479.99999999</v>
      </c>
      <c r="D7" s="1321">
        <f>'GGO(SQ) (SQ and Post SPF)'!D180+'GGO(SQ) (SQ and Post SPF)'!D182</f>
        <v>101397000</v>
      </c>
      <c r="E7" s="1321">
        <f>'GGO(SQ) (SQ and Post SPF)'!E180+'GGO(SQ) (SQ and Post SPF)'!E182</f>
        <v>125112500</v>
      </c>
      <c r="F7" s="1321">
        <f>'GGO(SQ) (SQ and Post SPF)'!F180+'GGO(SQ) (SQ and Post SPF)'!F182</f>
        <v>155916780.47999999</v>
      </c>
      <c r="G7" s="1321">
        <f>'GGO(SQ) (SQ and Post SPF)'!G180+'GGO(SQ) (SQ and Post SPF)'!G182</f>
        <v>244392799.05000001</v>
      </c>
      <c r="H7" s="1321">
        <f>'GGO(SQ) (SQ and Post SPF)'!H180+'GGO(SQ) (SQ and Post SPF)'!H182</f>
        <v>267982000</v>
      </c>
      <c r="I7" s="1321">
        <f>'GGO(SQ) (SQ and Post SPF)'!I180+'GGO(SQ) (SQ and Post SPF)'!I182</f>
        <v>238286995.9687404</v>
      </c>
      <c r="J7" s="1321">
        <f>'GGO(SQ) (SQ and Post SPF)'!J180+'GGO(SQ) (SQ and Post SPF)'!J182</f>
        <v>270545584.5684908</v>
      </c>
      <c r="K7" s="1321">
        <f>'GGO(SQ) (SQ and Post SPF)'!K180+'GGO(SQ) (SQ and Post SPF)'!K182</f>
        <v>308972937.52774018</v>
      </c>
      <c r="L7" s="1321">
        <f>'GGO(SQ) (SQ and Post SPF)'!L180+'GGO(SQ) (SQ and Post SPF)'!L182</f>
        <v>351933407.18631893</v>
      </c>
      <c r="M7" s="1321">
        <f>'GGO(SQ) (SQ and Post SPF)'!M180+'GGO(SQ) (SQ and Post SPF)'!M182</f>
        <v>400480891.50630856</v>
      </c>
      <c r="N7" s="1321">
        <f>'GGO(SQ) (SQ and Post SPF)'!N180+'GGO(SQ) (SQ and Post SPF)'!N182</f>
        <v>450128960.6197511</v>
      </c>
      <c r="O7" s="1321">
        <f>'GGO(SQ) (SQ and Post SPF)'!O180+'GGO(SQ) (SQ and Post SPF)'!O182</f>
        <v>505039612.37115771</v>
      </c>
      <c r="P7" s="1321">
        <f>'GGO(SQ) (SQ and Post SPF)'!P180+'GGO(SQ) (SQ and Post SPF)'!P182</f>
        <v>560921723.22722721</v>
      </c>
      <c r="Q7" s="1321">
        <f>'GGO(SQ) (SQ and Post SPF)'!Q180+'GGO(SQ) (SQ and Post SPF)'!Q182</f>
        <v>623186683.29843593</v>
      </c>
      <c r="R7" s="1321">
        <f>'GGO(SQ) (SQ and Post SPF)'!R180+'GGO(SQ) (SQ and Post SPF)'!R182</f>
        <v>693531994.8827827</v>
      </c>
    </row>
    <row r="8" spans="1:18">
      <c r="A8" t="s">
        <v>1019</v>
      </c>
      <c r="C8" s="1321">
        <f>'GGO(SQ) (SQ and Post SPF)'!C178</f>
        <v>6621000</v>
      </c>
      <c r="D8" s="1321">
        <f>'GGO(SQ) (SQ and Post SPF)'!D178</f>
        <v>7965000</v>
      </c>
      <c r="E8" s="1321">
        <f>'GGO(SQ) (SQ and Post SPF)'!E178</f>
        <v>12660000</v>
      </c>
      <c r="F8" s="1321">
        <f>'GGO(SQ) (SQ and Post SPF)'!F178</f>
        <v>16730000</v>
      </c>
      <c r="G8" s="1321">
        <f>'GGO(SQ) (SQ and Post SPF)'!G178</f>
        <v>23880000</v>
      </c>
      <c r="H8" s="1321">
        <f>'GGO(SQ) (SQ and Post SPF)'!H178</f>
        <v>25380000</v>
      </c>
      <c r="I8" s="1321">
        <f>'GGO(SQ) (SQ and Post SPF)'!I178</f>
        <v>35760000</v>
      </c>
      <c r="J8" s="1321">
        <f>'GGO(SQ) (SQ and Post SPF)'!J178</f>
        <v>46578628.489984632</v>
      </c>
      <c r="K8" s="1321">
        <f>'GGO(SQ) (SQ and Post SPF)'!K178</f>
        <v>50062816.399208806</v>
      </c>
      <c r="L8" s="1321">
        <f>'GGO(SQ) (SQ and Post SPF)'!L178</f>
        <v>55953929.990233548</v>
      </c>
      <c r="M8" s="1321">
        <f>'GGO(SQ) (SQ and Post SPF)'!M178</f>
        <v>60439731.675504081</v>
      </c>
      <c r="N8" s="1321">
        <f>'GGO(SQ) (SQ and Post SPF)'!N178</f>
        <v>66172861.289782986</v>
      </c>
      <c r="O8" s="1321">
        <f>'GGO(SQ) (SQ and Post SPF)'!O178</f>
        <v>75945039.338010356</v>
      </c>
      <c r="P8" s="1321">
        <f>'GGO(SQ) (SQ and Post SPF)'!P178</f>
        <v>88301317.971369386</v>
      </c>
      <c r="Q8" s="1321">
        <f>'GGO(SQ) (SQ and Post SPF)'!Q178</f>
        <v>102881205.51907033</v>
      </c>
      <c r="R8" s="1321">
        <f>'GGO(SQ) (SQ and Post SPF)'!R178</f>
        <v>118788649.73164929</v>
      </c>
    </row>
    <row r="10" spans="1:18">
      <c r="A10" t="s">
        <v>1020</v>
      </c>
      <c r="C10" s="1321">
        <f>'GGO(SQ) (SQ and Post SPF)'!C160</f>
        <v>228289000.00000003</v>
      </c>
      <c r="D10" s="1321">
        <f>'GGO(SQ) (SQ and Post SPF)'!D160</f>
        <v>279472000</v>
      </c>
      <c r="E10" s="1321">
        <f>'GGO(SQ) (SQ and Post SPF)'!E160</f>
        <v>327910600</v>
      </c>
      <c r="F10" s="1321">
        <f>'GGO(SQ) (SQ and Post SPF)'!F160</f>
        <v>430534999.99999994</v>
      </c>
      <c r="G10" s="1321">
        <f>'GGO(SQ) (SQ and Post SPF)'!G160</f>
        <v>442341000</v>
      </c>
      <c r="H10" s="1321">
        <f>'GGO(SQ) (SQ and Post SPF)'!H160</f>
        <v>557986681.45034456</v>
      </c>
      <c r="I10" s="1321">
        <f>'GGO(SQ) (SQ and Post SPF)'!I160</f>
        <v>669005206.87984276</v>
      </c>
      <c r="J10" s="1321">
        <f>'GGO(SQ) (SQ and Post SPF)'!J160</f>
        <v>773892538.63292456</v>
      </c>
      <c r="K10" s="1321">
        <f>'GGO(SQ) (SQ and Post SPF)'!K160</f>
        <v>889647518.68079495</v>
      </c>
      <c r="L10" s="1321">
        <f>'GGO(SQ) (SQ and Post SPF)'!L160</f>
        <v>1023344157.7558947</v>
      </c>
      <c r="M10" s="1321">
        <f>'GGO(SQ) (SQ and Post SPF)'!M160</f>
        <v>1175398833.2093289</v>
      </c>
      <c r="N10" s="1321">
        <f>'GGO(SQ) (SQ and Post SPF)'!N160</f>
        <v>1332120728.0891364</v>
      </c>
      <c r="O10" s="1321">
        <f>'GGO(SQ) (SQ and Post SPF)'!O160</f>
        <v>1500755611.4114084</v>
      </c>
      <c r="P10" s="1321">
        <f>'GGO(SQ) (SQ and Post SPF)'!P160</f>
        <v>1693975948.0717642</v>
      </c>
      <c r="Q10" s="1321">
        <f>'GGO(SQ) (SQ and Post SPF)'!Q160</f>
        <v>1911250153.1182034</v>
      </c>
      <c r="R10" s="1321">
        <f>'GGO(SQ) (SQ and Post SPF)'!R160</f>
        <v>2156631720.0761657</v>
      </c>
    </row>
    <row r="12" spans="1:18">
      <c r="A12" t="s">
        <v>329</v>
      </c>
      <c r="C12" s="1321">
        <f>C10-C5</f>
        <v>-20997479.99999997</v>
      </c>
      <c r="D12" s="1321">
        <f t="shared" ref="D12:R12" si="3">D10-D5</f>
        <v>5971000</v>
      </c>
      <c r="E12" s="1321">
        <f t="shared" si="3"/>
        <v>-16360578.926999986</v>
      </c>
      <c r="F12" s="1321">
        <f t="shared" si="3"/>
        <v>-1021780.4800000787</v>
      </c>
      <c r="G12" s="1321">
        <f t="shared" si="3"/>
        <v>-125252799.04999995</v>
      </c>
      <c r="H12" s="1321">
        <f t="shared" si="3"/>
        <v>-101675318.54965544</v>
      </c>
      <c r="I12" s="1321">
        <f t="shared" si="3"/>
        <v>-59037379.413874626</v>
      </c>
      <c r="J12" s="1321">
        <f t="shared" si="3"/>
        <v>-56901932.588175058</v>
      </c>
      <c r="K12" s="1321">
        <f t="shared" si="3"/>
        <v>-62678677.802172661</v>
      </c>
      <c r="L12" s="1321">
        <f t="shared" si="3"/>
        <v>-65378215.150187016</v>
      </c>
      <c r="M12" s="1321">
        <f t="shared" si="3"/>
        <v>-65012602.794120073</v>
      </c>
      <c r="N12" s="1321">
        <f t="shared" si="3"/>
        <v>-71601852.898038387</v>
      </c>
      <c r="O12" s="1321">
        <f t="shared" si="3"/>
        <v>-85012563.651101351</v>
      </c>
      <c r="P12" s="1321">
        <f t="shared" si="3"/>
        <v>-91751959.431262732</v>
      </c>
      <c r="Q12" s="1321">
        <f t="shared" si="3"/>
        <v>-100472708.27061343</v>
      </c>
      <c r="R12" s="1321">
        <f t="shared" si="3"/>
        <v>-111582008.98038435</v>
      </c>
    </row>
    <row r="13" spans="1:18">
      <c r="A13" t="s">
        <v>1021</v>
      </c>
      <c r="C13" s="1321">
        <f>C10-C4</f>
        <v>-27618479.99999997</v>
      </c>
      <c r="D13" s="1321">
        <f t="shared" ref="D13:R13" si="4">D10-D4</f>
        <v>-1994000</v>
      </c>
      <c r="E13" s="1321">
        <f t="shared" si="4"/>
        <v>-29020578.926999986</v>
      </c>
      <c r="F13" s="1321">
        <f t="shared" si="4"/>
        <v>-17751780.480000079</v>
      </c>
      <c r="G13" s="1321">
        <f t="shared" si="4"/>
        <v>-149132799.04999995</v>
      </c>
      <c r="H13" s="1321">
        <f t="shared" si="4"/>
        <v>-127055318.54965544</v>
      </c>
      <c r="I13" s="1321">
        <f t="shared" si="4"/>
        <v>-94797379.413874626</v>
      </c>
      <c r="J13" s="1321">
        <f t="shared" si="4"/>
        <v>-103480561.07815969</v>
      </c>
      <c r="K13" s="1321">
        <f t="shared" si="4"/>
        <v>-112741494.20138144</v>
      </c>
      <c r="L13" s="1321">
        <f t="shared" si="4"/>
        <v>-121332145.14042068</v>
      </c>
      <c r="M13" s="1321">
        <f t="shared" si="4"/>
        <v>-125452334.46962404</v>
      </c>
      <c r="N13" s="1321">
        <f t="shared" si="4"/>
        <v>-137774714.18782139</v>
      </c>
      <c r="O13" s="1321">
        <f t="shared" si="4"/>
        <v>-160957602.98911166</v>
      </c>
      <c r="P13" s="1321">
        <f t="shared" si="4"/>
        <v>-180053277.402632</v>
      </c>
      <c r="Q13" s="1321">
        <f t="shared" si="4"/>
        <v>-203353913.78968382</v>
      </c>
      <c r="R13" s="1321">
        <f t="shared" si="4"/>
        <v>-230370658.71203375</v>
      </c>
    </row>
    <row r="15" spans="1:18">
      <c r="A15" t="s">
        <v>1022</v>
      </c>
      <c r="C15" s="1321">
        <f>'GGO(SQ) (SQ and Post SPF)'!C200</f>
        <v>-345878823.63551158</v>
      </c>
      <c r="D15" s="1321">
        <f>'GGO(SQ) (SQ and Post SPF)'!D200</f>
        <v>-407714013.7057749</v>
      </c>
      <c r="E15" s="1321">
        <f>'GGO(SQ) (SQ and Post SPF)'!E200</f>
        <v>-509902758.05747676</v>
      </c>
      <c r="F15" s="1321">
        <f>'GGO(SQ) (SQ and Post SPF)'!F200</f>
        <v>-637028122.02825081</v>
      </c>
      <c r="G15" s="1321">
        <f>'GGO(SQ) (SQ and Post SPF)'!G200</f>
        <v>-848447153.93000007</v>
      </c>
      <c r="H15" s="1321">
        <f>'GGO(SQ) (SQ and Post SPF)'!H200</f>
        <v>-1046862702.2571793</v>
      </c>
      <c r="I15" s="1321">
        <f>'GGO(SQ) (SQ and Post SPF)'!I200</f>
        <v>-1240330759.8659136</v>
      </c>
      <c r="J15" s="1321">
        <f>'GGO(SQ) (SQ and Post SPF)'!J200</f>
        <v>-1405290246.2683575</v>
      </c>
      <c r="K15" s="1321">
        <f>'GGO(SQ) (SQ and Post SPF)'!K200</f>
        <v>-1585992429.1796985</v>
      </c>
      <c r="L15" s="1321">
        <f>'GGO(SQ) (SQ and Post SPF)'!L200</f>
        <v>-1777821552.7251258</v>
      </c>
      <c r="M15" s="1321">
        <f>'GGO(SQ) (SQ and Post SPF)'!M200</f>
        <v>-1977440829.0237842</v>
      </c>
      <c r="N15" s="1321">
        <f>'GGO(SQ) (SQ and Post SPF)'!N200</f>
        <v>-2189348539.5960636</v>
      </c>
      <c r="O15" s="1321">
        <f>'GGO(SQ) (SQ and Post SPF)'!O200</f>
        <v>-2424921567.7844043</v>
      </c>
      <c r="P15" s="1321">
        <f>'GGO(SQ) (SQ and Post SPF)'!P200</f>
        <v>-2683906697.1380973</v>
      </c>
      <c r="Q15" s="1321">
        <f>'GGO(SQ) (SQ and Post SPF)'!Q200</f>
        <v>-2971333247.7203574</v>
      </c>
      <c r="R15" s="1321">
        <f>'GGO(SQ) (SQ and Post SPF)'!R200</f>
        <v>-3302872076.8610282</v>
      </c>
    </row>
    <row r="16" spans="1:18">
      <c r="D16" s="1321"/>
    </row>
    <row r="17" spans="1:18">
      <c r="A17" t="s">
        <v>1024</v>
      </c>
    </row>
    <row r="19" spans="1:18">
      <c r="A19" t="s">
        <v>876</v>
      </c>
      <c r="C19" s="1321">
        <f t="shared" ref="C19:R19" si="5">C20+C23</f>
        <v>255907480</v>
      </c>
      <c r="D19" s="1321">
        <f t="shared" si="5"/>
        <v>341307190.07026333</v>
      </c>
      <c r="E19" s="1321">
        <f t="shared" si="5"/>
        <v>430099344.35170186</v>
      </c>
      <c r="F19" s="1321">
        <f t="shared" si="5"/>
        <v>557660363.97077394</v>
      </c>
      <c r="G19" s="1321">
        <f t="shared" si="5"/>
        <v>653760031.90174925</v>
      </c>
      <c r="H19" s="1321">
        <f t="shared" si="5"/>
        <v>756402229.77752376</v>
      </c>
      <c r="I19" s="1321">
        <f t="shared" si="5"/>
        <v>862473264.48857713</v>
      </c>
      <c r="J19" s="1321">
        <f t="shared" si="5"/>
        <v>938852025.03536844</v>
      </c>
      <c r="K19" s="1321">
        <f t="shared" si="5"/>
        <v>1070349701.5921359</v>
      </c>
      <c r="L19" s="1321">
        <f t="shared" si="5"/>
        <v>1215173281.301322</v>
      </c>
      <c r="M19" s="1321">
        <f t="shared" si="5"/>
        <v>1375018109.5079873</v>
      </c>
      <c r="N19" s="1321">
        <f t="shared" si="5"/>
        <v>1544028438.6614158</v>
      </c>
      <c r="O19" s="1321">
        <f t="shared" si="5"/>
        <v>1736328639.5997491</v>
      </c>
      <c r="P19" s="1321">
        <f t="shared" si="5"/>
        <v>1952961077.4254572</v>
      </c>
      <c r="Q19" s="1321">
        <f t="shared" si="5"/>
        <v>2198676703.7004633</v>
      </c>
      <c r="R19" s="1321">
        <f t="shared" si="5"/>
        <v>2488170549.2168365</v>
      </c>
    </row>
    <row r="20" spans="1:18">
      <c r="A20" t="s">
        <v>1017</v>
      </c>
      <c r="C20" s="1321">
        <f t="shared" ref="C20:R20" si="6">C21+C22</f>
        <v>249286480</v>
      </c>
      <c r="D20" s="1321">
        <f t="shared" si="6"/>
        <v>273501000</v>
      </c>
      <c r="E20" s="1321">
        <f t="shared" si="6"/>
        <v>344271178.92699999</v>
      </c>
      <c r="F20" s="1321">
        <f t="shared" si="6"/>
        <v>431556780.48000002</v>
      </c>
      <c r="G20" s="1321">
        <f t="shared" si="6"/>
        <v>567593799.04999995</v>
      </c>
      <c r="H20" s="1321">
        <f t="shared" si="6"/>
        <v>659662000</v>
      </c>
      <c r="I20" s="1321">
        <f t="shared" si="6"/>
        <v>728042586.29371738</v>
      </c>
      <c r="J20" s="1321">
        <f t="shared" si="6"/>
        <v>830794471.22109962</v>
      </c>
      <c r="K20" s="1321">
        <f t="shared" si="6"/>
        <v>952326196.48296762</v>
      </c>
      <c r="L20" s="1321">
        <f t="shared" si="6"/>
        <v>1088722372.9060817</v>
      </c>
      <c r="M20" s="1321">
        <f t="shared" si="6"/>
        <v>1240411436.003449</v>
      </c>
      <c r="N20" s="1321">
        <f t="shared" si="6"/>
        <v>1403722580.9871747</v>
      </c>
      <c r="O20" s="1321">
        <f t="shared" si="6"/>
        <v>1585768175.0625098</v>
      </c>
      <c r="P20" s="1321">
        <f t="shared" si="6"/>
        <v>1785727907.503027</v>
      </c>
      <c r="Q20" s="1321">
        <f t="shared" si="6"/>
        <v>2011722861.3888168</v>
      </c>
      <c r="R20" s="1321">
        <f t="shared" si="6"/>
        <v>2268213729.05655</v>
      </c>
    </row>
    <row r="21" spans="1:18">
      <c r="A21" t="s">
        <v>1018</v>
      </c>
      <c r="C21" s="1321">
        <f>C6</f>
        <v>143272000</v>
      </c>
      <c r="D21" s="1321">
        <f>D6</f>
        <v>172104000</v>
      </c>
      <c r="E21" s="1321">
        <f t="shared" ref="E21:R21" si="7">E6</f>
        <v>219158678.92699999</v>
      </c>
      <c r="F21" s="1321">
        <f t="shared" si="7"/>
        <v>275640000</v>
      </c>
      <c r="G21" s="1321">
        <f t="shared" si="7"/>
        <v>323201000</v>
      </c>
      <c r="H21" s="1321">
        <f t="shared" si="7"/>
        <v>391679999.99999994</v>
      </c>
      <c r="I21" s="1321">
        <f t="shared" si="7"/>
        <v>489755590.32497692</v>
      </c>
      <c r="J21" s="1321">
        <f t="shared" si="7"/>
        <v>560248886.65260875</v>
      </c>
      <c r="K21" s="1321">
        <f t="shared" si="7"/>
        <v>643353258.95522738</v>
      </c>
      <c r="L21" s="1321">
        <f t="shared" si="7"/>
        <v>736788965.7197628</v>
      </c>
      <c r="M21" s="1321">
        <f t="shared" si="7"/>
        <v>839930544.49714053</v>
      </c>
      <c r="N21" s="1321">
        <f t="shared" si="7"/>
        <v>953593620.36742365</v>
      </c>
      <c r="O21" s="1321">
        <f t="shared" si="7"/>
        <v>1080728562.6913521</v>
      </c>
      <c r="P21" s="1321">
        <f t="shared" si="7"/>
        <v>1224806184.2757998</v>
      </c>
      <c r="Q21" s="1321">
        <f t="shared" si="7"/>
        <v>1388536178.0903809</v>
      </c>
      <c r="R21" s="1321">
        <f t="shared" si="7"/>
        <v>1574681734.1737673</v>
      </c>
    </row>
    <row r="22" spans="1:18">
      <c r="A22" t="s">
        <v>1025</v>
      </c>
      <c r="C22" s="1321">
        <f>C7</f>
        <v>106014479.99999999</v>
      </c>
      <c r="D22" s="1321">
        <f>D7</f>
        <v>101397000</v>
      </c>
      <c r="E22" s="1321">
        <f t="shared" ref="E22:R22" si="8">E7</f>
        <v>125112500</v>
      </c>
      <c r="F22" s="1321">
        <f t="shared" si="8"/>
        <v>155916780.47999999</v>
      </c>
      <c r="G22" s="1321">
        <f t="shared" si="8"/>
        <v>244392799.05000001</v>
      </c>
      <c r="H22" s="1321">
        <f t="shared" si="8"/>
        <v>267982000</v>
      </c>
      <c r="I22" s="1321">
        <f t="shared" si="8"/>
        <v>238286995.9687404</v>
      </c>
      <c r="J22" s="1321">
        <f t="shared" si="8"/>
        <v>270545584.5684908</v>
      </c>
      <c r="K22" s="1321">
        <f t="shared" si="8"/>
        <v>308972937.52774018</v>
      </c>
      <c r="L22" s="1321">
        <f t="shared" si="8"/>
        <v>351933407.18631893</v>
      </c>
      <c r="M22" s="1321">
        <f t="shared" si="8"/>
        <v>400480891.50630856</v>
      </c>
      <c r="N22" s="1321">
        <f t="shared" si="8"/>
        <v>450128960.6197511</v>
      </c>
      <c r="O22" s="1321">
        <f t="shared" si="8"/>
        <v>505039612.37115771</v>
      </c>
      <c r="P22" s="1321">
        <f t="shared" si="8"/>
        <v>560921723.22722721</v>
      </c>
      <c r="Q22" s="1321">
        <f t="shared" si="8"/>
        <v>623186683.29843593</v>
      </c>
      <c r="R22" s="1321">
        <f t="shared" si="8"/>
        <v>693531994.8827827</v>
      </c>
    </row>
    <row r="23" spans="1:18">
      <c r="A23" s="1322" t="s">
        <v>1019</v>
      </c>
      <c r="B23" s="1322"/>
      <c r="C23" s="1323">
        <f>C8</f>
        <v>6621000</v>
      </c>
      <c r="D23" s="1323">
        <f>-(D15-C15)+D12</f>
        <v>67806190.070263326</v>
      </c>
      <c r="E23" s="1323">
        <f t="shared" ref="E23:R23" si="9">-(E15-D15)+E12</f>
        <v>85828165.424701869</v>
      </c>
      <c r="F23" s="1323">
        <f t="shared" si="9"/>
        <v>126103583.49077398</v>
      </c>
      <c r="G23" s="1323">
        <f t="shared" si="9"/>
        <v>86166232.851749301</v>
      </c>
      <c r="H23" s="1323">
        <f t="shared" si="9"/>
        <v>96740229.777523756</v>
      </c>
      <c r="I23" s="1323">
        <f t="shared" si="9"/>
        <v>134430678.19485974</v>
      </c>
      <c r="J23" s="1323">
        <f t="shared" si="9"/>
        <v>108057553.81426883</v>
      </c>
      <c r="K23" s="1323">
        <f t="shared" si="9"/>
        <v>118023505.10916829</v>
      </c>
      <c r="L23" s="1323">
        <f t="shared" si="9"/>
        <v>126450908.39524031</v>
      </c>
      <c r="M23" s="1323">
        <f t="shared" si="9"/>
        <v>134606673.5045383</v>
      </c>
      <c r="N23" s="1323">
        <f t="shared" si="9"/>
        <v>140305857.67424107</v>
      </c>
      <c r="O23" s="1323">
        <f t="shared" si="9"/>
        <v>150560464.53723931</v>
      </c>
      <c r="P23" s="1323">
        <f t="shared" si="9"/>
        <v>167233169.92243028</v>
      </c>
      <c r="Q23" s="1323">
        <f t="shared" si="9"/>
        <v>186953842.3116467</v>
      </c>
      <c r="R23" s="1323">
        <f t="shared" si="9"/>
        <v>219956820.16028643</v>
      </c>
    </row>
    <row r="25" spans="1:18">
      <c r="A25" t="s">
        <v>1020</v>
      </c>
      <c r="C25" s="1321">
        <f>C10</f>
        <v>228289000.00000003</v>
      </c>
      <c r="D25" s="1321">
        <f>D10</f>
        <v>279472000</v>
      </c>
      <c r="E25" s="1321">
        <f t="shared" ref="E25:R25" si="10">E10</f>
        <v>327910600</v>
      </c>
      <c r="F25" s="1321">
        <f t="shared" si="10"/>
        <v>430534999.99999994</v>
      </c>
      <c r="G25" s="1321">
        <f t="shared" si="10"/>
        <v>442341000</v>
      </c>
      <c r="H25" s="1321">
        <f t="shared" si="10"/>
        <v>557986681.45034456</v>
      </c>
      <c r="I25" s="1321">
        <f t="shared" si="10"/>
        <v>669005206.87984276</v>
      </c>
      <c r="J25" s="1321">
        <f t="shared" si="10"/>
        <v>773892538.63292456</v>
      </c>
      <c r="K25" s="1321">
        <f t="shared" si="10"/>
        <v>889647518.68079495</v>
      </c>
      <c r="L25" s="1321">
        <f t="shared" si="10"/>
        <v>1023344157.7558947</v>
      </c>
      <c r="M25" s="1321">
        <f t="shared" si="10"/>
        <v>1175398833.2093289</v>
      </c>
      <c r="N25" s="1321">
        <f t="shared" si="10"/>
        <v>1332120728.0891364</v>
      </c>
      <c r="O25" s="1321">
        <f t="shared" si="10"/>
        <v>1500755611.4114084</v>
      </c>
      <c r="P25" s="1321">
        <f t="shared" si="10"/>
        <v>1693975948.0717642</v>
      </c>
      <c r="Q25" s="1321">
        <f t="shared" si="10"/>
        <v>1911250153.1182034</v>
      </c>
      <c r="R25" s="1321">
        <f t="shared" si="10"/>
        <v>2156631720.0761657</v>
      </c>
    </row>
    <row r="27" spans="1:18">
      <c r="A27" t="s">
        <v>329</v>
      </c>
      <c r="C27" s="1321">
        <f>C25-C20</f>
        <v>-20997479.99999997</v>
      </c>
      <c r="D27" s="1321">
        <f>D25-D20</f>
        <v>5971000</v>
      </c>
      <c r="E27" s="1321">
        <f t="shared" ref="E27:R27" si="11">E25-E20</f>
        <v>-16360578.926999986</v>
      </c>
      <c r="F27" s="1321">
        <f t="shared" si="11"/>
        <v>-1021780.4800000787</v>
      </c>
      <c r="G27" s="1321">
        <f t="shared" si="11"/>
        <v>-125252799.04999995</v>
      </c>
      <c r="H27" s="1321">
        <f t="shared" si="11"/>
        <v>-101675318.54965544</v>
      </c>
      <c r="I27" s="1321">
        <f t="shared" si="11"/>
        <v>-59037379.413874626</v>
      </c>
      <c r="J27" s="1321">
        <f t="shared" si="11"/>
        <v>-56901932.588175058</v>
      </c>
      <c r="K27" s="1321">
        <f t="shared" si="11"/>
        <v>-62678677.802172661</v>
      </c>
      <c r="L27" s="1321">
        <f t="shared" si="11"/>
        <v>-65378215.150187016</v>
      </c>
      <c r="M27" s="1321">
        <f t="shared" si="11"/>
        <v>-65012602.794120073</v>
      </c>
      <c r="N27" s="1321">
        <f t="shared" si="11"/>
        <v>-71601852.898038387</v>
      </c>
      <c r="O27" s="1321">
        <f t="shared" si="11"/>
        <v>-85012563.651101351</v>
      </c>
      <c r="P27" s="1321">
        <f t="shared" si="11"/>
        <v>-91751959.431262732</v>
      </c>
      <c r="Q27" s="1321">
        <f t="shared" si="11"/>
        <v>-100472708.27061343</v>
      </c>
      <c r="R27" s="1321">
        <f t="shared" si="11"/>
        <v>-111582008.98038435</v>
      </c>
    </row>
    <row r="28" spans="1:18">
      <c r="A28" t="s">
        <v>1021</v>
      </c>
      <c r="C28" s="1321">
        <f>C25-C19</f>
        <v>-27618479.99999997</v>
      </c>
      <c r="D28" s="1321">
        <f t="shared" ref="D28:R28" si="12">D25-D19</f>
        <v>-61835190.070263326</v>
      </c>
      <c r="E28" s="1321">
        <f t="shared" si="12"/>
        <v>-102188744.35170186</v>
      </c>
      <c r="F28" s="1321">
        <f t="shared" si="12"/>
        <v>-127125363.97077399</v>
      </c>
      <c r="G28" s="1321">
        <f t="shared" si="12"/>
        <v>-211419031.90174925</v>
      </c>
      <c r="H28" s="1321">
        <f t="shared" si="12"/>
        <v>-198415548.32717919</v>
      </c>
      <c r="I28" s="1321">
        <f t="shared" si="12"/>
        <v>-193468057.60873437</v>
      </c>
      <c r="J28" s="1321">
        <f t="shared" si="12"/>
        <v>-164959486.40244389</v>
      </c>
      <c r="K28" s="1321">
        <f t="shared" si="12"/>
        <v>-180702182.91134095</v>
      </c>
      <c r="L28" s="1321">
        <f t="shared" si="12"/>
        <v>-191829123.54542732</v>
      </c>
      <c r="M28" s="1321">
        <f t="shared" si="12"/>
        <v>-199619276.29865837</v>
      </c>
      <c r="N28" s="1321">
        <f t="shared" si="12"/>
        <v>-211907710.57227945</v>
      </c>
      <c r="O28" s="1321">
        <f t="shared" si="12"/>
        <v>-235573028.18834066</v>
      </c>
      <c r="P28" s="1321">
        <f t="shared" si="12"/>
        <v>-258985129.35369301</v>
      </c>
      <c r="Q28" s="1321">
        <f t="shared" si="12"/>
        <v>-287426550.58225989</v>
      </c>
      <c r="R28" s="1321">
        <f t="shared" si="12"/>
        <v>-331538829.14067078</v>
      </c>
    </row>
    <row r="30" spans="1:18">
      <c r="A30" t="s">
        <v>1022</v>
      </c>
      <c r="C30" s="1321">
        <f>C15</f>
        <v>-345878823.63551158</v>
      </c>
      <c r="D30" s="1321">
        <f>C30+D28</f>
        <v>-407714013.7057749</v>
      </c>
      <c r="E30" s="1321">
        <f t="shared" ref="E30:R30" si="13">D30+E28</f>
        <v>-509902758.05747676</v>
      </c>
      <c r="F30" s="1321">
        <f t="shared" si="13"/>
        <v>-637028122.02825069</v>
      </c>
      <c r="G30" s="1321">
        <f t="shared" si="13"/>
        <v>-848447153.92999995</v>
      </c>
      <c r="H30" s="1321">
        <f t="shared" si="13"/>
        <v>-1046862702.2571791</v>
      </c>
      <c r="I30" s="1321">
        <f t="shared" si="13"/>
        <v>-1240330759.8659134</v>
      </c>
      <c r="J30" s="1321">
        <f t="shared" si="13"/>
        <v>-1405290246.2683573</v>
      </c>
      <c r="K30" s="1321">
        <f t="shared" si="13"/>
        <v>-1585992429.1796982</v>
      </c>
      <c r="L30" s="1321">
        <f t="shared" si="13"/>
        <v>-1777821552.7251256</v>
      </c>
      <c r="M30" s="1321">
        <f t="shared" si="13"/>
        <v>-1977440829.0237839</v>
      </c>
      <c r="N30" s="1321">
        <f t="shared" si="13"/>
        <v>-2189348539.5960636</v>
      </c>
      <c r="O30" s="1321">
        <f t="shared" si="13"/>
        <v>-2424921567.7844043</v>
      </c>
      <c r="P30" s="1321">
        <f t="shared" si="13"/>
        <v>-2683906697.1380973</v>
      </c>
      <c r="Q30" s="1321">
        <f t="shared" si="13"/>
        <v>-2971333247.7203569</v>
      </c>
      <c r="R30" s="1321">
        <f t="shared" si="13"/>
        <v>-3302872076.8610277</v>
      </c>
    </row>
    <row r="32" spans="1:18" ht="15.75">
      <c r="A32" t="s">
        <v>1028</v>
      </c>
      <c r="D32" s="1004">
        <f>((-D27-((D27)^2+4*C30*D30)^0.5)/(2*C30))^2-1</f>
        <v>0.19766962865321469</v>
      </c>
      <c r="E32" s="1004">
        <f t="shared" ref="E32:R32" si="14">((-E27-((E27)^2+4*D30*E30)^0.5)/(2*D30))^2-1</f>
        <v>0.20656072517660684</v>
      </c>
      <c r="F32" s="1004">
        <f t="shared" si="14"/>
        <v>0.24707518044444376</v>
      </c>
      <c r="G32" s="1004">
        <f t="shared" si="14"/>
        <v>0.12347701538480749</v>
      </c>
      <c r="H32" s="1004">
        <f t="shared" si="14"/>
        <v>0.10773036976982353</v>
      </c>
      <c r="I32" s="1004">
        <f t="shared" si="14"/>
        <v>0.12499220506497322</v>
      </c>
      <c r="J32" s="1004">
        <f t="shared" si="14"/>
        <v>8.5205438024780644E-2</v>
      </c>
      <c r="K32" s="1004">
        <f t="shared" si="14"/>
        <v>8.218845064580016E-2</v>
      </c>
      <c r="L32" s="1004">
        <f t="shared" si="14"/>
        <v>7.8149380446612904E-2</v>
      </c>
      <c r="M32" s="1004">
        <f t="shared" si="14"/>
        <v>7.4378811015981539E-2</v>
      </c>
      <c r="N32" s="1004">
        <f t="shared" si="14"/>
        <v>6.9712393287663987E-2</v>
      </c>
      <c r="O32" s="1004">
        <f t="shared" si="14"/>
        <v>6.7480772449221238E-2</v>
      </c>
      <c r="P32" s="1004">
        <f t="shared" si="14"/>
        <v>6.7704468530888073E-2</v>
      </c>
      <c r="Q32" s="1004">
        <f t="shared" si="14"/>
        <v>6.8398275763616123E-2</v>
      </c>
      <c r="R32" s="1004">
        <f t="shared" si="14"/>
        <v>7.2685469118822343E-2</v>
      </c>
    </row>
    <row r="33" spans="1:18">
      <c r="A33" t="s">
        <v>1026</v>
      </c>
      <c r="D33" s="1321">
        <f>-(C30*D32+D27*((1+D32)^0.5-1))</f>
        <v>67806190.070263341</v>
      </c>
      <c r="E33" s="1321">
        <f t="shared" ref="E33:R33" si="15">-(D30*E32+E27*((1+E32)^0.5-1))</f>
        <v>85828165.424701691</v>
      </c>
      <c r="F33" s="1321">
        <f t="shared" si="15"/>
        <v>126103583.49077384</v>
      </c>
      <c r="G33" s="1321">
        <f t="shared" si="15"/>
        <v>86166232.851749048</v>
      </c>
      <c r="H33" s="1321">
        <f t="shared" si="15"/>
        <v>96740229.777523652</v>
      </c>
      <c r="I33" s="1321">
        <f t="shared" si="15"/>
        <v>134430678.19485945</v>
      </c>
      <c r="J33" s="1321">
        <f t="shared" si="15"/>
        <v>108057553.81426917</v>
      </c>
      <c r="K33" s="1321">
        <f t="shared" si="15"/>
        <v>118023505.10916854</v>
      </c>
      <c r="L33" s="1321">
        <f t="shared" si="15"/>
        <v>126450908.39524026</v>
      </c>
      <c r="M33" s="1321">
        <f t="shared" si="15"/>
        <v>134606673.50453874</v>
      </c>
      <c r="N33" s="1321">
        <f t="shared" si="15"/>
        <v>140305857.67424142</v>
      </c>
      <c r="O33" s="1321">
        <f t="shared" si="15"/>
        <v>150560464.53724015</v>
      </c>
      <c r="P33" s="1321">
        <f t="shared" si="15"/>
        <v>167233169.92243004</v>
      </c>
      <c r="Q33" s="1321">
        <f t="shared" si="15"/>
        <v>186953842.31164613</v>
      </c>
      <c r="R33" s="1321">
        <f t="shared" si="15"/>
        <v>219956820.16028619</v>
      </c>
    </row>
    <row r="35" spans="1:18">
      <c r="A35" s="1324" t="s">
        <v>1027</v>
      </c>
    </row>
    <row r="36" spans="1:18">
      <c r="A36" t="s">
        <v>1023</v>
      </c>
    </row>
    <row r="37" spans="1:18">
      <c r="C37">
        <v>2005</v>
      </c>
      <c r="D37">
        <f>C37+1</f>
        <v>2006</v>
      </c>
      <c r="E37">
        <f t="shared" ref="E37:R37" si="16">D37+1</f>
        <v>2007</v>
      </c>
      <c r="F37">
        <f t="shared" si="16"/>
        <v>2008</v>
      </c>
      <c r="G37">
        <f t="shared" si="16"/>
        <v>2009</v>
      </c>
      <c r="H37">
        <f t="shared" si="16"/>
        <v>2010</v>
      </c>
      <c r="I37">
        <f t="shared" si="16"/>
        <v>2011</v>
      </c>
      <c r="J37">
        <f t="shared" si="16"/>
        <v>2012</v>
      </c>
      <c r="K37">
        <f t="shared" si="16"/>
        <v>2013</v>
      </c>
      <c r="L37">
        <f t="shared" si="16"/>
        <v>2014</v>
      </c>
      <c r="M37">
        <f t="shared" si="16"/>
        <v>2015</v>
      </c>
      <c r="N37">
        <f t="shared" si="16"/>
        <v>2016</v>
      </c>
      <c r="O37">
        <f t="shared" si="16"/>
        <v>2017</v>
      </c>
      <c r="P37">
        <f t="shared" si="16"/>
        <v>2018</v>
      </c>
      <c r="Q37">
        <f t="shared" si="16"/>
        <v>2019</v>
      </c>
      <c r="R37">
        <f t="shared" si="16"/>
        <v>2020</v>
      </c>
    </row>
    <row r="38" spans="1:18">
      <c r="A38" t="s">
        <v>876</v>
      </c>
      <c r="C38" s="1321">
        <f>C39+C42</f>
        <v>255907.47999999998</v>
      </c>
      <c r="D38" s="1321">
        <f t="shared" ref="D38:R38" si="17">D39+D42</f>
        <v>281466</v>
      </c>
      <c r="E38" s="1321">
        <f t="shared" si="17"/>
        <v>356931.17892700003</v>
      </c>
      <c r="F38" s="1321">
        <f t="shared" si="17"/>
        <v>448286.78048000002</v>
      </c>
      <c r="G38" s="1321">
        <f t="shared" si="17"/>
        <v>591473.79905000003</v>
      </c>
      <c r="H38" s="1321">
        <f t="shared" si="17"/>
        <v>685042</v>
      </c>
      <c r="I38" s="1321">
        <f t="shared" si="17"/>
        <v>763802.58629371738</v>
      </c>
      <c r="J38" s="1321">
        <f t="shared" si="17"/>
        <v>877373.09971108427</v>
      </c>
      <c r="K38" s="1321">
        <f t="shared" si="17"/>
        <v>1002389.0128821764</v>
      </c>
      <c r="L38" s="1321">
        <f t="shared" si="17"/>
        <v>1144676.3028963155</v>
      </c>
      <c r="M38" s="1321">
        <f t="shared" si="17"/>
        <v>1300851.1676789529</v>
      </c>
      <c r="N38" s="1321">
        <f t="shared" si="17"/>
        <v>1469895.4422769577</v>
      </c>
      <c r="O38" s="1321">
        <f t="shared" si="17"/>
        <v>1661713.2144005201</v>
      </c>
      <c r="P38" s="1321">
        <f t="shared" si="17"/>
        <v>1874029.2254743965</v>
      </c>
      <c r="Q38" s="1321">
        <f t="shared" si="17"/>
        <v>2114604.0669078873</v>
      </c>
      <c r="R38" s="1321">
        <f t="shared" si="17"/>
        <v>2387002.3787881993</v>
      </c>
    </row>
    <row r="39" spans="1:18">
      <c r="A39" t="s">
        <v>1017</v>
      </c>
      <c r="C39" s="1321">
        <f>C40+C41</f>
        <v>249286.47999999998</v>
      </c>
      <c r="D39" s="1321">
        <f t="shared" ref="D39:R39" si="18">D40+D41</f>
        <v>273501</v>
      </c>
      <c r="E39" s="1321">
        <f t="shared" si="18"/>
        <v>344271.17892700003</v>
      </c>
      <c r="F39" s="1321">
        <f t="shared" si="18"/>
        <v>431556.78048000002</v>
      </c>
      <c r="G39" s="1321">
        <f t="shared" si="18"/>
        <v>567593.79905000003</v>
      </c>
      <c r="H39" s="1321">
        <f t="shared" si="18"/>
        <v>659662</v>
      </c>
      <c r="I39" s="1321">
        <f t="shared" si="18"/>
        <v>728042.58629371738</v>
      </c>
      <c r="J39" s="1321">
        <f t="shared" si="18"/>
        <v>830794.47122109961</v>
      </c>
      <c r="K39" s="1321">
        <f t="shared" si="18"/>
        <v>952326.19648296759</v>
      </c>
      <c r="L39" s="1321">
        <f t="shared" si="18"/>
        <v>1088722.3729060818</v>
      </c>
      <c r="M39" s="1321">
        <f t="shared" si="18"/>
        <v>1240411.4360034489</v>
      </c>
      <c r="N39" s="1321">
        <f t="shared" si="18"/>
        <v>1403722.5809871748</v>
      </c>
      <c r="O39" s="1321">
        <f t="shared" si="18"/>
        <v>1585768.1750625097</v>
      </c>
      <c r="P39" s="1321">
        <f t="shared" si="18"/>
        <v>1785727.907503027</v>
      </c>
      <c r="Q39" s="1321">
        <f t="shared" si="18"/>
        <v>2011722.861388817</v>
      </c>
      <c r="R39" s="1321">
        <f t="shared" si="18"/>
        <v>2268213.7290565502</v>
      </c>
    </row>
    <row r="40" spans="1:18">
      <c r="A40" t="s">
        <v>1018</v>
      </c>
      <c r="C40" s="1321">
        <f>'IMF Data'!C39-'IMF Data'!C40</f>
        <v>143272</v>
      </c>
      <c r="D40" s="1321">
        <f>'IMF Data'!D39-'IMF Data'!D40</f>
        <v>172104</v>
      </c>
      <c r="E40" s="1321">
        <f>'IMF Data'!E39-'IMF Data'!E40</f>
        <v>219158.678927</v>
      </c>
      <c r="F40" s="1321">
        <f>'IMF Data'!F39-'IMF Data'!F40</f>
        <v>275640</v>
      </c>
      <c r="G40" s="1321">
        <f>'IMF Data'!G39-'IMF Data'!G40</f>
        <v>323201</v>
      </c>
      <c r="H40" s="1321">
        <f>'IMF Data'!H39-'IMF Data'!H40</f>
        <v>391679.99999999994</v>
      </c>
      <c r="I40" s="1321">
        <f>'IMF Data'!I39-'IMF Data'!I40</f>
        <v>489755.59032497695</v>
      </c>
      <c r="J40" s="1321">
        <f>'IMF Data'!J39-'IMF Data'!J40</f>
        <v>560248.88665260875</v>
      </c>
      <c r="K40" s="1321">
        <f>'IMF Data'!K39-'IMF Data'!K40</f>
        <v>643353.25895522733</v>
      </c>
      <c r="L40" s="1321">
        <f>'IMF Data'!L39-'IMF Data'!L40</f>
        <v>736788.96571976284</v>
      </c>
      <c r="M40" s="1321">
        <f>'IMF Data'!M39-'IMF Data'!M40</f>
        <v>839930.54449714045</v>
      </c>
      <c r="N40" s="1321">
        <f>'IMF Data'!N39-'IMF Data'!N40</f>
        <v>953593.62036742363</v>
      </c>
      <c r="O40" s="1321">
        <f>'IMF Data'!O39-'IMF Data'!O40</f>
        <v>1080728.5626913521</v>
      </c>
      <c r="P40" s="1321">
        <f>'IMF Data'!P39-'IMF Data'!P40</f>
        <v>1224806.1842757997</v>
      </c>
      <c r="Q40" s="1321">
        <f>'IMF Data'!Q39-'IMF Data'!Q40</f>
        <v>1388536.178090381</v>
      </c>
      <c r="R40" s="1321">
        <f>'IMF Data'!R39-'IMF Data'!R40</f>
        <v>1574681.7341737675</v>
      </c>
    </row>
    <row r="41" spans="1:18">
      <c r="A41" t="s">
        <v>1025</v>
      </c>
      <c r="C41" s="1321">
        <f>'IMF Data'!C41+'IMF Data'!C45</f>
        <v>106014.47999999998</v>
      </c>
      <c r="D41" s="1321">
        <f>'IMF Data'!D41+'IMF Data'!D45</f>
        <v>101397</v>
      </c>
      <c r="E41" s="1321">
        <f>'IMF Data'!E41+'IMF Data'!E45</f>
        <v>125112.5</v>
      </c>
      <c r="F41" s="1321">
        <f>'IMF Data'!F41+'IMF Data'!F45</f>
        <v>155916.78048000002</v>
      </c>
      <c r="G41" s="1321">
        <f>'IMF Data'!G41+'IMF Data'!G45</f>
        <v>244392.79905</v>
      </c>
      <c r="H41" s="1321">
        <f>'IMF Data'!H41+'IMF Data'!H45</f>
        <v>267982</v>
      </c>
      <c r="I41" s="1321">
        <f>'IMF Data'!I41+'IMF Data'!I45</f>
        <v>238286.9959687404</v>
      </c>
      <c r="J41" s="1321">
        <f>'IMF Data'!J41+'IMF Data'!J45</f>
        <v>270545.58456849086</v>
      </c>
      <c r="K41" s="1321">
        <f>'IMF Data'!K41+'IMF Data'!K45</f>
        <v>308972.9375277402</v>
      </c>
      <c r="L41" s="1321">
        <f>'IMF Data'!L41+'IMF Data'!L45</f>
        <v>351933.40718631895</v>
      </c>
      <c r="M41" s="1321">
        <f>'IMF Data'!M41+'IMF Data'!M45</f>
        <v>400480.89150630857</v>
      </c>
      <c r="N41" s="1321">
        <f>'IMF Data'!N41+'IMF Data'!N45</f>
        <v>450128.96061975107</v>
      </c>
      <c r="O41" s="1321">
        <f>'IMF Data'!O41+'IMF Data'!O45</f>
        <v>505039.61237115768</v>
      </c>
      <c r="P41" s="1321">
        <f>'IMF Data'!P41+'IMF Data'!P45</f>
        <v>560921.72322722722</v>
      </c>
      <c r="Q41" s="1321">
        <f>'IMF Data'!Q41+'IMF Data'!Q45</f>
        <v>623186.68329843599</v>
      </c>
      <c r="R41" s="1321">
        <f>'IMF Data'!R41+'IMF Data'!R45</f>
        <v>693531.9948827828</v>
      </c>
    </row>
    <row r="42" spans="1:18">
      <c r="A42" t="s">
        <v>1019</v>
      </c>
      <c r="C42" s="1321">
        <f>'IMF Data'!C40</f>
        <v>6621</v>
      </c>
      <c r="D42" s="1321">
        <f>'IMF Data'!D40</f>
        <v>7965</v>
      </c>
      <c r="E42" s="1321">
        <f>'IMF Data'!E40</f>
        <v>12660</v>
      </c>
      <c r="F42" s="1321">
        <f>'IMF Data'!F40</f>
        <v>16730</v>
      </c>
      <c r="G42" s="1321">
        <f>'IMF Data'!G40</f>
        <v>23880</v>
      </c>
      <c r="H42" s="1321">
        <f>'IMF Data'!H40</f>
        <v>25380</v>
      </c>
      <c r="I42" s="1321">
        <f>'IMF Data'!I40</f>
        <v>35760</v>
      </c>
      <c r="J42" s="1321">
        <f>'IMF Data'!J40</f>
        <v>46578.628489984629</v>
      </c>
      <c r="K42" s="1321">
        <f>'IMF Data'!K40</f>
        <v>50062.816399208808</v>
      </c>
      <c r="L42" s="1321">
        <f>'IMF Data'!L40</f>
        <v>55953.929990233548</v>
      </c>
      <c r="M42" s="1321">
        <f>'IMF Data'!M40</f>
        <v>60439.731675504081</v>
      </c>
      <c r="N42" s="1321">
        <f>'IMF Data'!N40</f>
        <v>66172.861289782988</v>
      </c>
      <c r="O42" s="1321">
        <f>'IMF Data'!O40</f>
        <v>75945.039338010349</v>
      </c>
      <c r="P42" s="1321">
        <f>'IMF Data'!P40</f>
        <v>88301.317971369383</v>
      </c>
      <c r="Q42" s="1321">
        <f>'IMF Data'!Q40</f>
        <v>102881.20551907032</v>
      </c>
      <c r="R42" s="1321">
        <f>'IMF Data'!R40</f>
        <v>118788.64973164929</v>
      </c>
    </row>
    <row r="44" spans="1:18">
      <c r="A44" t="s">
        <v>1020</v>
      </c>
      <c r="C44" s="1321">
        <f>'IMF Data'!C20</f>
        <v>228289</v>
      </c>
      <c r="D44" s="1321">
        <f>'IMF Data'!D20</f>
        <v>279472</v>
      </c>
      <c r="E44" s="1321">
        <f>'IMF Data'!E20</f>
        <v>327910.60000000003</v>
      </c>
      <c r="F44" s="1321">
        <f>'IMF Data'!F20</f>
        <v>430535</v>
      </c>
      <c r="G44" s="1321">
        <f>'IMF Data'!G20</f>
        <v>442341</v>
      </c>
      <c r="H44" s="1321">
        <f>'IMF Data'!H20</f>
        <v>557986.68145034462</v>
      </c>
      <c r="I44" s="1321">
        <f>'IMF Data'!I20</f>
        <v>669005.20687984279</v>
      </c>
      <c r="J44" s="1321">
        <f>'IMF Data'!J20</f>
        <v>773892.53863292478</v>
      </c>
      <c r="K44" s="1321">
        <f>'IMF Data'!K20</f>
        <v>889647.5186807951</v>
      </c>
      <c r="L44" s="1321">
        <f>'IMF Data'!L20</f>
        <v>1023344.1577558946</v>
      </c>
      <c r="M44" s="1321">
        <f>'IMF Data'!M20</f>
        <v>1175398.8332093288</v>
      </c>
      <c r="N44" s="1321">
        <f>'IMF Data'!N20</f>
        <v>1332120.7280891363</v>
      </c>
      <c r="O44" s="1321">
        <f>'IMF Data'!O20</f>
        <v>1500755.6114114083</v>
      </c>
      <c r="P44" s="1321">
        <f>'IMF Data'!P20</f>
        <v>1693975.9480717641</v>
      </c>
      <c r="Q44" s="1321">
        <f>'IMF Data'!Q20</f>
        <v>1911250.1531182036</v>
      </c>
      <c r="R44" s="1321">
        <f>'IMF Data'!R20</f>
        <v>2156631.7200761661</v>
      </c>
    </row>
    <row r="46" spans="1:18">
      <c r="A46" t="s">
        <v>329</v>
      </c>
      <c r="C46" s="1321">
        <f>C44-C39</f>
        <v>-20997.479999999981</v>
      </c>
      <c r="D46" s="1321">
        <f t="shared" ref="D46:R46" si="19">D44-D39</f>
        <v>5971</v>
      </c>
      <c r="E46" s="1321">
        <f t="shared" si="19"/>
        <v>-16360.578926999995</v>
      </c>
      <c r="F46" s="1321">
        <f t="shared" si="19"/>
        <v>-1021.7804800000158</v>
      </c>
      <c r="G46" s="1321">
        <f t="shared" si="19"/>
        <v>-125252.79905000003</v>
      </c>
      <c r="H46" s="1321">
        <f t="shared" si="19"/>
        <v>-101675.31854965538</v>
      </c>
      <c r="I46" s="1321">
        <f t="shared" si="19"/>
        <v>-59037.379413874587</v>
      </c>
      <c r="J46" s="1321">
        <f t="shared" si="19"/>
        <v>-56901.932588174823</v>
      </c>
      <c r="K46" s="1321">
        <f t="shared" si="19"/>
        <v>-62678.677802172489</v>
      </c>
      <c r="L46" s="1321">
        <f t="shared" si="19"/>
        <v>-65378.215150187258</v>
      </c>
      <c r="M46" s="1321">
        <f t="shared" si="19"/>
        <v>-65012.602794120088</v>
      </c>
      <c r="N46" s="1321">
        <f t="shared" si="19"/>
        <v>-71601.852898038458</v>
      </c>
      <c r="O46" s="1321">
        <f t="shared" si="19"/>
        <v>-85012.563651101431</v>
      </c>
      <c r="P46" s="1321">
        <f t="shared" si="19"/>
        <v>-91751.95943126292</v>
      </c>
      <c r="Q46" s="1321">
        <f t="shared" si="19"/>
        <v>-100472.70827061334</v>
      </c>
      <c r="R46" s="1321">
        <f t="shared" si="19"/>
        <v>-111582.0089803841</v>
      </c>
    </row>
    <row r="47" spans="1:18">
      <c r="A47" t="s">
        <v>1021</v>
      </c>
      <c r="C47" s="1321">
        <f>C44-C38</f>
        <v>-27618.479999999981</v>
      </c>
      <c r="D47" s="1321">
        <f t="shared" ref="D47:R47" si="20">D44-D38</f>
        <v>-1994</v>
      </c>
      <c r="E47" s="1321">
        <f t="shared" si="20"/>
        <v>-29020.578926999995</v>
      </c>
      <c r="F47" s="1321">
        <f t="shared" si="20"/>
        <v>-17751.780480000016</v>
      </c>
      <c r="G47" s="1321">
        <f t="shared" si="20"/>
        <v>-149132.79905000003</v>
      </c>
      <c r="H47" s="1321">
        <f t="shared" si="20"/>
        <v>-127055.31854965538</v>
      </c>
      <c r="I47" s="1321">
        <f t="shared" si="20"/>
        <v>-94797.379413874587</v>
      </c>
      <c r="J47" s="1321">
        <f t="shared" si="20"/>
        <v>-103480.56107815949</v>
      </c>
      <c r="K47" s="1321">
        <f t="shared" si="20"/>
        <v>-112741.49420138134</v>
      </c>
      <c r="L47" s="1321">
        <f t="shared" si="20"/>
        <v>-121332.14514042088</v>
      </c>
      <c r="M47" s="1321">
        <f t="shared" si="20"/>
        <v>-125452.3344696241</v>
      </c>
      <c r="N47" s="1321">
        <f t="shared" si="20"/>
        <v>-137774.71418782137</v>
      </c>
      <c r="O47" s="1321">
        <f t="shared" si="20"/>
        <v>-160957.60298911179</v>
      </c>
      <c r="P47" s="1321">
        <f t="shared" si="20"/>
        <v>-180053.2774026324</v>
      </c>
      <c r="Q47" s="1321">
        <f t="shared" si="20"/>
        <v>-203353.91378968372</v>
      </c>
      <c r="R47" s="1321">
        <f t="shared" si="20"/>
        <v>-230370.65871203318</v>
      </c>
    </row>
    <row r="49" spans="1:18">
      <c r="A49" t="s">
        <v>1022</v>
      </c>
      <c r="C49" s="1321">
        <f>-'IMF Data'!C214</f>
        <v>-345878.82363551157</v>
      </c>
      <c r="D49" s="1321">
        <f>-'IMF Data'!D214</f>
        <v>-407714.01370577491</v>
      </c>
      <c r="E49" s="1321">
        <f>-'IMF Data'!E214</f>
        <v>-509902.75805747678</v>
      </c>
      <c r="F49" s="1321">
        <f>-'IMF Data'!F214</f>
        <v>-637028.12202825083</v>
      </c>
      <c r="G49" s="1321">
        <f>-'IMF Data'!G214</f>
        <v>-848447.15393000003</v>
      </c>
      <c r="H49" s="1321">
        <f>-'IMF Data'!H214</f>
        <v>-1046862.7022571793</v>
      </c>
      <c r="I49" s="1321">
        <f>-'IMF Data'!I214</f>
        <v>-1240330.7598659135</v>
      </c>
      <c r="J49" s="1321">
        <f>-'IMF Data'!J214</f>
        <v>-1405290.2462683576</v>
      </c>
      <c r="K49" s="1321">
        <f>-'IMF Data'!K214</f>
        <v>-1585992.4291796985</v>
      </c>
      <c r="L49" s="1321">
        <f>-'IMF Data'!L214</f>
        <v>-1777821.5527251258</v>
      </c>
      <c r="M49" s="1321">
        <f>-'IMF Data'!M214</f>
        <v>-1977440.8290237843</v>
      </c>
      <c r="N49" s="1321">
        <f>-'IMF Data'!N214</f>
        <v>-2189348.5395960636</v>
      </c>
      <c r="O49" s="1321">
        <f>-'IMF Data'!O214</f>
        <v>-2424921.5677844044</v>
      </c>
      <c r="P49" s="1321">
        <f>-'IMF Data'!P214</f>
        <v>-2683906.6971380971</v>
      </c>
      <c r="Q49" s="1321">
        <f>-'IMF Data'!Q214</f>
        <v>-2971333.2477203575</v>
      </c>
      <c r="R49" s="1321">
        <f>-'IMF Data'!R214</f>
        <v>-3302872.0768610281</v>
      </c>
    </row>
    <row r="50" spans="1:18">
      <c r="D50" s="1321"/>
    </row>
    <row r="51" spans="1:18">
      <c r="A51" t="s">
        <v>1024</v>
      </c>
    </row>
    <row r="53" spans="1:18">
      <c r="A53" t="s">
        <v>876</v>
      </c>
      <c r="C53" s="1321">
        <f t="shared" ref="C53:R53" si="21">C54+C57</f>
        <v>255907.47999999998</v>
      </c>
      <c r="D53" s="1321">
        <f t="shared" si="21"/>
        <v>341307.19007026334</v>
      </c>
      <c r="E53" s="1321">
        <f t="shared" si="21"/>
        <v>430099.3443517019</v>
      </c>
      <c r="F53" s="1321">
        <f t="shared" si="21"/>
        <v>557660.36397077399</v>
      </c>
      <c r="G53" s="1321">
        <f t="shared" si="21"/>
        <v>653760.0319017492</v>
      </c>
      <c r="H53" s="1321">
        <f t="shared" si="21"/>
        <v>756402.2297775239</v>
      </c>
      <c r="I53" s="1321">
        <f t="shared" si="21"/>
        <v>862473.26448857703</v>
      </c>
      <c r="J53" s="1321">
        <f t="shared" si="21"/>
        <v>938852.02503536886</v>
      </c>
      <c r="K53" s="1321">
        <f t="shared" si="21"/>
        <v>1070349.7015921359</v>
      </c>
      <c r="L53" s="1321">
        <f t="shared" si="21"/>
        <v>1215173.2813013219</v>
      </c>
      <c r="M53" s="1321">
        <f t="shared" si="21"/>
        <v>1375018.1095079873</v>
      </c>
      <c r="N53" s="1321">
        <f t="shared" si="21"/>
        <v>1544028.4386614156</v>
      </c>
      <c r="O53" s="1321">
        <f t="shared" si="21"/>
        <v>1736328.6395997491</v>
      </c>
      <c r="P53" s="1321">
        <f t="shared" si="21"/>
        <v>1952961.0774254568</v>
      </c>
      <c r="Q53" s="1321">
        <f t="shared" si="21"/>
        <v>2198676.7037004642</v>
      </c>
      <c r="R53" s="1321">
        <f t="shared" si="21"/>
        <v>2488170.5492168367</v>
      </c>
    </row>
    <row r="54" spans="1:18">
      <c r="A54" t="s">
        <v>1017</v>
      </c>
      <c r="C54" s="1321">
        <f t="shared" ref="C54:R54" si="22">C55+C56</f>
        <v>249286.47999999998</v>
      </c>
      <c r="D54" s="1321">
        <f t="shared" si="22"/>
        <v>273501</v>
      </c>
      <c r="E54" s="1321">
        <f t="shared" si="22"/>
        <v>344271.17892700003</v>
      </c>
      <c r="F54" s="1321">
        <f t="shared" si="22"/>
        <v>431556.78048000002</v>
      </c>
      <c r="G54" s="1321">
        <f t="shared" si="22"/>
        <v>567593.79905000003</v>
      </c>
      <c r="H54" s="1321">
        <f t="shared" si="22"/>
        <v>659662</v>
      </c>
      <c r="I54" s="1321">
        <f t="shared" si="22"/>
        <v>728042.58629371738</v>
      </c>
      <c r="J54" s="1321">
        <f t="shared" si="22"/>
        <v>830794.47122109961</v>
      </c>
      <c r="K54" s="1321">
        <f t="shared" si="22"/>
        <v>952326.19648296759</v>
      </c>
      <c r="L54" s="1321">
        <f t="shared" si="22"/>
        <v>1088722.3729060818</v>
      </c>
      <c r="M54" s="1321">
        <f t="shared" si="22"/>
        <v>1240411.4360034489</v>
      </c>
      <c r="N54" s="1321">
        <f t="shared" si="22"/>
        <v>1403722.5809871748</v>
      </c>
      <c r="O54" s="1321">
        <f t="shared" si="22"/>
        <v>1585768.1750625097</v>
      </c>
      <c r="P54" s="1321">
        <f t="shared" si="22"/>
        <v>1785727.907503027</v>
      </c>
      <c r="Q54" s="1321">
        <f t="shared" si="22"/>
        <v>2011722.861388817</v>
      </c>
      <c r="R54" s="1321">
        <f t="shared" si="22"/>
        <v>2268213.7290565502</v>
      </c>
    </row>
    <row r="55" spans="1:18">
      <c r="A55" t="s">
        <v>1018</v>
      </c>
      <c r="C55" s="1321">
        <f>C40</f>
        <v>143272</v>
      </c>
      <c r="D55" s="1321">
        <f t="shared" ref="D55:R55" si="23">D40</f>
        <v>172104</v>
      </c>
      <c r="E55" s="1321">
        <f t="shared" si="23"/>
        <v>219158.678927</v>
      </c>
      <c r="F55" s="1321">
        <f t="shared" si="23"/>
        <v>275640</v>
      </c>
      <c r="G55" s="1321">
        <f t="shared" si="23"/>
        <v>323201</v>
      </c>
      <c r="H55" s="1321">
        <f t="shared" si="23"/>
        <v>391679.99999999994</v>
      </c>
      <c r="I55" s="1321">
        <f t="shared" si="23"/>
        <v>489755.59032497695</v>
      </c>
      <c r="J55" s="1321">
        <f t="shared" si="23"/>
        <v>560248.88665260875</v>
      </c>
      <c r="K55" s="1321">
        <f t="shared" si="23"/>
        <v>643353.25895522733</v>
      </c>
      <c r="L55" s="1321">
        <f t="shared" si="23"/>
        <v>736788.96571976284</v>
      </c>
      <c r="M55" s="1321">
        <f t="shared" si="23"/>
        <v>839930.54449714045</v>
      </c>
      <c r="N55" s="1321">
        <f t="shared" si="23"/>
        <v>953593.62036742363</v>
      </c>
      <c r="O55" s="1321">
        <f t="shared" si="23"/>
        <v>1080728.5626913521</v>
      </c>
      <c r="P55" s="1321">
        <f t="shared" si="23"/>
        <v>1224806.1842757997</v>
      </c>
      <c r="Q55" s="1321">
        <f t="shared" si="23"/>
        <v>1388536.178090381</v>
      </c>
      <c r="R55" s="1321">
        <f t="shared" si="23"/>
        <v>1574681.7341737675</v>
      </c>
    </row>
    <row r="56" spans="1:18">
      <c r="A56" t="s">
        <v>1025</v>
      </c>
      <c r="C56" s="1321">
        <f>C41</f>
        <v>106014.47999999998</v>
      </c>
      <c r="D56" s="1321">
        <f t="shared" ref="D56:R56" si="24">D41</f>
        <v>101397</v>
      </c>
      <c r="E56" s="1321">
        <f t="shared" si="24"/>
        <v>125112.5</v>
      </c>
      <c r="F56" s="1321">
        <f t="shared" si="24"/>
        <v>155916.78048000002</v>
      </c>
      <c r="G56" s="1321">
        <f t="shared" si="24"/>
        <v>244392.79905</v>
      </c>
      <c r="H56" s="1321">
        <f t="shared" si="24"/>
        <v>267982</v>
      </c>
      <c r="I56" s="1321">
        <f t="shared" si="24"/>
        <v>238286.9959687404</v>
      </c>
      <c r="J56" s="1321">
        <f t="shared" si="24"/>
        <v>270545.58456849086</v>
      </c>
      <c r="K56" s="1321">
        <f t="shared" si="24"/>
        <v>308972.9375277402</v>
      </c>
      <c r="L56" s="1321">
        <f t="shared" si="24"/>
        <v>351933.40718631895</v>
      </c>
      <c r="M56" s="1321">
        <f t="shared" si="24"/>
        <v>400480.89150630857</v>
      </c>
      <c r="N56" s="1321">
        <f t="shared" si="24"/>
        <v>450128.96061975107</v>
      </c>
      <c r="O56" s="1321">
        <f t="shared" si="24"/>
        <v>505039.61237115768</v>
      </c>
      <c r="P56" s="1321">
        <f t="shared" si="24"/>
        <v>560921.72322722722</v>
      </c>
      <c r="Q56" s="1321">
        <f t="shared" si="24"/>
        <v>623186.68329843599</v>
      </c>
      <c r="R56" s="1321">
        <f t="shared" si="24"/>
        <v>693531.9948827828</v>
      </c>
    </row>
    <row r="57" spans="1:18">
      <c r="A57" s="1322" t="s">
        <v>1019</v>
      </c>
      <c r="B57" s="1322"/>
      <c r="C57" s="1323">
        <f>C42</f>
        <v>6621</v>
      </c>
      <c r="D57" s="1323">
        <f>-(D49-C49)+D46</f>
        <v>67806.190070263343</v>
      </c>
      <c r="E57" s="1323">
        <f t="shared" ref="E57:R57" si="25">-(E49-D49)+E46</f>
        <v>85828.165424701874</v>
      </c>
      <c r="F57" s="1323">
        <f t="shared" si="25"/>
        <v>126103.58349077404</v>
      </c>
      <c r="G57" s="1323">
        <f t="shared" si="25"/>
        <v>86166.23285174917</v>
      </c>
      <c r="H57" s="1323">
        <f t="shared" si="25"/>
        <v>96740.229777523899</v>
      </c>
      <c r="I57" s="1323">
        <f t="shared" si="25"/>
        <v>134430.67819485965</v>
      </c>
      <c r="J57" s="1323">
        <f t="shared" si="25"/>
        <v>108057.55381426925</v>
      </c>
      <c r="K57" s="1323">
        <f t="shared" si="25"/>
        <v>118023.50510916836</v>
      </c>
      <c r="L57" s="1323">
        <f t="shared" si="25"/>
        <v>126450.90839524008</v>
      </c>
      <c r="M57" s="1323">
        <f t="shared" si="25"/>
        <v>134606.67350453837</v>
      </c>
      <c r="N57" s="1323">
        <f t="shared" si="25"/>
        <v>140305.85767424083</v>
      </c>
      <c r="O57" s="1323">
        <f t="shared" si="25"/>
        <v>150560.4645372394</v>
      </c>
      <c r="P57" s="1323">
        <f t="shared" si="25"/>
        <v>167233.16992242984</v>
      </c>
      <c r="Q57" s="1323">
        <f t="shared" si="25"/>
        <v>186953.84231164702</v>
      </c>
      <c r="R57" s="1323">
        <f t="shared" si="25"/>
        <v>219956.8201602865</v>
      </c>
    </row>
    <row r="59" spans="1:18">
      <c r="A59" t="s">
        <v>1020</v>
      </c>
      <c r="C59" s="1321">
        <f>C44</f>
        <v>228289</v>
      </c>
      <c r="D59" s="1321">
        <f>D44</f>
        <v>279472</v>
      </c>
      <c r="E59" s="1321">
        <f t="shared" ref="E59:R59" si="26">E44</f>
        <v>327910.60000000003</v>
      </c>
      <c r="F59" s="1321">
        <f t="shared" si="26"/>
        <v>430535</v>
      </c>
      <c r="G59" s="1321">
        <f t="shared" si="26"/>
        <v>442341</v>
      </c>
      <c r="H59" s="1321">
        <f t="shared" si="26"/>
        <v>557986.68145034462</v>
      </c>
      <c r="I59" s="1321">
        <f t="shared" si="26"/>
        <v>669005.20687984279</v>
      </c>
      <c r="J59" s="1321">
        <f t="shared" si="26"/>
        <v>773892.53863292478</v>
      </c>
      <c r="K59" s="1321">
        <f t="shared" si="26"/>
        <v>889647.5186807951</v>
      </c>
      <c r="L59" s="1321">
        <f t="shared" si="26"/>
        <v>1023344.1577558946</v>
      </c>
      <c r="M59" s="1321">
        <f t="shared" si="26"/>
        <v>1175398.8332093288</v>
      </c>
      <c r="N59" s="1321">
        <f t="shared" si="26"/>
        <v>1332120.7280891363</v>
      </c>
      <c r="O59" s="1321">
        <f t="shared" si="26"/>
        <v>1500755.6114114083</v>
      </c>
      <c r="P59" s="1321">
        <f t="shared" si="26"/>
        <v>1693975.9480717641</v>
      </c>
      <c r="Q59" s="1321">
        <f t="shared" si="26"/>
        <v>1911250.1531182036</v>
      </c>
      <c r="R59" s="1321">
        <f t="shared" si="26"/>
        <v>2156631.7200761661</v>
      </c>
    </row>
    <row r="61" spans="1:18">
      <c r="A61" t="s">
        <v>329</v>
      </c>
      <c r="C61" s="1321">
        <f>C59-C54</f>
        <v>-20997.479999999981</v>
      </c>
      <c r="D61" s="1321">
        <f t="shared" ref="D61:R61" si="27">D59-D54</f>
        <v>5971</v>
      </c>
      <c r="E61" s="1321">
        <f t="shared" si="27"/>
        <v>-16360.578926999995</v>
      </c>
      <c r="F61" s="1321">
        <f t="shared" si="27"/>
        <v>-1021.7804800000158</v>
      </c>
      <c r="G61" s="1321">
        <f t="shared" si="27"/>
        <v>-125252.79905000003</v>
      </c>
      <c r="H61" s="1321">
        <f t="shared" si="27"/>
        <v>-101675.31854965538</v>
      </c>
      <c r="I61" s="1321">
        <f t="shared" si="27"/>
        <v>-59037.379413874587</v>
      </c>
      <c r="J61" s="1321">
        <f t="shared" si="27"/>
        <v>-56901.932588174823</v>
      </c>
      <c r="K61" s="1321">
        <f t="shared" si="27"/>
        <v>-62678.677802172489</v>
      </c>
      <c r="L61" s="1321">
        <f t="shared" si="27"/>
        <v>-65378.215150187258</v>
      </c>
      <c r="M61" s="1321">
        <f t="shared" si="27"/>
        <v>-65012.602794120088</v>
      </c>
      <c r="N61" s="1321">
        <f t="shared" si="27"/>
        <v>-71601.852898038458</v>
      </c>
      <c r="O61" s="1321">
        <f t="shared" si="27"/>
        <v>-85012.563651101431</v>
      </c>
      <c r="P61" s="1321">
        <f t="shared" si="27"/>
        <v>-91751.95943126292</v>
      </c>
      <c r="Q61" s="1321">
        <f t="shared" si="27"/>
        <v>-100472.70827061334</v>
      </c>
      <c r="R61" s="1321">
        <f t="shared" si="27"/>
        <v>-111582.0089803841</v>
      </c>
    </row>
    <row r="62" spans="1:18">
      <c r="A62" t="s">
        <v>1021</v>
      </c>
      <c r="C62" s="1321">
        <f>C59-C53</f>
        <v>-27618.479999999981</v>
      </c>
      <c r="D62" s="1321">
        <f t="shared" ref="D62:R62" si="28">D59-D53</f>
        <v>-61835.190070263343</v>
      </c>
      <c r="E62" s="1321">
        <f t="shared" si="28"/>
        <v>-102188.74435170187</v>
      </c>
      <c r="F62" s="1321">
        <f t="shared" si="28"/>
        <v>-127125.36397077399</v>
      </c>
      <c r="G62" s="1321">
        <f t="shared" si="28"/>
        <v>-211419.0319017492</v>
      </c>
      <c r="H62" s="1321">
        <f t="shared" si="28"/>
        <v>-198415.54832717928</v>
      </c>
      <c r="I62" s="1321">
        <f t="shared" si="28"/>
        <v>-193468.05760873423</v>
      </c>
      <c r="J62" s="1321">
        <f t="shared" si="28"/>
        <v>-164959.48640244408</v>
      </c>
      <c r="K62" s="1321">
        <f t="shared" si="28"/>
        <v>-180702.18291134085</v>
      </c>
      <c r="L62" s="1321">
        <f t="shared" si="28"/>
        <v>-191829.12354542734</v>
      </c>
      <c r="M62" s="1321">
        <f t="shared" si="28"/>
        <v>-199619.27629865846</v>
      </c>
      <c r="N62" s="1321">
        <f t="shared" si="28"/>
        <v>-211907.71057227929</v>
      </c>
      <c r="O62" s="1321">
        <f t="shared" si="28"/>
        <v>-235573.02818834083</v>
      </c>
      <c r="P62" s="1321">
        <f t="shared" si="28"/>
        <v>-258985.12935369276</v>
      </c>
      <c r="Q62" s="1321">
        <f t="shared" si="28"/>
        <v>-287426.55058226059</v>
      </c>
      <c r="R62" s="1321">
        <f t="shared" si="28"/>
        <v>-331538.8291406706</v>
      </c>
    </row>
    <row r="63" spans="1:18">
      <c r="A63" t="s">
        <v>1035</v>
      </c>
      <c r="C63" s="1327">
        <f>C62/C70</f>
        <v>-3.2910044031340728E-2</v>
      </c>
      <c r="D63" s="1327">
        <f t="shared" ref="D63:R63" si="29">D62/D70</f>
        <v>-6.346855328915986E-2</v>
      </c>
      <c r="E63" s="1327">
        <f t="shared" si="29"/>
        <v>-8.9348056099212994E-2</v>
      </c>
      <c r="F63" s="1327">
        <f t="shared" si="29"/>
        <v>-8.5604115161210678E-2</v>
      </c>
      <c r="G63" s="1327">
        <f t="shared" si="29"/>
        <v>-0.12748458407632299</v>
      </c>
      <c r="H63" s="1327">
        <f t="shared" si="29"/>
        <v>-0.1001636559651967</v>
      </c>
      <c r="I63" s="1327">
        <f t="shared" si="29"/>
        <v>-8.0351864918292562E-2</v>
      </c>
      <c r="J63" s="1327">
        <f t="shared" si="29"/>
        <v>-5.9891113152702159E-2</v>
      </c>
      <c r="K63" s="1327">
        <f t="shared" si="29"/>
        <v>-5.7132073356627087E-2</v>
      </c>
      <c r="L63" s="1327">
        <f t="shared" si="29"/>
        <v>-5.2958725008166133E-2</v>
      </c>
      <c r="M63" s="1327">
        <f t="shared" si="29"/>
        <v>-4.8342064483966447E-2</v>
      </c>
      <c r="N63" s="1327">
        <f t="shared" si="29"/>
        <v>-4.5201153098246641E-2</v>
      </c>
      <c r="O63" s="1327">
        <f t="shared" si="29"/>
        <v>-4.433789049795632E-2</v>
      </c>
      <c r="P63" s="1327">
        <f t="shared" si="29"/>
        <v>-4.3010406681373951E-2</v>
      </c>
      <c r="Q63" s="1327">
        <f t="shared" si="29"/>
        <v>-4.2105203886615143E-2</v>
      </c>
      <c r="R63" s="1327">
        <f t="shared" si="29"/>
        <v>-4.2826018573742408E-2</v>
      </c>
    </row>
    <row r="64" spans="1:18">
      <c r="A64" t="s">
        <v>1022</v>
      </c>
      <c r="C64" s="1321">
        <f>C49</f>
        <v>-345878.82363551157</v>
      </c>
      <c r="D64" s="1321">
        <f>C64+D62</f>
        <v>-407714.01370577491</v>
      </c>
      <c r="E64" s="1321">
        <f t="shared" ref="E64:R64" si="30">D64+E62</f>
        <v>-509902.75805747678</v>
      </c>
      <c r="F64" s="1321">
        <f t="shared" si="30"/>
        <v>-637028.12202825071</v>
      </c>
      <c r="G64" s="1321">
        <f t="shared" si="30"/>
        <v>-848447.15392999991</v>
      </c>
      <c r="H64" s="1321">
        <f t="shared" si="30"/>
        <v>-1046862.7022571792</v>
      </c>
      <c r="I64" s="1321">
        <f t="shared" si="30"/>
        <v>-1240330.7598659135</v>
      </c>
      <c r="J64" s="1321">
        <f t="shared" si="30"/>
        <v>-1405290.2462683576</v>
      </c>
      <c r="K64" s="1321">
        <f t="shared" si="30"/>
        <v>-1585992.4291796985</v>
      </c>
      <c r="L64" s="1321">
        <f t="shared" si="30"/>
        <v>-1777821.5527251258</v>
      </c>
      <c r="M64" s="1321">
        <f t="shared" si="30"/>
        <v>-1977440.8290237843</v>
      </c>
      <c r="N64" s="1321">
        <f t="shared" si="30"/>
        <v>-2189348.5395960636</v>
      </c>
      <c r="O64" s="1321">
        <f t="shared" si="30"/>
        <v>-2424921.5677844044</v>
      </c>
      <c r="P64" s="1321">
        <f t="shared" si="30"/>
        <v>-2683906.6971380971</v>
      </c>
      <c r="Q64" s="1321">
        <f t="shared" si="30"/>
        <v>-2971333.247720358</v>
      </c>
      <c r="R64" s="1321">
        <f t="shared" si="30"/>
        <v>-3302872.0768610286</v>
      </c>
    </row>
    <row r="65" spans="1:18">
      <c r="A65" t="s">
        <v>1030</v>
      </c>
      <c r="C65" s="1327">
        <f>C64/C70</f>
        <v>-0.41214749382851729</v>
      </c>
      <c r="D65" s="1327">
        <f t="shared" ref="D65:R65" si="31">D64/D70</f>
        <v>-0.41848369150669978</v>
      </c>
      <c r="E65" s="1327">
        <f t="shared" si="31"/>
        <v>-0.44583012073485878</v>
      </c>
      <c r="F65" s="1327">
        <f t="shared" si="31"/>
        <v>-0.42896418948757586</v>
      </c>
      <c r="G65" s="1327">
        <f t="shared" si="31"/>
        <v>-0.51160925086333775</v>
      </c>
      <c r="H65" s="1327">
        <f t="shared" si="31"/>
        <v>-0.52847469079781129</v>
      </c>
      <c r="I65" s="1327">
        <f t="shared" si="31"/>
        <v>-0.51513873092324725</v>
      </c>
      <c r="J65" s="1327">
        <f t="shared" si="31"/>
        <v>-0.51021253149585399</v>
      </c>
      <c r="K65" s="1327">
        <f t="shared" si="31"/>
        <v>-0.50143852358112817</v>
      </c>
      <c r="L65" s="1327">
        <f t="shared" si="31"/>
        <v>-0.49080744875563587</v>
      </c>
      <c r="M65" s="1327">
        <f t="shared" si="31"/>
        <v>-0.47887946415993637</v>
      </c>
      <c r="N65" s="1327">
        <f t="shared" si="31"/>
        <v>-0.46700083850865765</v>
      </c>
      <c r="O65" s="1327">
        <f t="shared" si="31"/>
        <v>-0.45640159981557149</v>
      </c>
      <c r="P65" s="1327">
        <f t="shared" si="31"/>
        <v>-0.44572411870460454</v>
      </c>
      <c r="Q65" s="1327">
        <f t="shared" si="31"/>
        <v>-0.43527152226160931</v>
      </c>
      <c r="R65" s="1327">
        <f t="shared" si="31"/>
        <v>-0.42664342296488411</v>
      </c>
    </row>
    <row r="66" spans="1:18" ht="15.75">
      <c r="A66" t="s">
        <v>1028</v>
      </c>
      <c r="D66" s="1004">
        <f>((-D61-((D61)^2+4*C64*D64)^0.5)/(2*C64))^2-1</f>
        <v>0.19766962865321469</v>
      </c>
      <c r="E66" s="1004">
        <f t="shared" ref="E66:R66" si="32">((-E61-((E61)^2+4*D64*E64)^0.5)/(2*D64))^2-1</f>
        <v>0.20656072517660728</v>
      </c>
      <c r="F66" s="1004">
        <f t="shared" si="32"/>
        <v>0.24707518044444421</v>
      </c>
      <c r="G66" s="1004">
        <f t="shared" si="32"/>
        <v>0.12347701538480749</v>
      </c>
      <c r="H66" s="1004">
        <f t="shared" si="32"/>
        <v>0.10773036976982397</v>
      </c>
      <c r="I66" s="1004">
        <f t="shared" si="32"/>
        <v>0.12499220506497366</v>
      </c>
      <c r="J66" s="1004">
        <f t="shared" si="32"/>
        <v>8.5205438024780644E-2</v>
      </c>
      <c r="K66" s="1004">
        <f t="shared" si="32"/>
        <v>8.218845064580016E-2</v>
      </c>
      <c r="L66" s="1004">
        <f t="shared" si="32"/>
        <v>7.8149380446612904E-2</v>
      </c>
      <c r="M66" s="1004">
        <f t="shared" si="32"/>
        <v>7.4378811015981094E-2</v>
      </c>
      <c r="N66" s="1004">
        <f t="shared" si="32"/>
        <v>6.9712393287663543E-2</v>
      </c>
      <c r="O66" s="1004">
        <f t="shared" si="32"/>
        <v>6.7480772449220794E-2</v>
      </c>
      <c r="P66" s="1004">
        <f t="shared" si="32"/>
        <v>6.7704468530888073E-2</v>
      </c>
      <c r="Q66" s="1004">
        <f t="shared" si="32"/>
        <v>6.8398275763617011E-2</v>
      </c>
      <c r="R66" s="1004">
        <f t="shared" si="32"/>
        <v>7.2685469118822787E-2</v>
      </c>
    </row>
    <row r="67" spans="1:18">
      <c r="A67" t="s">
        <v>1026</v>
      </c>
      <c r="D67" s="1321">
        <f t="shared" ref="D67:R67" si="33">-(C64*D66+D61*((1+D66)^0.5-1))</f>
        <v>67806.190070263328</v>
      </c>
      <c r="E67" s="1321">
        <f t="shared" si="33"/>
        <v>85828.165424701874</v>
      </c>
      <c r="F67" s="1321">
        <f t="shared" si="33"/>
        <v>126103.58349077408</v>
      </c>
      <c r="G67" s="1321">
        <f t="shared" si="33"/>
        <v>86166.232851749053</v>
      </c>
      <c r="H67" s="1321">
        <f t="shared" si="33"/>
        <v>96740.229777524044</v>
      </c>
      <c r="I67" s="1321">
        <f t="shared" si="33"/>
        <v>134430.67819485994</v>
      </c>
      <c r="J67" s="1321">
        <f t="shared" si="33"/>
        <v>108057.55381426918</v>
      </c>
      <c r="K67" s="1321">
        <f t="shared" si="33"/>
        <v>118023.50510916857</v>
      </c>
      <c r="L67" s="1321">
        <f t="shared" si="33"/>
        <v>126450.90839524029</v>
      </c>
      <c r="M67" s="1321">
        <f t="shared" si="33"/>
        <v>134606.67350453796</v>
      </c>
      <c r="N67" s="1321">
        <f t="shared" si="33"/>
        <v>140305.85767424057</v>
      </c>
      <c r="O67" s="1321">
        <f t="shared" si="33"/>
        <v>150560.46453723917</v>
      </c>
      <c r="P67" s="1321">
        <f t="shared" si="33"/>
        <v>167233.16992243007</v>
      </c>
      <c r="Q67" s="1321">
        <f t="shared" si="33"/>
        <v>186953.84231164854</v>
      </c>
      <c r="R67" s="1321">
        <f t="shared" si="33"/>
        <v>219956.82016028761</v>
      </c>
    </row>
    <row r="69" spans="1:18">
      <c r="A69" t="s">
        <v>1029</v>
      </c>
    </row>
    <row r="70" spans="1:18">
      <c r="A70" t="s">
        <v>1031</v>
      </c>
      <c r="C70" s="1321">
        <f>'IMF Data'!C3</f>
        <v>839211.27464000008</v>
      </c>
      <c r="D70" s="1321">
        <f>'IMF Data'!D3</f>
        <v>974265.00000000012</v>
      </c>
      <c r="E70" s="1321">
        <f>'IMF Data'!E3</f>
        <v>1143715.3622931701</v>
      </c>
      <c r="F70" s="1321">
        <f>'IMF Data'!F3</f>
        <v>1485038</v>
      </c>
      <c r="G70" s="1321">
        <f>'IMF Data'!G3</f>
        <v>1658389</v>
      </c>
      <c r="H70" s="1321">
        <f>'IMF Data'!H3</f>
        <v>1980913.6</v>
      </c>
      <c r="I70" s="1321">
        <f>'IMF Data'!I3</f>
        <v>2407760.6388534503</v>
      </c>
      <c r="J70" s="1321">
        <f>'IMF Data'!J3</f>
        <v>2754323.2663225504</v>
      </c>
      <c r="K70" s="1321">
        <f>'IMF Data'!K3</f>
        <v>3162885.0887901504</v>
      </c>
      <c r="L70" s="1321">
        <f>'IMF Data'!L3</f>
        <v>3622238.3283556704</v>
      </c>
      <c r="M70" s="1321">
        <f>'IMF Data'!M3</f>
        <v>4129308.0556140901</v>
      </c>
      <c r="N70" s="1321">
        <f>'IMF Data'!N3</f>
        <v>4688104.0868955003</v>
      </c>
      <c r="O70" s="1321">
        <f>'IMF Data'!O3</f>
        <v>5313131.1738703307</v>
      </c>
      <c r="P70" s="1321">
        <f>'IMF Data'!P3</f>
        <v>6021452.6980013102</v>
      </c>
      <c r="Q70" s="1321">
        <f>'IMF Data'!Q3</f>
        <v>6826390.1857896205</v>
      </c>
      <c r="R70" s="1321">
        <f>'IMF Data'!R3</f>
        <v>7741528.1686713807</v>
      </c>
    </row>
    <row r="71" spans="1:18">
      <c r="A71" t="s">
        <v>1030</v>
      </c>
      <c r="C71" s="1325">
        <f>-C64/C70</f>
        <v>0.41214749382851729</v>
      </c>
      <c r="D71" s="1325">
        <f t="shared" ref="D71:R71" si="34">-D64/D70</f>
        <v>0.41848369150669978</v>
      </c>
      <c r="E71" s="1325">
        <f t="shared" si="34"/>
        <v>0.44583012073485878</v>
      </c>
      <c r="F71" s="1325">
        <f t="shared" si="34"/>
        <v>0.42896418948757586</v>
      </c>
      <c r="G71" s="1325">
        <f t="shared" si="34"/>
        <v>0.51160925086333775</v>
      </c>
      <c r="H71" s="1325">
        <f t="shared" si="34"/>
        <v>0.52847469079781129</v>
      </c>
      <c r="I71" s="1325">
        <f t="shared" si="34"/>
        <v>0.51513873092324725</v>
      </c>
      <c r="J71" s="1325">
        <f t="shared" si="34"/>
        <v>0.51021253149585399</v>
      </c>
      <c r="K71" s="1325">
        <f t="shared" si="34"/>
        <v>0.50143852358112817</v>
      </c>
      <c r="L71" s="1325">
        <f t="shared" si="34"/>
        <v>0.49080744875563587</v>
      </c>
      <c r="M71" s="1325">
        <f t="shared" si="34"/>
        <v>0.47887946415993637</v>
      </c>
      <c r="N71" s="1325">
        <f t="shared" si="34"/>
        <v>0.46700083850865765</v>
      </c>
      <c r="O71" s="1325">
        <f t="shared" si="34"/>
        <v>0.45640159981557149</v>
      </c>
      <c r="P71" s="1325">
        <f t="shared" si="34"/>
        <v>0.44572411870460454</v>
      </c>
      <c r="Q71" s="1325">
        <f t="shared" si="34"/>
        <v>0.43527152226160931</v>
      </c>
      <c r="R71" s="1325">
        <f t="shared" si="34"/>
        <v>0.42664342296488411</v>
      </c>
    </row>
    <row r="73" spans="1:18">
      <c r="A73" s="1326" t="s">
        <v>1032</v>
      </c>
    </row>
    <row r="75" spans="1:18">
      <c r="A75" t="s">
        <v>876</v>
      </c>
      <c r="C75" s="1321">
        <f>C76+C79</f>
        <v>255907.47999999998</v>
      </c>
      <c r="D75" s="1321">
        <f>D76+D79</f>
        <v>341307.19007026334</v>
      </c>
      <c r="E75" s="1321">
        <f t="shared" ref="E75:R75" si="35">E76+E79</f>
        <v>430099.3443517019</v>
      </c>
      <c r="F75" s="1321">
        <f t="shared" si="35"/>
        <v>557660.36397077411</v>
      </c>
      <c r="G75" s="1321">
        <f t="shared" si="35"/>
        <v>653760.03190174908</v>
      </c>
      <c r="H75" s="1321">
        <f t="shared" si="35"/>
        <v>756402.22977752401</v>
      </c>
      <c r="I75" s="1321">
        <f t="shared" si="35"/>
        <v>878529.98410255834</v>
      </c>
      <c r="J75" s="1321">
        <f t="shared" si="35"/>
        <v>977227.95975480683</v>
      </c>
      <c r="K75" s="1321">
        <f t="shared" si="35"/>
        <v>1124790.9172725496</v>
      </c>
      <c r="L75" s="1321">
        <f t="shared" si="35"/>
        <v>1289108.4772069328</v>
      </c>
      <c r="M75" s="1321">
        <f t="shared" si="35"/>
        <v>1466810.0481121268</v>
      </c>
      <c r="N75" s="1321">
        <f t="shared" si="35"/>
        <v>1656681.6883263937</v>
      </c>
      <c r="O75" s="1321">
        <f t="shared" si="35"/>
        <v>1868987.3287376235</v>
      </c>
      <c r="P75" s="1321">
        <f t="shared" si="35"/>
        <v>2109130.7717611645</v>
      </c>
      <c r="Q75" s="1321">
        <f t="shared" si="35"/>
        <v>2384465.6103935237</v>
      </c>
      <c r="R75" s="1321">
        <f t="shared" si="35"/>
        <v>2709877.9512687349</v>
      </c>
    </row>
    <row r="76" spans="1:18">
      <c r="A76" s="1322" t="s">
        <v>1017</v>
      </c>
      <c r="B76" s="1322"/>
      <c r="C76" s="1323">
        <f>C77+C78</f>
        <v>249286.47999999998</v>
      </c>
      <c r="D76" s="1323">
        <f>D77+D78</f>
        <v>273501</v>
      </c>
      <c r="E76" s="1323">
        <f t="shared" ref="E76:R76" si="36">E77+E78</f>
        <v>344271.17892700003</v>
      </c>
      <c r="F76" s="1323">
        <f t="shared" si="36"/>
        <v>431556.78048000002</v>
      </c>
      <c r="G76" s="1323">
        <f t="shared" si="36"/>
        <v>567593.79905000003</v>
      </c>
      <c r="H76" s="1323">
        <f t="shared" si="36"/>
        <v>659662</v>
      </c>
      <c r="I76" s="1323">
        <f t="shared" si="36"/>
        <v>743181.05916997872</v>
      </c>
      <c r="J76" s="1323">
        <f t="shared" si="36"/>
        <v>866319.74736534199</v>
      </c>
      <c r="K76" s="1323">
        <f t="shared" si="36"/>
        <v>1000358.7860539407</v>
      </c>
      <c r="L76" s="1323">
        <f t="shared" si="36"/>
        <v>1151733.3210238472</v>
      </c>
      <c r="M76" s="1323">
        <f t="shared" si="36"/>
        <v>1315851.0146153881</v>
      </c>
      <c r="N76" s="1323">
        <f t="shared" si="36"/>
        <v>1494134.4130889913</v>
      </c>
      <c r="O76" s="1323">
        <f t="shared" si="36"/>
        <v>1688872.6505511401</v>
      </c>
      <c r="P76" s="1323">
        <f t="shared" si="36"/>
        <v>1902798.9568575299</v>
      </c>
      <c r="Q76" s="1323">
        <f t="shared" si="36"/>
        <v>2146728.1759999786</v>
      </c>
      <c r="R76" s="1323">
        <f t="shared" si="36"/>
        <v>2421792.0340826474</v>
      </c>
    </row>
    <row r="77" spans="1:18">
      <c r="A77" t="s">
        <v>1018</v>
      </c>
      <c r="C77" s="1321">
        <f t="shared" ref="C77:H77" si="37">C55</f>
        <v>143272</v>
      </c>
      <c r="D77" s="1321">
        <f t="shared" si="37"/>
        <v>172104</v>
      </c>
      <c r="E77" s="1321">
        <f t="shared" si="37"/>
        <v>219158.678927</v>
      </c>
      <c r="F77" s="1321">
        <f t="shared" si="37"/>
        <v>275640</v>
      </c>
      <c r="G77" s="1321">
        <f t="shared" si="37"/>
        <v>323201</v>
      </c>
      <c r="H77" s="1321">
        <f t="shared" si="37"/>
        <v>391679.99999999994</v>
      </c>
      <c r="I77" s="1321">
        <f t="shared" ref="I77:R77" si="38">I55+I94</f>
        <v>504894.06320123828</v>
      </c>
      <c r="J77" s="1321">
        <f t="shared" si="38"/>
        <v>595774.16279685113</v>
      </c>
      <c r="K77" s="1321">
        <f t="shared" si="38"/>
        <v>691385.8485262004</v>
      </c>
      <c r="L77" s="1321">
        <f t="shared" si="38"/>
        <v>799799.91383752832</v>
      </c>
      <c r="M77" s="1321">
        <f t="shared" si="38"/>
        <v>915370.12310907966</v>
      </c>
      <c r="N77" s="1321">
        <f t="shared" si="38"/>
        <v>1044005.4524692402</v>
      </c>
      <c r="O77" s="1321">
        <f t="shared" si="38"/>
        <v>1183833.0381799825</v>
      </c>
      <c r="P77" s="1321">
        <f t="shared" si="38"/>
        <v>1341877.2336303026</v>
      </c>
      <c r="Q77" s="1321">
        <f t="shared" si="38"/>
        <v>1523541.4927015426</v>
      </c>
      <c r="R77" s="1321">
        <f t="shared" si="38"/>
        <v>1728260.0391998647</v>
      </c>
    </row>
    <row r="78" spans="1:18">
      <c r="A78" t="s">
        <v>1025</v>
      </c>
      <c r="C78" s="1321">
        <f>C41</f>
        <v>106014.47999999998</v>
      </c>
      <c r="D78" s="1321">
        <f>D41</f>
        <v>101397</v>
      </c>
      <c r="E78" s="1321">
        <f t="shared" ref="E78:R78" si="39">E41</f>
        <v>125112.5</v>
      </c>
      <c r="F78" s="1321">
        <f t="shared" si="39"/>
        <v>155916.78048000002</v>
      </c>
      <c r="G78" s="1321">
        <f t="shared" si="39"/>
        <v>244392.79905</v>
      </c>
      <c r="H78" s="1321">
        <f t="shared" si="39"/>
        <v>267982</v>
      </c>
      <c r="I78" s="1321">
        <f t="shared" si="39"/>
        <v>238286.9959687404</v>
      </c>
      <c r="J78" s="1321">
        <f t="shared" si="39"/>
        <v>270545.58456849086</v>
      </c>
      <c r="K78" s="1321">
        <f t="shared" si="39"/>
        <v>308972.9375277402</v>
      </c>
      <c r="L78" s="1321">
        <f t="shared" si="39"/>
        <v>351933.40718631895</v>
      </c>
      <c r="M78" s="1321">
        <f t="shared" si="39"/>
        <v>400480.89150630857</v>
      </c>
      <c r="N78" s="1321">
        <f t="shared" si="39"/>
        <v>450128.96061975107</v>
      </c>
      <c r="O78" s="1321">
        <f t="shared" si="39"/>
        <v>505039.61237115768</v>
      </c>
      <c r="P78" s="1321">
        <f t="shared" si="39"/>
        <v>560921.72322722722</v>
      </c>
      <c r="Q78" s="1321">
        <f t="shared" si="39"/>
        <v>623186.68329843599</v>
      </c>
      <c r="R78" s="1321">
        <f t="shared" si="39"/>
        <v>693531.9948827828</v>
      </c>
    </row>
    <row r="79" spans="1:18">
      <c r="A79" s="1322" t="s">
        <v>1049</v>
      </c>
      <c r="B79" s="1322"/>
      <c r="C79" s="1323">
        <f>C57</f>
        <v>6621</v>
      </c>
      <c r="D79" s="1323">
        <f t="shared" ref="D79:R79" si="40">-(C86*D88+D83*((1+D88)^0.5-1))</f>
        <v>67806.190070263328</v>
      </c>
      <c r="E79" s="1323">
        <f t="shared" si="40"/>
        <v>85828.165424701874</v>
      </c>
      <c r="F79" s="1323">
        <f t="shared" si="40"/>
        <v>126103.58349077408</v>
      </c>
      <c r="G79" s="1323">
        <f t="shared" si="40"/>
        <v>86166.232851749082</v>
      </c>
      <c r="H79" s="1323">
        <f t="shared" si="40"/>
        <v>96740.229777524044</v>
      </c>
      <c r="I79" s="1323">
        <f t="shared" si="40"/>
        <v>135348.92493257968</v>
      </c>
      <c r="J79" s="1323">
        <f t="shared" si="40"/>
        <v>110908.21238946484</v>
      </c>
      <c r="K79" s="1323">
        <f t="shared" si="40"/>
        <v>124432.13121860885</v>
      </c>
      <c r="L79" s="1323">
        <f t="shared" si="40"/>
        <v>137375.15618308552</v>
      </c>
      <c r="M79" s="1323">
        <f t="shared" si="40"/>
        <v>150959.03349673873</v>
      </c>
      <c r="N79" s="1323">
        <f t="shared" si="40"/>
        <v>162547.2752374023</v>
      </c>
      <c r="O79" s="1323">
        <f t="shared" si="40"/>
        <v>180114.67818648356</v>
      </c>
      <c r="P79" s="1323">
        <f t="shared" si="40"/>
        <v>206331.81490363463</v>
      </c>
      <c r="Q79" s="1323">
        <f t="shared" si="40"/>
        <v>237737.43439354529</v>
      </c>
      <c r="R79" s="1323">
        <f t="shared" si="40"/>
        <v>288085.91718608746</v>
      </c>
    </row>
    <row r="80" spans="1:18">
      <c r="A80" s="1364" t="s">
        <v>1050</v>
      </c>
      <c r="B80" s="1364"/>
      <c r="C80" s="1364"/>
      <c r="D80" s="1364"/>
      <c r="E80" s="1364"/>
      <c r="F80" s="1364"/>
      <c r="G80" s="1364"/>
      <c r="H80" s="1364"/>
      <c r="I80" s="1365">
        <f>I79-I57</f>
        <v>918.24673772003734</v>
      </c>
      <c r="J80" s="1365">
        <f t="shared" ref="J80:R80" si="41">J79-J57</f>
        <v>2850.6585751955863</v>
      </c>
      <c r="K80" s="1365">
        <f t="shared" si="41"/>
        <v>6408.6261094404908</v>
      </c>
      <c r="L80" s="1365">
        <f t="shared" si="41"/>
        <v>10924.247787845437</v>
      </c>
      <c r="M80" s="1365">
        <f t="shared" si="41"/>
        <v>16352.359992200363</v>
      </c>
      <c r="N80" s="1365">
        <f t="shared" si="41"/>
        <v>22241.417563161463</v>
      </c>
      <c r="O80" s="1365">
        <f t="shared" si="41"/>
        <v>29554.213649244164</v>
      </c>
      <c r="P80" s="1365">
        <f t="shared" si="41"/>
        <v>39098.644981204794</v>
      </c>
      <c r="Q80" s="1365">
        <f t="shared" si="41"/>
        <v>50783.59208189827</v>
      </c>
      <c r="R80" s="1365">
        <f t="shared" si="41"/>
        <v>68129.097025800962</v>
      </c>
    </row>
    <row r="81" spans="1:18">
      <c r="A81" t="s">
        <v>1020</v>
      </c>
      <c r="C81" s="1321">
        <f>C59</f>
        <v>228289</v>
      </c>
      <c r="D81" s="1321">
        <f>D59</f>
        <v>279472</v>
      </c>
      <c r="E81" s="1321">
        <f t="shared" ref="E81:R81" si="42">E59</f>
        <v>327910.60000000003</v>
      </c>
      <c r="F81" s="1321">
        <f t="shared" si="42"/>
        <v>430535</v>
      </c>
      <c r="G81" s="1321">
        <f t="shared" si="42"/>
        <v>442341</v>
      </c>
      <c r="H81" s="1321">
        <f t="shared" si="42"/>
        <v>557986.68145034462</v>
      </c>
      <c r="I81" s="1321">
        <f t="shared" si="42"/>
        <v>669005.20687984279</v>
      </c>
      <c r="J81" s="1321">
        <f t="shared" si="42"/>
        <v>773892.53863292478</v>
      </c>
      <c r="K81" s="1321">
        <f t="shared" si="42"/>
        <v>889647.5186807951</v>
      </c>
      <c r="L81" s="1321">
        <f t="shared" si="42"/>
        <v>1023344.1577558946</v>
      </c>
      <c r="M81" s="1321">
        <f t="shared" si="42"/>
        <v>1175398.8332093288</v>
      </c>
      <c r="N81" s="1321">
        <f t="shared" si="42"/>
        <v>1332120.7280891363</v>
      </c>
      <c r="O81" s="1321">
        <f t="shared" si="42"/>
        <v>1500755.6114114083</v>
      </c>
      <c r="P81" s="1321">
        <f t="shared" si="42"/>
        <v>1693975.9480717641</v>
      </c>
      <c r="Q81" s="1321">
        <f t="shared" si="42"/>
        <v>1911250.1531182036</v>
      </c>
      <c r="R81" s="1321">
        <f t="shared" si="42"/>
        <v>2156631.7200761661</v>
      </c>
    </row>
    <row r="82" spans="1:18">
      <c r="A82" s="1366" t="s">
        <v>1051</v>
      </c>
      <c r="B82" s="1366"/>
      <c r="C82" s="1366"/>
      <c r="D82" s="1366"/>
      <c r="E82" s="1366"/>
      <c r="F82" s="1366"/>
      <c r="G82" s="1367"/>
      <c r="H82" s="1367"/>
      <c r="I82" s="1367">
        <f>I80/I70*100</f>
        <v>3.813696107920829E-2</v>
      </c>
      <c r="J82" s="1367">
        <f t="shared" ref="J82:R82" si="43">J80/J70*100</f>
        <v>0.10349760356930283</v>
      </c>
      <c r="K82" s="1367">
        <f t="shared" si="43"/>
        <v>0.20261963142935058</v>
      </c>
      <c r="L82" s="1367">
        <f t="shared" si="43"/>
        <v>0.30158832184862178</v>
      </c>
      <c r="M82" s="1367">
        <f t="shared" si="43"/>
        <v>0.39600726736694197</v>
      </c>
      <c r="N82" s="1367">
        <f t="shared" si="43"/>
        <v>0.47442243497391945</v>
      </c>
      <c r="O82" s="1367">
        <f t="shared" si="43"/>
        <v>0.55624852242666367</v>
      </c>
      <c r="P82" s="1367">
        <f t="shared" si="43"/>
        <v>0.64932246323520459</v>
      </c>
      <c r="Q82" s="1367">
        <f t="shared" si="43"/>
        <v>0.74393040391411569</v>
      </c>
      <c r="R82" s="1367">
        <f t="shared" si="43"/>
        <v>0.88004713722424444</v>
      </c>
    </row>
    <row r="83" spans="1:18">
      <c r="A83" t="s">
        <v>329</v>
      </c>
      <c r="C83" s="1321">
        <f>C81-C76</f>
        <v>-20997.479999999981</v>
      </c>
      <c r="D83" s="1321">
        <f>D81-D76</f>
        <v>5971</v>
      </c>
      <c r="E83" s="1321">
        <f t="shared" ref="E83:R83" si="44">E81-E76</f>
        <v>-16360.578926999995</v>
      </c>
      <c r="F83" s="1321">
        <f t="shared" si="44"/>
        <v>-1021.7804800000158</v>
      </c>
      <c r="G83" s="1321">
        <f t="shared" si="44"/>
        <v>-125252.79905000003</v>
      </c>
      <c r="H83" s="1321">
        <f t="shared" si="44"/>
        <v>-101675.31854965538</v>
      </c>
      <c r="I83" s="1321">
        <f t="shared" si="44"/>
        <v>-74175.852290135925</v>
      </c>
      <c r="J83" s="1321">
        <f t="shared" si="44"/>
        <v>-92427.208732417203</v>
      </c>
      <c r="K83" s="1321">
        <f t="shared" si="44"/>
        <v>-110711.26737314556</v>
      </c>
      <c r="L83" s="1321">
        <f t="shared" si="44"/>
        <v>-128389.16326795262</v>
      </c>
      <c r="M83" s="1321">
        <f t="shared" si="44"/>
        <v>-140452.1814060593</v>
      </c>
      <c r="N83" s="1321">
        <f t="shared" si="44"/>
        <v>-162013.684999855</v>
      </c>
      <c r="O83" s="1321">
        <f t="shared" si="44"/>
        <v>-188117.03913973179</v>
      </c>
      <c r="P83" s="1321">
        <f t="shared" si="44"/>
        <v>-208823.00878576585</v>
      </c>
      <c r="Q83" s="1321">
        <f t="shared" si="44"/>
        <v>-235478.02288177493</v>
      </c>
      <c r="R83" s="1321">
        <f t="shared" si="44"/>
        <v>-265160.31400648132</v>
      </c>
    </row>
    <row r="84" spans="1:18">
      <c r="A84" t="s">
        <v>1021</v>
      </c>
      <c r="C84" s="1321">
        <f>C81-C75</f>
        <v>-27618.479999999981</v>
      </c>
      <c r="D84" s="1321">
        <f>D81-D75</f>
        <v>-61835.190070263343</v>
      </c>
      <c r="E84" s="1321">
        <f t="shared" ref="E84:R84" si="45">E81-E75</f>
        <v>-102188.74435170187</v>
      </c>
      <c r="F84" s="1321">
        <f t="shared" si="45"/>
        <v>-127125.36397077411</v>
      </c>
      <c r="G84" s="1321">
        <f t="shared" si="45"/>
        <v>-211419.03190174908</v>
      </c>
      <c r="H84" s="1321">
        <f t="shared" si="45"/>
        <v>-198415.54832717939</v>
      </c>
      <c r="I84" s="1321">
        <f t="shared" si="45"/>
        <v>-209524.77722271555</v>
      </c>
      <c r="J84" s="1321">
        <f t="shared" si="45"/>
        <v>-203335.42112188204</v>
      </c>
      <c r="K84" s="1321">
        <f t="shared" si="45"/>
        <v>-235143.39859175449</v>
      </c>
      <c r="L84" s="1321">
        <f t="shared" si="45"/>
        <v>-265764.31945103826</v>
      </c>
      <c r="M84" s="1321">
        <f t="shared" si="45"/>
        <v>-291411.21490279795</v>
      </c>
      <c r="N84" s="1321">
        <f t="shared" si="45"/>
        <v>-324560.96023725742</v>
      </c>
      <c r="O84" s="1321">
        <f t="shared" si="45"/>
        <v>-368231.71732621524</v>
      </c>
      <c r="P84" s="1321">
        <f t="shared" si="45"/>
        <v>-415154.82368940045</v>
      </c>
      <c r="Q84" s="1321">
        <f t="shared" si="45"/>
        <v>-473215.45727532008</v>
      </c>
      <c r="R84" s="1321">
        <f t="shared" si="45"/>
        <v>-553246.23119256878</v>
      </c>
    </row>
    <row r="85" spans="1:18">
      <c r="C85" s="1327">
        <f t="shared" ref="C85:R85" si="46">C84/C91</f>
        <v>-3.2910044031340728E-2</v>
      </c>
      <c r="D85" s="1327">
        <f t="shared" si="46"/>
        <v>-6.346855328915986E-2</v>
      </c>
      <c r="E85" s="1327">
        <f t="shared" si="46"/>
        <v>-8.9348056099212994E-2</v>
      </c>
      <c r="F85" s="1327">
        <f t="shared" si="46"/>
        <v>-8.5604115161210761E-2</v>
      </c>
      <c r="G85" s="1327">
        <f t="shared" si="46"/>
        <v>-0.1274845840763229</v>
      </c>
      <c r="H85" s="1327">
        <f t="shared" si="46"/>
        <v>-0.10016365596519676</v>
      </c>
      <c r="I85" s="1327">
        <f t="shared" si="46"/>
        <v>-8.7020600736495549E-2</v>
      </c>
      <c r="J85" s="1327">
        <f t="shared" si="46"/>
        <v>-7.3824094509199148E-2</v>
      </c>
      <c r="K85" s="1327">
        <f t="shared" si="46"/>
        <v>-7.4344591090313772E-2</v>
      </c>
      <c r="L85" s="1327">
        <f t="shared" si="46"/>
        <v>-7.3370191400874224E-2</v>
      </c>
      <c r="M85" s="1327">
        <f t="shared" si="46"/>
        <v>-7.0571439809777217E-2</v>
      </c>
      <c r="N85" s="1327">
        <f t="shared" si="46"/>
        <v>-6.9230749621044418E-2</v>
      </c>
      <c r="O85" s="1327">
        <f t="shared" si="46"/>
        <v>-6.93059714273868E-2</v>
      </c>
      <c r="P85" s="1327">
        <f t="shared" si="46"/>
        <v>-6.8945957813004499E-2</v>
      </c>
      <c r="Q85" s="1327">
        <f t="shared" si="46"/>
        <v>-6.9321478028080585E-2</v>
      </c>
      <c r="R85" s="1327">
        <f t="shared" si="46"/>
        <v>-7.146473139908735E-2</v>
      </c>
    </row>
    <row r="86" spans="1:18">
      <c r="A86" t="s">
        <v>1022</v>
      </c>
      <c r="C86" s="1321">
        <f>C64</f>
        <v>-345878.82363551157</v>
      </c>
      <c r="D86" s="1321">
        <f>C86+D84</f>
        <v>-407714.01370577491</v>
      </c>
      <c r="E86" s="1321">
        <f t="shared" ref="E86:R86" si="47">D86+E84</f>
        <v>-509902.75805747678</v>
      </c>
      <c r="F86" s="1321">
        <f t="shared" si="47"/>
        <v>-637028.12202825095</v>
      </c>
      <c r="G86" s="1321">
        <f t="shared" si="47"/>
        <v>-848447.15393000003</v>
      </c>
      <c r="H86" s="1321">
        <f t="shared" si="47"/>
        <v>-1046862.7022571794</v>
      </c>
      <c r="I86" s="1321">
        <f t="shared" si="47"/>
        <v>-1256387.479479895</v>
      </c>
      <c r="J86" s="1321">
        <f t="shared" si="47"/>
        <v>-1459722.900601777</v>
      </c>
      <c r="K86" s="1321">
        <f t="shared" si="47"/>
        <v>-1694866.2991935315</v>
      </c>
      <c r="L86" s="1321">
        <f t="shared" si="47"/>
        <v>-1960630.6186445698</v>
      </c>
      <c r="M86" s="1321">
        <f t="shared" si="47"/>
        <v>-2252041.8335473677</v>
      </c>
      <c r="N86" s="1321">
        <f t="shared" si="47"/>
        <v>-2576602.7937846249</v>
      </c>
      <c r="O86" s="1321">
        <f t="shared" si="47"/>
        <v>-2944834.5111108404</v>
      </c>
      <c r="P86" s="1321">
        <f t="shared" si="47"/>
        <v>-3359989.3348002406</v>
      </c>
      <c r="Q86" s="1321">
        <f t="shared" si="47"/>
        <v>-3833204.7920755604</v>
      </c>
      <c r="R86" s="1321">
        <f t="shared" si="47"/>
        <v>-4386451.0232681297</v>
      </c>
    </row>
    <row r="87" spans="1:18">
      <c r="C87" s="1321"/>
      <c r="D87" s="1321"/>
      <c r="E87" s="1321"/>
      <c r="F87" s="1321"/>
      <c r="G87" s="1321"/>
      <c r="H87" s="1321"/>
      <c r="I87" s="1321"/>
      <c r="J87" s="1321"/>
      <c r="K87" s="1321"/>
      <c r="L87" s="1321"/>
      <c r="M87" s="1321"/>
      <c r="N87" s="1321"/>
      <c r="O87" s="1321"/>
      <c r="P87" s="1321"/>
      <c r="Q87" s="1321"/>
      <c r="R87" s="1321"/>
    </row>
    <row r="88" spans="1:18" ht="15.75">
      <c r="A88" t="s">
        <v>1028</v>
      </c>
      <c r="D88" s="1004">
        <f>D66</f>
        <v>0.19766962865321469</v>
      </c>
      <c r="E88" s="1004">
        <f t="shared" ref="E88:R88" si="48">E66</f>
        <v>0.20656072517660728</v>
      </c>
      <c r="F88" s="1004">
        <f t="shared" si="48"/>
        <v>0.24707518044444421</v>
      </c>
      <c r="G88" s="1004">
        <f t="shared" si="48"/>
        <v>0.12347701538480749</v>
      </c>
      <c r="H88" s="1004">
        <f t="shared" si="48"/>
        <v>0.10773036976982397</v>
      </c>
      <c r="I88" s="1004">
        <f t="shared" si="48"/>
        <v>0.12499220506497366</v>
      </c>
      <c r="J88" s="1004">
        <f t="shared" si="48"/>
        <v>8.5205438024780644E-2</v>
      </c>
      <c r="K88" s="1004">
        <f t="shared" si="48"/>
        <v>8.218845064580016E-2</v>
      </c>
      <c r="L88" s="1004">
        <f t="shared" si="48"/>
        <v>7.8149380446612904E-2</v>
      </c>
      <c r="M88" s="1004">
        <f t="shared" si="48"/>
        <v>7.4378811015981094E-2</v>
      </c>
      <c r="N88" s="1004">
        <f t="shared" si="48"/>
        <v>6.9712393287663543E-2</v>
      </c>
      <c r="O88" s="1004">
        <f t="shared" si="48"/>
        <v>6.7480772449220794E-2</v>
      </c>
      <c r="P88" s="1004">
        <f t="shared" si="48"/>
        <v>6.7704468530888073E-2</v>
      </c>
      <c r="Q88" s="1004">
        <f t="shared" si="48"/>
        <v>6.8398275763617011E-2</v>
      </c>
      <c r="R88" s="1004">
        <f t="shared" si="48"/>
        <v>7.2685469118822787E-2</v>
      </c>
    </row>
    <row r="89" spans="1:18" s="1109" customFormat="1" ht="15.75">
      <c r="D89" s="1363"/>
      <c r="E89" s="1363"/>
      <c r="F89" s="1363"/>
      <c r="G89" s="1363"/>
      <c r="H89" s="1363"/>
      <c r="I89" s="1363"/>
      <c r="J89" s="1363"/>
      <c r="K89" s="1363"/>
      <c r="L89" s="1363"/>
      <c r="M89" s="1363"/>
      <c r="N89" s="1363"/>
      <c r="O89" s="1363"/>
      <c r="P89" s="1363"/>
      <c r="Q89" s="1363"/>
      <c r="R89" s="1363"/>
    </row>
    <row r="90" spans="1:18">
      <c r="A90" t="s">
        <v>1029</v>
      </c>
    </row>
    <row r="91" spans="1:18">
      <c r="A91" t="s">
        <v>1031</v>
      </c>
      <c r="C91" s="1321">
        <f>C70</f>
        <v>839211.27464000008</v>
      </c>
      <c r="D91" s="1321">
        <f t="shared" ref="D91:R91" si="49">D70</f>
        <v>974265.00000000012</v>
      </c>
      <c r="E91" s="1321">
        <f t="shared" si="49"/>
        <v>1143715.3622931701</v>
      </c>
      <c r="F91" s="1321">
        <f t="shared" si="49"/>
        <v>1485038</v>
      </c>
      <c r="G91" s="1321">
        <f t="shared" si="49"/>
        <v>1658389</v>
      </c>
      <c r="H91" s="1321">
        <f t="shared" si="49"/>
        <v>1980913.6</v>
      </c>
      <c r="I91" s="1321">
        <f t="shared" si="49"/>
        <v>2407760.6388534503</v>
      </c>
      <c r="J91" s="1321">
        <f t="shared" si="49"/>
        <v>2754323.2663225504</v>
      </c>
      <c r="K91" s="1321">
        <f t="shared" si="49"/>
        <v>3162885.0887901504</v>
      </c>
      <c r="L91" s="1321">
        <f t="shared" si="49"/>
        <v>3622238.3283556704</v>
      </c>
      <c r="M91" s="1321">
        <f t="shared" si="49"/>
        <v>4129308.0556140901</v>
      </c>
      <c r="N91" s="1321">
        <f t="shared" si="49"/>
        <v>4688104.0868955003</v>
      </c>
      <c r="O91" s="1321">
        <f t="shared" si="49"/>
        <v>5313131.1738703307</v>
      </c>
      <c r="P91" s="1321">
        <f t="shared" si="49"/>
        <v>6021452.6980013102</v>
      </c>
      <c r="Q91" s="1321">
        <f t="shared" si="49"/>
        <v>6826390.1857896205</v>
      </c>
      <c r="R91" s="1321">
        <f t="shared" si="49"/>
        <v>7741528.1686713807</v>
      </c>
    </row>
    <row r="92" spans="1:18">
      <c r="A92" t="s">
        <v>1030</v>
      </c>
      <c r="C92" s="1325">
        <f t="shared" ref="C92:Q92" si="50">-C86/C91</f>
        <v>0.41214749382851729</v>
      </c>
      <c r="D92" s="1325">
        <f t="shared" si="50"/>
        <v>0.41848369150669978</v>
      </c>
      <c r="E92" s="1325">
        <f t="shared" si="50"/>
        <v>0.44583012073485878</v>
      </c>
      <c r="F92" s="1325">
        <f t="shared" si="50"/>
        <v>0.42896418948757603</v>
      </c>
      <c r="G92" s="1325">
        <f t="shared" si="50"/>
        <v>0.51160925086333786</v>
      </c>
      <c r="H92" s="1325">
        <f t="shared" si="50"/>
        <v>0.5284746907978114</v>
      </c>
      <c r="I92" s="1325">
        <f t="shared" si="50"/>
        <v>0.52180746674145029</v>
      </c>
      <c r="J92" s="1325">
        <f t="shared" si="50"/>
        <v>0.52997515522233307</v>
      </c>
      <c r="K92" s="1325">
        <f t="shared" si="50"/>
        <v>0.53586085223280833</v>
      </c>
      <c r="L92" s="1325">
        <f t="shared" si="50"/>
        <v>0.54127598487827988</v>
      </c>
      <c r="M92" s="1325">
        <f t="shared" si="50"/>
        <v>0.54537995306151976</v>
      </c>
      <c r="N92" s="1325">
        <f t="shared" si="50"/>
        <v>0.54960443412229609</v>
      </c>
      <c r="O92" s="1325">
        <f t="shared" si="50"/>
        <v>0.55425593962245179</v>
      </c>
      <c r="P92" s="1325">
        <f t="shared" si="50"/>
        <v>0.55800311043139406</v>
      </c>
      <c r="Q92" s="1325">
        <f t="shared" si="50"/>
        <v>0.56152735014401567</v>
      </c>
      <c r="R92" s="1325" t="s">
        <v>1037</v>
      </c>
    </row>
    <row r="94" spans="1:18">
      <c r="A94" t="s">
        <v>1033</v>
      </c>
      <c r="I94" s="1321">
        <f>SUM(I95:I97)</f>
        <v>15138.472876261359</v>
      </c>
      <c r="J94" s="1321">
        <f t="shared" ref="J94:R94" si="51">SUM(J95:J97)</f>
        <v>35525.276144242329</v>
      </c>
      <c r="K94" s="1321">
        <f t="shared" si="51"/>
        <v>48032.589570973098</v>
      </c>
      <c r="L94" s="1321">
        <f t="shared" si="51"/>
        <v>63010.948117765482</v>
      </c>
      <c r="M94" s="1321">
        <f t="shared" si="51"/>
        <v>75439.578611939214</v>
      </c>
      <c r="N94" s="1321">
        <f t="shared" si="51"/>
        <v>90411.832101816588</v>
      </c>
      <c r="O94" s="1321">
        <f t="shared" si="51"/>
        <v>103104.4754886303</v>
      </c>
      <c r="P94" s="1321">
        <f t="shared" si="51"/>
        <v>117071.04935450293</v>
      </c>
      <c r="Q94" s="1321">
        <f t="shared" si="51"/>
        <v>135005.31461116171</v>
      </c>
      <c r="R94" s="1321">
        <f t="shared" si="51"/>
        <v>153578.30502609725</v>
      </c>
    </row>
    <row r="95" spans="1:18">
      <c r="A95" t="s">
        <v>1106</v>
      </c>
      <c r="I95" s="1321">
        <f>'CHILD (Holistic benefit)'!C242/1000</f>
        <v>3090.3092269442323</v>
      </c>
      <c r="J95" s="1321">
        <f>'CHILD (Holistic benefit)'!D242/1000</f>
        <v>7025.1706400985822</v>
      </c>
      <c r="K95" s="1321">
        <f>'CHILD (Holistic benefit)'!E242/1000</f>
        <v>9258.1253398780846</v>
      </c>
      <c r="L95" s="1321">
        <f>'CHILD (Holistic benefit)'!F242/1000</f>
        <v>11755.280389370344</v>
      </c>
      <c r="M95" s="1321">
        <f>'CHILD (Holistic benefit)'!G242/1000</f>
        <v>16636.493037618093</v>
      </c>
      <c r="N95" s="1321">
        <f>'CHILD (Holistic benefit)'!H242/1000</f>
        <v>22155.108889478401</v>
      </c>
      <c r="O95" s="1321">
        <f>'CHILD (Holistic benefit)'!I242/1000</f>
        <v>23714.562612932696</v>
      </c>
      <c r="P95" s="1321">
        <f>'CHILD (Holistic benefit)'!J242/1000</f>
        <v>25504.668678619371</v>
      </c>
      <c r="Q95" s="1321">
        <f>'CHILD (Holistic benefit)'!K242/1000</f>
        <v>27563.554705675586</v>
      </c>
      <c r="R95" s="1321">
        <f>'CHILD (Holistic benefit)'!L242/1000</f>
        <v>29936.888293879245</v>
      </c>
    </row>
    <row r="96" spans="1:18">
      <c r="A96" t="s">
        <v>1104</v>
      </c>
      <c r="I96" s="1321">
        <f>'PENS (Universal)'!C144/1000</f>
        <v>1841.4976255015363</v>
      </c>
      <c r="J96" s="1321">
        <f>'PENS (Universal)'!D144/1000</f>
        <v>4744.8152147565279</v>
      </c>
      <c r="K96" s="1321">
        <f>'PENS (Universal)'!E144/1000</f>
        <v>6992.1055243119463</v>
      </c>
      <c r="L96" s="1321">
        <f>'PENS (Universal)'!F144/1000</f>
        <v>10035.108447804972</v>
      </c>
      <c r="M96" s="1321">
        <f>'PENS (Universal)'!G144/1000</f>
        <v>13277.472376117788</v>
      </c>
      <c r="N96" s="1321">
        <f>'PENS (Universal)'!H144/1000</f>
        <v>17780.996344951211</v>
      </c>
      <c r="O96" s="1321">
        <f>'PENS (Universal)'!I144/1000</f>
        <v>23389.747840026888</v>
      </c>
      <c r="P96" s="1321">
        <f>'PENS (Universal)'!J144/1000</f>
        <v>29392.157362494818</v>
      </c>
      <c r="Q96" s="1321">
        <f>'PENS (Universal)'!K144/1000</f>
        <v>38318.906057010317</v>
      </c>
      <c r="R96" s="1321">
        <f>'PENS (Universal)'!L144/1000</f>
        <v>46642.906694756392</v>
      </c>
    </row>
    <row r="97" spans="1:18">
      <c r="A97" t="s">
        <v>1034</v>
      </c>
      <c r="I97" s="1321">
        <f>'Working age (Holistic)'!C91/1000</f>
        <v>10206.666023815591</v>
      </c>
      <c r="J97" s="1321">
        <f>'Working age (Holistic)'!D91/1000</f>
        <v>23755.29028938722</v>
      </c>
      <c r="K97" s="1321">
        <f>'Working age (Holistic)'!E91/1000</f>
        <v>31782.358706783063</v>
      </c>
      <c r="L97" s="1321">
        <f>'Working age (Holistic)'!F91/1000</f>
        <v>41220.559280590162</v>
      </c>
      <c r="M97" s="1321">
        <f>'Working age (Holistic)'!G91/1000</f>
        <v>45525.613198203333</v>
      </c>
      <c r="N97" s="1321">
        <f>'Working age (Holistic)'!H91/1000</f>
        <v>50475.726867386977</v>
      </c>
      <c r="O97" s="1321">
        <f>'Working age (Holistic)'!I91/1000</f>
        <v>56000.165035670703</v>
      </c>
      <c r="P97" s="1321">
        <f>'Working age (Holistic)'!J91/1000</f>
        <v>62174.223313388749</v>
      </c>
      <c r="Q97" s="1321">
        <f>'Working age (Holistic)'!K91/1000</f>
        <v>69122.853848475788</v>
      </c>
      <c r="R97" s="1321">
        <f>'Working age (Holistic)'!L91/1000</f>
        <v>76998.510037461616</v>
      </c>
    </row>
    <row r="98" spans="1:18">
      <c r="A98" s="1326" t="s">
        <v>1036</v>
      </c>
      <c r="I98" s="1321">
        <f>I79-I57</f>
        <v>918.24673772003734</v>
      </c>
      <c r="J98" s="1321">
        <f t="shared" ref="J98:R98" si="52">J79-J57</f>
        <v>2850.6585751955863</v>
      </c>
      <c r="K98" s="1321">
        <f t="shared" si="52"/>
        <v>6408.6261094404908</v>
      </c>
      <c r="L98" s="1321">
        <f t="shared" si="52"/>
        <v>10924.247787845437</v>
      </c>
      <c r="M98" s="1321">
        <f t="shared" si="52"/>
        <v>16352.359992200363</v>
      </c>
      <c r="N98" s="1321">
        <f t="shared" si="52"/>
        <v>22241.417563161463</v>
      </c>
      <c r="O98" s="1321">
        <f t="shared" si="52"/>
        <v>29554.213649244164</v>
      </c>
      <c r="P98" s="1321">
        <f t="shared" si="52"/>
        <v>39098.644981204794</v>
      </c>
      <c r="Q98" s="1321">
        <f t="shared" si="52"/>
        <v>50783.59208189827</v>
      </c>
      <c r="R98" s="1321">
        <f t="shared" si="52"/>
        <v>68129.097025800962</v>
      </c>
    </row>
    <row r="99" spans="1:18">
      <c r="A99" t="s">
        <v>1048</v>
      </c>
      <c r="I99" s="1327">
        <f>I94/I$91</f>
        <v>6.2873662074109399E-3</v>
      </c>
      <c r="J99" s="1327">
        <f t="shared" ref="J99:R99" si="53">J94/J$91</f>
        <v>1.2898005320803934E-2</v>
      </c>
      <c r="K99" s="1327">
        <f t="shared" si="53"/>
        <v>1.518632141939316E-2</v>
      </c>
      <c r="L99" s="1327">
        <f t="shared" si="53"/>
        <v>1.7395583174221879E-2</v>
      </c>
      <c r="M99" s="1327">
        <f t="shared" si="53"/>
        <v>1.826930265214137E-2</v>
      </c>
      <c r="N99" s="1327">
        <f t="shared" si="53"/>
        <v>1.9285372173058559E-2</v>
      </c>
      <c r="O99" s="1327">
        <f t="shared" si="53"/>
        <v>1.9405595705163859E-2</v>
      </c>
      <c r="P99" s="1327">
        <f t="shared" si="53"/>
        <v>1.9442326499278507E-2</v>
      </c>
      <c r="Q99" s="1327">
        <f t="shared" si="53"/>
        <v>1.9776970102324352E-2</v>
      </c>
      <c r="R99" s="1327">
        <f t="shared" si="53"/>
        <v>1.9838241453102499E-2</v>
      </c>
    </row>
    <row r="100" spans="1:18">
      <c r="I100" s="1327">
        <f t="shared" ref="I100:R102" si="54">I95/I$91</f>
        <v>1.2834785888084807E-3</v>
      </c>
      <c r="J100" s="1327">
        <f t="shared" si="54"/>
        <v>2.5505977188648148E-3</v>
      </c>
      <c r="K100" s="1327">
        <f t="shared" si="54"/>
        <v>2.9271140367035757E-3</v>
      </c>
      <c r="L100" s="1327">
        <f t="shared" si="54"/>
        <v>3.2453083766872679E-3</v>
      </c>
      <c r="M100" s="1327">
        <f t="shared" si="54"/>
        <v>4.0288815495369956E-3</v>
      </c>
      <c r="N100" s="1327">
        <f t="shared" si="54"/>
        <v>4.7258142052365752E-3</v>
      </c>
      <c r="O100" s="1327">
        <f t="shared" si="54"/>
        <v>4.4633873768371336E-3</v>
      </c>
      <c r="P100" s="1327">
        <f t="shared" si="54"/>
        <v>4.2356338175811113E-3</v>
      </c>
      <c r="Q100" s="1327">
        <f t="shared" si="54"/>
        <v>4.037793614999354E-3</v>
      </c>
      <c r="R100" s="1327">
        <f t="shared" si="54"/>
        <v>3.8670515228541864E-3</v>
      </c>
    </row>
    <row r="101" spans="1:18">
      <c r="I101" s="1327">
        <f t="shared" si="54"/>
        <v>7.6481756358407686E-4</v>
      </c>
      <c r="J101" s="1327">
        <f t="shared" si="54"/>
        <v>1.7226791323923258E-3</v>
      </c>
      <c r="K101" s="1327">
        <f t="shared" si="54"/>
        <v>2.2106732707720747E-3</v>
      </c>
      <c r="L101" s="1327">
        <f t="shared" si="54"/>
        <v>2.7704163939870985E-3</v>
      </c>
      <c r="M101" s="1327">
        <f t="shared" si="54"/>
        <v>3.2154230678106258E-3</v>
      </c>
      <c r="N101" s="1327">
        <f t="shared" si="54"/>
        <v>3.7927904362562749E-3</v>
      </c>
      <c r="O101" s="1327">
        <f t="shared" si="54"/>
        <v>4.4022530358475438E-3</v>
      </c>
      <c r="P101" s="1327">
        <f t="shared" si="54"/>
        <v>4.8812402648701209E-3</v>
      </c>
      <c r="Q101" s="1327">
        <f t="shared" si="54"/>
        <v>5.6133483457740411E-3</v>
      </c>
      <c r="R101" s="1327">
        <f t="shared" si="54"/>
        <v>6.0250257673300379E-3</v>
      </c>
    </row>
    <row r="102" spans="1:18">
      <c r="I102" s="1327">
        <f t="shared" si="54"/>
        <v>4.2390700550183824E-3</v>
      </c>
      <c r="J102" s="1327">
        <f t="shared" si="54"/>
        <v>8.6247284695467955E-3</v>
      </c>
      <c r="K102" s="1327">
        <f t="shared" si="54"/>
        <v>1.0048534111917508E-2</v>
      </c>
      <c r="L102" s="1327">
        <f t="shared" si="54"/>
        <v>1.1379858403547509E-2</v>
      </c>
      <c r="M102" s="1327">
        <f t="shared" si="54"/>
        <v>1.1024998034793747E-2</v>
      </c>
      <c r="N102" s="1327">
        <f t="shared" si="54"/>
        <v>1.0766767531565708E-2</v>
      </c>
      <c r="O102" s="1327">
        <f t="shared" si="54"/>
        <v>1.0539955292479178E-2</v>
      </c>
      <c r="P102" s="1327">
        <f t="shared" si="54"/>
        <v>1.0325452416827276E-2</v>
      </c>
      <c r="Q102" s="1327">
        <f t="shared" si="54"/>
        <v>1.0125828141550955E-2</v>
      </c>
      <c r="R102" s="1327">
        <f t="shared" si="54"/>
        <v>9.946164162918273E-3</v>
      </c>
    </row>
    <row r="103" spans="1:18">
      <c r="A103" t="s">
        <v>1036</v>
      </c>
      <c r="I103" s="1327">
        <f>I98/I91</f>
        <v>3.8136961079208293E-4</v>
      </c>
      <c r="J103" s="1327">
        <f t="shared" ref="J103:R103" si="55">J98/J91</f>
        <v>1.0349760356930283E-3</v>
      </c>
      <c r="K103" s="1327">
        <f t="shared" si="55"/>
        <v>2.0261963142935058E-3</v>
      </c>
      <c r="L103" s="1327">
        <f t="shared" si="55"/>
        <v>3.0158832184862179E-3</v>
      </c>
      <c r="M103" s="1327">
        <f t="shared" si="55"/>
        <v>3.96007267366942E-3</v>
      </c>
      <c r="N103" s="1327">
        <f t="shared" si="55"/>
        <v>4.7442243497391942E-3</v>
      </c>
      <c r="O103" s="1327">
        <f t="shared" si="55"/>
        <v>5.5624852242666363E-3</v>
      </c>
      <c r="P103" s="1327">
        <f t="shared" si="55"/>
        <v>6.4932246323520463E-3</v>
      </c>
      <c r="Q103" s="1327">
        <f t="shared" si="55"/>
        <v>7.4393040391411563E-3</v>
      </c>
      <c r="R103" s="1327">
        <f t="shared" si="55"/>
        <v>8.8004713722424441E-3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rgb="FFFFFF00"/>
  </sheetPr>
  <dimension ref="A1:R103"/>
  <sheetViews>
    <sheetView workbookViewId="0">
      <pane xSplit="2" ySplit="3" topLeftCell="C70" activePane="bottomRight" state="frozen"/>
      <selection pane="topRight" activeCell="C1" sqref="C1"/>
      <selection pane="bottomLeft" activeCell="A4" sqref="A4"/>
      <selection pane="bottomRight" activeCell="L96" sqref="L96"/>
    </sheetView>
  </sheetViews>
  <sheetFormatPr defaultColWidth="9.140625" defaultRowHeight="15"/>
  <cols>
    <col min="1" max="1" width="45.42578125" customWidth="1"/>
    <col min="3" max="18" width="15.7109375" customWidth="1"/>
  </cols>
  <sheetData>
    <row r="1" spans="1:18">
      <c r="A1" t="s">
        <v>1016</v>
      </c>
    </row>
    <row r="2" spans="1:18">
      <c r="A2" t="s">
        <v>1023</v>
      </c>
    </row>
    <row r="3" spans="1:18">
      <c r="C3">
        <v>2005</v>
      </c>
      <c r="D3">
        <f>C3+1</f>
        <v>2006</v>
      </c>
      <c r="E3">
        <f t="shared" ref="E3:R3" si="0">D3+1</f>
        <v>2007</v>
      </c>
      <c r="F3">
        <f t="shared" si="0"/>
        <v>2008</v>
      </c>
      <c r="G3">
        <f t="shared" si="0"/>
        <v>2009</v>
      </c>
      <c r="H3">
        <f t="shared" si="0"/>
        <v>2010</v>
      </c>
      <c r="I3">
        <f t="shared" si="0"/>
        <v>2011</v>
      </c>
      <c r="J3">
        <f t="shared" si="0"/>
        <v>2012</v>
      </c>
      <c r="K3">
        <f t="shared" si="0"/>
        <v>2013</v>
      </c>
      <c r="L3">
        <f t="shared" si="0"/>
        <v>2014</v>
      </c>
      <c r="M3">
        <f t="shared" si="0"/>
        <v>2015</v>
      </c>
      <c r="N3">
        <f t="shared" si="0"/>
        <v>2016</v>
      </c>
      <c r="O3">
        <f t="shared" si="0"/>
        <v>2017</v>
      </c>
      <c r="P3">
        <f t="shared" si="0"/>
        <v>2018</v>
      </c>
      <c r="Q3">
        <f t="shared" si="0"/>
        <v>2019</v>
      </c>
      <c r="R3">
        <f t="shared" si="0"/>
        <v>2020</v>
      </c>
    </row>
    <row r="4" spans="1:18">
      <c r="A4" t="s">
        <v>876</v>
      </c>
      <c r="C4" s="1321">
        <f>C5+C8</f>
        <v>255907480</v>
      </c>
      <c r="D4" s="1321">
        <f t="shared" ref="D4:R4" si="1">D5+D8</f>
        <v>281466000</v>
      </c>
      <c r="E4" s="1321">
        <f t="shared" si="1"/>
        <v>356931178.92699999</v>
      </c>
      <c r="F4" s="1321">
        <f t="shared" si="1"/>
        <v>448286780.48000002</v>
      </c>
      <c r="G4" s="1321">
        <f t="shared" si="1"/>
        <v>591473799.04999995</v>
      </c>
      <c r="H4" s="1321">
        <f t="shared" si="1"/>
        <v>685042000</v>
      </c>
      <c r="I4" s="1321">
        <f t="shared" si="1"/>
        <v>763802586.29371738</v>
      </c>
      <c r="J4" s="1321">
        <f t="shared" si="1"/>
        <v>877373099.71108425</v>
      </c>
      <c r="K4" s="1321">
        <f t="shared" si="1"/>
        <v>1002389012.8821764</v>
      </c>
      <c r="L4" s="1321">
        <f t="shared" si="1"/>
        <v>1144676302.8963153</v>
      </c>
      <c r="M4" s="1321">
        <f t="shared" si="1"/>
        <v>1300851167.6789529</v>
      </c>
      <c r="N4" s="1321">
        <f t="shared" si="1"/>
        <v>1469895442.2769578</v>
      </c>
      <c r="O4" s="1321">
        <f t="shared" si="1"/>
        <v>1661713214.4005201</v>
      </c>
      <c r="P4" s="1321">
        <f t="shared" si="1"/>
        <v>1874029225.4743962</v>
      </c>
      <c r="Q4" s="1321">
        <f t="shared" si="1"/>
        <v>2114604066.9078872</v>
      </c>
      <c r="R4" s="1321">
        <f t="shared" si="1"/>
        <v>2387002378.7881994</v>
      </c>
    </row>
    <row r="5" spans="1:18">
      <c r="A5" t="s">
        <v>1017</v>
      </c>
      <c r="C5" s="1321">
        <f>C6+C7</f>
        <v>249286480</v>
      </c>
      <c r="D5" s="1321">
        <f t="shared" ref="D5:R5" si="2">D6+D7</f>
        <v>273501000</v>
      </c>
      <c r="E5" s="1321">
        <f t="shared" si="2"/>
        <v>344271178.92699999</v>
      </c>
      <c r="F5" s="1321">
        <f t="shared" si="2"/>
        <v>431556780.48000002</v>
      </c>
      <c r="G5" s="1321">
        <f t="shared" si="2"/>
        <v>567593799.04999995</v>
      </c>
      <c r="H5" s="1321">
        <f t="shared" si="2"/>
        <v>659662000</v>
      </c>
      <c r="I5" s="1321">
        <f t="shared" si="2"/>
        <v>728042586.29371738</v>
      </c>
      <c r="J5" s="1321">
        <f t="shared" si="2"/>
        <v>830794471.22109962</v>
      </c>
      <c r="K5" s="1321">
        <f t="shared" si="2"/>
        <v>952326196.48296762</v>
      </c>
      <c r="L5" s="1321">
        <f t="shared" si="2"/>
        <v>1088722372.9060817</v>
      </c>
      <c r="M5" s="1321">
        <f t="shared" si="2"/>
        <v>1240411436.003449</v>
      </c>
      <c r="N5" s="1321">
        <f t="shared" si="2"/>
        <v>1403722580.9871747</v>
      </c>
      <c r="O5" s="1321">
        <f t="shared" si="2"/>
        <v>1585768175.0625098</v>
      </c>
      <c r="P5" s="1321">
        <f t="shared" si="2"/>
        <v>1785727907.503027</v>
      </c>
      <c r="Q5" s="1321">
        <f t="shared" si="2"/>
        <v>2011722861.3888168</v>
      </c>
      <c r="R5" s="1321">
        <f t="shared" si="2"/>
        <v>2268213729.05655</v>
      </c>
    </row>
    <row r="6" spans="1:18">
      <c r="A6" t="s">
        <v>1018</v>
      </c>
      <c r="C6" s="1321">
        <f>'GGO(SQ) (SQ and Post SPF)'!C177</f>
        <v>143272000</v>
      </c>
      <c r="D6" s="1321">
        <f>'GGO(SQ) (SQ and Post SPF)'!D177</f>
        <v>172104000</v>
      </c>
      <c r="E6" s="1321">
        <f>'GGO(SQ) (SQ and Post SPF)'!E177</f>
        <v>219158678.92699999</v>
      </c>
      <c r="F6" s="1321">
        <f>'GGO(SQ) (SQ and Post SPF)'!F177</f>
        <v>275640000</v>
      </c>
      <c r="G6" s="1321">
        <f>'GGO(SQ) (SQ and Post SPF)'!G177</f>
        <v>323201000</v>
      </c>
      <c r="H6" s="1321">
        <f>'GGO(SQ) (SQ and Post SPF)'!H177</f>
        <v>391679999.99999994</v>
      </c>
      <c r="I6" s="1321">
        <f>'GGO(SQ) (SQ and Post SPF)'!I177</f>
        <v>489755590.32497692</v>
      </c>
      <c r="J6" s="1321">
        <f>'GGO(SQ) (SQ and Post SPF)'!J177</f>
        <v>560248886.65260875</v>
      </c>
      <c r="K6" s="1321">
        <f>'GGO(SQ) (SQ and Post SPF)'!K177</f>
        <v>643353258.95522738</v>
      </c>
      <c r="L6" s="1321">
        <f>'GGO(SQ) (SQ and Post SPF)'!L177</f>
        <v>736788965.7197628</v>
      </c>
      <c r="M6" s="1321">
        <f>'GGO(SQ) (SQ and Post SPF)'!M177</f>
        <v>839930544.49714053</v>
      </c>
      <c r="N6" s="1321">
        <f>'GGO(SQ) (SQ and Post SPF)'!N177</f>
        <v>953593620.36742365</v>
      </c>
      <c r="O6" s="1321">
        <f>'GGO(SQ) (SQ and Post SPF)'!O177</f>
        <v>1080728562.6913521</v>
      </c>
      <c r="P6" s="1321">
        <f>'GGO(SQ) (SQ and Post SPF)'!P177</f>
        <v>1224806184.2757998</v>
      </c>
      <c r="Q6" s="1321">
        <f>'GGO(SQ) (SQ and Post SPF)'!Q177</f>
        <v>1388536178.0903809</v>
      </c>
      <c r="R6" s="1321">
        <f>'GGO(SQ) (SQ and Post SPF)'!R177</f>
        <v>1574681734.1737673</v>
      </c>
    </row>
    <row r="7" spans="1:18">
      <c r="A7" t="s">
        <v>1025</v>
      </c>
      <c r="C7" s="1321">
        <f>'GGO(SQ) (SQ and Post SPF)'!C180+'GGO(SQ) (SQ and Post SPF)'!C182</f>
        <v>106014479.99999999</v>
      </c>
      <c r="D7" s="1321">
        <f>'GGO(SQ) (SQ and Post SPF)'!D180+'GGO(SQ) (SQ and Post SPF)'!D182</f>
        <v>101397000</v>
      </c>
      <c r="E7" s="1321">
        <f>'GGO(SQ) (SQ and Post SPF)'!E180+'GGO(SQ) (SQ and Post SPF)'!E182</f>
        <v>125112500</v>
      </c>
      <c r="F7" s="1321">
        <f>'GGO(SQ) (SQ and Post SPF)'!F180+'GGO(SQ) (SQ and Post SPF)'!F182</f>
        <v>155916780.47999999</v>
      </c>
      <c r="G7" s="1321">
        <f>'GGO(SQ) (SQ and Post SPF)'!G180+'GGO(SQ) (SQ and Post SPF)'!G182</f>
        <v>244392799.05000001</v>
      </c>
      <c r="H7" s="1321">
        <f>'GGO(SQ) (SQ and Post SPF)'!H180+'GGO(SQ) (SQ and Post SPF)'!H182</f>
        <v>267982000</v>
      </c>
      <c r="I7" s="1321">
        <f>'GGO(SQ) (SQ and Post SPF)'!I180+'GGO(SQ) (SQ and Post SPF)'!I182</f>
        <v>238286995.9687404</v>
      </c>
      <c r="J7" s="1321">
        <f>'GGO(SQ) (SQ and Post SPF)'!J180+'GGO(SQ) (SQ and Post SPF)'!J182</f>
        <v>270545584.5684908</v>
      </c>
      <c r="K7" s="1321">
        <f>'GGO(SQ) (SQ and Post SPF)'!K180+'GGO(SQ) (SQ and Post SPF)'!K182</f>
        <v>308972937.52774018</v>
      </c>
      <c r="L7" s="1321">
        <f>'GGO(SQ) (SQ and Post SPF)'!L180+'GGO(SQ) (SQ and Post SPF)'!L182</f>
        <v>351933407.18631893</v>
      </c>
      <c r="M7" s="1321">
        <f>'GGO(SQ) (SQ and Post SPF)'!M180+'GGO(SQ) (SQ and Post SPF)'!M182</f>
        <v>400480891.50630856</v>
      </c>
      <c r="N7" s="1321">
        <f>'GGO(SQ) (SQ and Post SPF)'!N180+'GGO(SQ) (SQ and Post SPF)'!N182</f>
        <v>450128960.6197511</v>
      </c>
      <c r="O7" s="1321">
        <f>'GGO(SQ) (SQ and Post SPF)'!O180+'GGO(SQ) (SQ and Post SPF)'!O182</f>
        <v>505039612.37115771</v>
      </c>
      <c r="P7" s="1321">
        <f>'GGO(SQ) (SQ and Post SPF)'!P180+'GGO(SQ) (SQ and Post SPF)'!P182</f>
        <v>560921723.22722721</v>
      </c>
      <c r="Q7" s="1321">
        <f>'GGO(SQ) (SQ and Post SPF)'!Q180+'GGO(SQ) (SQ and Post SPF)'!Q182</f>
        <v>623186683.29843593</v>
      </c>
      <c r="R7" s="1321">
        <f>'GGO(SQ) (SQ and Post SPF)'!R180+'GGO(SQ) (SQ and Post SPF)'!R182</f>
        <v>693531994.8827827</v>
      </c>
    </row>
    <row r="8" spans="1:18">
      <c r="A8" t="s">
        <v>1019</v>
      </c>
      <c r="C8" s="1321">
        <f>'GGO(SQ) (SQ and Post SPF)'!C178</f>
        <v>6621000</v>
      </c>
      <c r="D8" s="1321">
        <f>'GGO(SQ) (SQ and Post SPF)'!D178</f>
        <v>7965000</v>
      </c>
      <c r="E8" s="1321">
        <f>'GGO(SQ) (SQ and Post SPF)'!E178</f>
        <v>12660000</v>
      </c>
      <c r="F8" s="1321">
        <f>'GGO(SQ) (SQ and Post SPF)'!F178</f>
        <v>16730000</v>
      </c>
      <c r="G8" s="1321">
        <f>'GGO(SQ) (SQ and Post SPF)'!G178</f>
        <v>23880000</v>
      </c>
      <c r="H8" s="1321">
        <f>'GGO(SQ) (SQ and Post SPF)'!H178</f>
        <v>25380000</v>
      </c>
      <c r="I8" s="1321">
        <f>'GGO(SQ) (SQ and Post SPF)'!I178</f>
        <v>35760000</v>
      </c>
      <c r="J8" s="1321">
        <f>'GGO(SQ) (SQ and Post SPF)'!J178</f>
        <v>46578628.489984632</v>
      </c>
      <c r="K8" s="1321">
        <f>'GGO(SQ) (SQ and Post SPF)'!K178</f>
        <v>50062816.399208806</v>
      </c>
      <c r="L8" s="1321">
        <f>'GGO(SQ) (SQ and Post SPF)'!L178</f>
        <v>55953929.990233548</v>
      </c>
      <c r="M8" s="1321">
        <f>'GGO(SQ) (SQ and Post SPF)'!M178</f>
        <v>60439731.675504081</v>
      </c>
      <c r="N8" s="1321">
        <f>'GGO(SQ) (SQ and Post SPF)'!N178</f>
        <v>66172861.289782986</v>
      </c>
      <c r="O8" s="1321">
        <f>'GGO(SQ) (SQ and Post SPF)'!O178</f>
        <v>75945039.338010356</v>
      </c>
      <c r="P8" s="1321">
        <f>'GGO(SQ) (SQ and Post SPF)'!P178</f>
        <v>88301317.971369386</v>
      </c>
      <c r="Q8" s="1321">
        <f>'GGO(SQ) (SQ and Post SPF)'!Q178</f>
        <v>102881205.51907033</v>
      </c>
      <c r="R8" s="1321">
        <f>'GGO(SQ) (SQ and Post SPF)'!R178</f>
        <v>118788649.73164929</v>
      </c>
    </row>
    <row r="10" spans="1:18">
      <c r="A10" t="s">
        <v>1020</v>
      </c>
      <c r="C10" s="1321">
        <f>'GGO(SQ) (SQ and Post SPF)'!C160</f>
        <v>228289000.00000003</v>
      </c>
      <c r="D10" s="1321">
        <f>'GGO(SQ) (SQ and Post SPF)'!D160</f>
        <v>279472000</v>
      </c>
      <c r="E10" s="1321">
        <f>'GGO(SQ) (SQ and Post SPF)'!E160</f>
        <v>327910600</v>
      </c>
      <c r="F10" s="1321">
        <f>'GGO(SQ) (SQ and Post SPF)'!F160</f>
        <v>430534999.99999994</v>
      </c>
      <c r="G10" s="1321">
        <f>'GGO(SQ) (SQ and Post SPF)'!G160</f>
        <v>442341000</v>
      </c>
      <c r="H10" s="1321">
        <f>'GGO(SQ) (SQ and Post SPF)'!H160</f>
        <v>557986681.45034456</v>
      </c>
      <c r="I10" s="1321">
        <f>'GGO(SQ) (SQ and Post SPF)'!I160</f>
        <v>669005206.87984276</v>
      </c>
      <c r="J10" s="1321">
        <f>'GGO(SQ) (SQ and Post SPF)'!J160</f>
        <v>773892538.63292456</v>
      </c>
      <c r="K10" s="1321">
        <f>'GGO(SQ) (SQ and Post SPF)'!K160</f>
        <v>889647518.68079495</v>
      </c>
      <c r="L10" s="1321">
        <f>'GGO(SQ) (SQ and Post SPF)'!L160</f>
        <v>1023344157.7558947</v>
      </c>
      <c r="M10" s="1321">
        <f>'GGO(SQ) (SQ and Post SPF)'!M160</f>
        <v>1175398833.2093289</v>
      </c>
      <c r="N10" s="1321">
        <f>'GGO(SQ) (SQ and Post SPF)'!N160</f>
        <v>1332120728.0891364</v>
      </c>
      <c r="O10" s="1321">
        <f>'GGO(SQ) (SQ and Post SPF)'!O160</f>
        <v>1500755611.4114084</v>
      </c>
      <c r="P10" s="1321">
        <f>'GGO(SQ) (SQ and Post SPF)'!P160</f>
        <v>1693975948.0717642</v>
      </c>
      <c r="Q10" s="1321">
        <f>'GGO(SQ) (SQ and Post SPF)'!Q160</f>
        <v>1911250153.1182034</v>
      </c>
      <c r="R10" s="1321">
        <f>'GGO(SQ) (SQ and Post SPF)'!R160</f>
        <v>2156631720.0761657</v>
      </c>
    </row>
    <row r="12" spans="1:18">
      <c r="A12" t="s">
        <v>329</v>
      </c>
      <c r="C12" s="1321">
        <f>C10-C5</f>
        <v>-20997479.99999997</v>
      </c>
      <c r="D12" s="1321">
        <f t="shared" ref="D12:R12" si="3">D10-D5</f>
        <v>5971000</v>
      </c>
      <c r="E12" s="1321">
        <f t="shared" si="3"/>
        <v>-16360578.926999986</v>
      </c>
      <c r="F12" s="1321">
        <f t="shared" si="3"/>
        <v>-1021780.4800000787</v>
      </c>
      <c r="G12" s="1321">
        <f t="shared" si="3"/>
        <v>-125252799.04999995</v>
      </c>
      <c r="H12" s="1321">
        <f t="shared" si="3"/>
        <v>-101675318.54965544</v>
      </c>
      <c r="I12" s="1321">
        <f t="shared" si="3"/>
        <v>-59037379.413874626</v>
      </c>
      <c r="J12" s="1321">
        <f t="shared" si="3"/>
        <v>-56901932.588175058</v>
      </c>
      <c r="K12" s="1321">
        <f t="shared" si="3"/>
        <v>-62678677.802172661</v>
      </c>
      <c r="L12" s="1321">
        <f t="shared" si="3"/>
        <v>-65378215.150187016</v>
      </c>
      <c r="M12" s="1321">
        <f t="shared" si="3"/>
        <v>-65012602.794120073</v>
      </c>
      <c r="N12" s="1321">
        <f t="shared" si="3"/>
        <v>-71601852.898038387</v>
      </c>
      <c r="O12" s="1321">
        <f t="shared" si="3"/>
        <v>-85012563.651101351</v>
      </c>
      <c r="P12" s="1321">
        <f t="shared" si="3"/>
        <v>-91751959.431262732</v>
      </c>
      <c r="Q12" s="1321">
        <f t="shared" si="3"/>
        <v>-100472708.27061343</v>
      </c>
      <c r="R12" s="1321">
        <f t="shared" si="3"/>
        <v>-111582008.98038435</v>
      </c>
    </row>
    <row r="13" spans="1:18">
      <c r="A13" t="s">
        <v>1021</v>
      </c>
      <c r="C13" s="1321">
        <f>C10-C4</f>
        <v>-27618479.99999997</v>
      </c>
      <c r="D13" s="1321">
        <f t="shared" ref="D13:R13" si="4">D10-D4</f>
        <v>-1994000</v>
      </c>
      <c r="E13" s="1321">
        <f t="shared" si="4"/>
        <v>-29020578.926999986</v>
      </c>
      <c r="F13" s="1321">
        <f t="shared" si="4"/>
        <v>-17751780.480000079</v>
      </c>
      <c r="G13" s="1321">
        <f t="shared" si="4"/>
        <v>-149132799.04999995</v>
      </c>
      <c r="H13" s="1321">
        <f t="shared" si="4"/>
        <v>-127055318.54965544</v>
      </c>
      <c r="I13" s="1321">
        <f t="shared" si="4"/>
        <v>-94797379.413874626</v>
      </c>
      <c r="J13" s="1321">
        <f t="shared" si="4"/>
        <v>-103480561.07815969</v>
      </c>
      <c r="K13" s="1321">
        <f t="shared" si="4"/>
        <v>-112741494.20138144</v>
      </c>
      <c r="L13" s="1321">
        <f t="shared" si="4"/>
        <v>-121332145.14042068</v>
      </c>
      <c r="M13" s="1321">
        <f t="shared" si="4"/>
        <v>-125452334.46962404</v>
      </c>
      <c r="N13" s="1321">
        <f t="shared" si="4"/>
        <v>-137774714.18782139</v>
      </c>
      <c r="O13" s="1321">
        <f t="shared" si="4"/>
        <v>-160957602.98911166</v>
      </c>
      <c r="P13" s="1321">
        <f t="shared" si="4"/>
        <v>-180053277.402632</v>
      </c>
      <c r="Q13" s="1321">
        <f t="shared" si="4"/>
        <v>-203353913.78968382</v>
      </c>
      <c r="R13" s="1321">
        <f t="shared" si="4"/>
        <v>-230370658.71203375</v>
      </c>
    </row>
    <row r="15" spans="1:18">
      <c r="A15" t="s">
        <v>1022</v>
      </c>
      <c r="C15" s="1321">
        <f>'GGO(SQ) (SQ and Post SPF)'!C200</f>
        <v>-345878823.63551158</v>
      </c>
      <c r="D15" s="1321">
        <f>'GGO(SQ) (SQ and Post SPF)'!D200</f>
        <v>-407714013.7057749</v>
      </c>
      <c r="E15" s="1321">
        <f>'GGO(SQ) (SQ and Post SPF)'!E200</f>
        <v>-509902758.05747676</v>
      </c>
      <c r="F15" s="1321">
        <f>'GGO(SQ) (SQ and Post SPF)'!F200</f>
        <v>-637028122.02825081</v>
      </c>
      <c r="G15" s="1321">
        <f>'GGO(SQ) (SQ and Post SPF)'!G200</f>
        <v>-848447153.93000007</v>
      </c>
      <c r="H15" s="1321">
        <f>'GGO(SQ) (SQ and Post SPF)'!H200</f>
        <v>-1046862702.2571793</v>
      </c>
      <c r="I15" s="1321">
        <f>'GGO(SQ) (SQ and Post SPF)'!I200</f>
        <v>-1240330759.8659136</v>
      </c>
      <c r="J15" s="1321">
        <f>'GGO(SQ) (SQ and Post SPF)'!J200</f>
        <v>-1405290246.2683575</v>
      </c>
      <c r="K15" s="1321">
        <f>'GGO(SQ) (SQ and Post SPF)'!K200</f>
        <v>-1585992429.1796985</v>
      </c>
      <c r="L15" s="1321">
        <f>'GGO(SQ) (SQ and Post SPF)'!L200</f>
        <v>-1777821552.7251258</v>
      </c>
      <c r="M15" s="1321">
        <f>'GGO(SQ) (SQ and Post SPF)'!M200</f>
        <v>-1977440829.0237842</v>
      </c>
      <c r="N15" s="1321">
        <f>'GGO(SQ) (SQ and Post SPF)'!N200</f>
        <v>-2189348539.5960636</v>
      </c>
      <c r="O15" s="1321">
        <f>'GGO(SQ) (SQ and Post SPF)'!O200</f>
        <v>-2424921567.7844043</v>
      </c>
      <c r="P15" s="1321">
        <f>'GGO(SQ) (SQ and Post SPF)'!P200</f>
        <v>-2683906697.1380973</v>
      </c>
      <c r="Q15" s="1321">
        <f>'GGO(SQ) (SQ and Post SPF)'!Q200</f>
        <v>-2971333247.7203574</v>
      </c>
      <c r="R15" s="1321">
        <f>'GGO(SQ) (SQ and Post SPF)'!R200</f>
        <v>-3302872076.8610282</v>
      </c>
    </row>
    <row r="16" spans="1:18">
      <c r="D16" s="1321"/>
    </row>
    <row r="17" spans="1:18">
      <c r="A17" t="s">
        <v>1024</v>
      </c>
    </row>
    <row r="19" spans="1:18">
      <c r="A19" t="s">
        <v>876</v>
      </c>
      <c r="C19" s="1321">
        <f t="shared" ref="C19:R19" si="5">C20+C23</f>
        <v>255907480</v>
      </c>
      <c r="D19" s="1321">
        <f t="shared" si="5"/>
        <v>341307190.07026333</v>
      </c>
      <c r="E19" s="1321">
        <f t="shared" si="5"/>
        <v>430099344.35170186</v>
      </c>
      <c r="F19" s="1321">
        <f t="shared" si="5"/>
        <v>557660363.97077394</v>
      </c>
      <c r="G19" s="1321">
        <f t="shared" si="5"/>
        <v>653760031.90174925</v>
      </c>
      <c r="H19" s="1321">
        <f t="shared" si="5"/>
        <v>756402229.77752376</v>
      </c>
      <c r="I19" s="1321">
        <f t="shared" si="5"/>
        <v>862473264.48857713</v>
      </c>
      <c r="J19" s="1321">
        <f t="shared" si="5"/>
        <v>938852025.03536844</v>
      </c>
      <c r="K19" s="1321">
        <f t="shared" si="5"/>
        <v>1070349701.5921359</v>
      </c>
      <c r="L19" s="1321">
        <f t="shared" si="5"/>
        <v>1215173281.301322</v>
      </c>
      <c r="M19" s="1321">
        <f t="shared" si="5"/>
        <v>1375018109.5079873</v>
      </c>
      <c r="N19" s="1321">
        <f t="shared" si="5"/>
        <v>1544028438.6614158</v>
      </c>
      <c r="O19" s="1321">
        <f t="shared" si="5"/>
        <v>1736328639.5997491</v>
      </c>
      <c r="P19" s="1321">
        <f t="shared" si="5"/>
        <v>1952961077.4254572</v>
      </c>
      <c r="Q19" s="1321">
        <f t="shared" si="5"/>
        <v>2198676703.7004633</v>
      </c>
      <c r="R19" s="1321">
        <f t="shared" si="5"/>
        <v>2488170549.2168365</v>
      </c>
    </row>
    <row r="20" spans="1:18">
      <c r="A20" t="s">
        <v>1017</v>
      </c>
      <c r="C20" s="1321">
        <f t="shared" ref="C20:R20" si="6">C21+C22</f>
        <v>249286480</v>
      </c>
      <c r="D20" s="1321">
        <f t="shared" si="6"/>
        <v>273501000</v>
      </c>
      <c r="E20" s="1321">
        <f t="shared" si="6"/>
        <v>344271178.92699999</v>
      </c>
      <c r="F20" s="1321">
        <f t="shared" si="6"/>
        <v>431556780.48000002</v>
      </c>
      <c r="G20" s="1321">
        <f t="shared" si="6"/>
        <v>567593799.04999995</v>
      </c>
      <c r="H20" s="1321">
        <f t="shared" si="6"/>
        <v>659662000</v>
      </c>
      <c r="I20" s="1321">
        <f t="shared" si="6"/>
        <v>728042586.29371738</v>
      </c>
      <c r="J20" s="1321">
        <f t="shared" si="6"/>
        <v>830794471.22109962</v>
      </c>
      <c r="K20" s="1321">
        <f t="shared" si="6"/>
        <v>952326196.48296762</v>
      </c>
      <c r="L20" s="1321">
        <f t="shared" si="6"/>
        <v>1088722372.9060817</v>
      </c>
      <c r="M20" s="1321">
        <f t="shared" si="6"/>
        <v>1240411436.003449</v>
      </c>
      <c r="N20" s="1321">
        <f t="shared" si="6"/>
        <v>1403722580.9871747</v>
      </c>
      <c r="O20" s="1321">
        <f t="shared" si="6"/>
        <v>1585768175.0625098</v>
      </c>
      <c r="P20" s="1321">
        <f t="shared" si="6"/>
        <v>1785727907.503027</v>
      </c>
      <c r="Q20" s="1321">
        <f t="shared" si="6"/>
        <v>2011722861.3888168</v>
      </c>
      <c r="R20" s="1321">
        <f t="shared" si="6"/>
        <v>2268213729.05655</v>
      </c>
    </row>
    <row r="21" spans="1:18">
      <c r="A21" t="s">
        <v>1018</v>
      </c>
      <c r="C21" s="1321">
        <f>C6</f>
        <v>143272000</v>
      </c>
      <c r="D21" s="1321">
        <f>D6</f>
        <v>172104000</v>
      </c>
      <c r="E21" s="1321">
        <f t="shared" ref="E21:R22" si="7">E6</f>
        <v>219158678.92699999</v>
      </c>
      <c r="F21" s="1321">
        <f t="shared" si="7"/>
        <v>275640000</v>
      </c>
      <c r="G21" s="1321">
        <f t="shared" si="7"/>
        <v>323201000</v>
      </c>
      <c r="H21" s="1321">
        <f t="shared" si="7"/>
        <v>391679999.99999994</v>
      </c>
      <c r="I21" s="1321">
        <f t="shared" si="7"/>
        <v>489755590.32497692</v>
      </c>
      <c r="J21" s="1321">
        <f t="shared" si="7"/>
        <v>560248886.65260875</v>
      </c>
      <c r="K21" s="1321">
        <f t="shared" si="7"/>
        <v>643353258.95522738</v>
      </c>
      <c r="L21" s="1321">
        <f t="shared" si="7"/>
        <v>736788965.7197628</v>
      </c>
      <c r="M21" s="1321">
        <f t="shared" si="7"/>
        <v>839930544.49714053</v>
      </c>
      <c r="N21" s="1321">
        <f t="shared" si="7"/>
        <v>953593620.36742365</v>
      </c>
      <c r="O21" s="1321">
        <f t="shared" si="7"/>
        <v>1080728562.6913521</v>
      </c>
      <c r="P21" s="1321">
        <f t="shared" si="7"/>
        <v>1224806184.2757998</v>
      </c>
      <c r="Q21" s="1321">
        <f t="shared" si="7"/>
        <v>1388536178.0903809</v>
      </c>
      <c r="R21" s="1321">
        <f t="shared" si="7"/>
        <v>1574681734.1737673</v>
      </c>
    </row>
    <row r="22" spans="1:18">
      <c r="A22" t="s">
        <v>1025</v>
      </c>
      <c r="C22" s="1321">
        <f>C7</f>
        <v>106014479.99999999</v>
      </c>
      <c r="D22" s="1321">
        <f>D7</f>
        <v>101397000</v>
      </c>
      <c r="E22" s="1321">
        <f t="shared" si="7"/>
        <v>125112500</v>
      </c>
      <c r="F22" s="1321">
        <f t="shared" si="7"/>
        <v>155916780.47999999</v>
      </c>
      <c r="G22" s="1321">
        <f t="shared" si="7"/>
        <v>244392799.05000001</v>
      </c>
      <c r="H22" s="1321">
        <f t="shared" si="7"/>
        <v>267982000</v>
      </c>
      <c r="I22" s="1321">
        <f t="shared" si="7"/>
        <v>238286995.9687404</v>
      </c>
      <c r="J22" s="1321">
        <f t="shared" si="7"/>
        <v>270545584.5684908</v>
      </c>
      <c r="K22" s="1321">
        <f t="shared" si="7"/>
        <v>308972937.52774018</v>
      </c>
      <c r="L22" s="1321">
        <f t="shared" si="7"/>
        <v>351933407.18631893</v>
      </c>
      <c r="M22" s="1321">
        <f t="shared" si="7"/>
        <v>400480891.50630856</v>
      </c>
      <c r="N22" s="1321">
        <f t="shared" si="7"/>
        <v>450128960.6197511</v>
      </c>
      <c r="O22" s="1321">
        <f t="shared" si="7"/>
        <v>505039612.37115771</v>
      </c>
      <c r="P22" s="1321">
        <f t="shared" si="7"/>
        <v>560921723.22722721</v>
      </c>
      <c r="Q22" s="1321">
        <f t="shared" si="7"/>
        <v>623186683.29843593</v>
      </c>
      <c r="R22" s="1321">
        <f t="shared" si="7"/>
        <v>693531994.8827827</v>
      </c>
    </row>
    <row r="23" spans="1:18">
      <c r="A23" s="1322" t="s">
        <v>1019</v>
      </c>
      <c r="B23" s="1322"/>
      <c r="C23" s="1323">
        <f>C8</f>
        <v>6621000</v>
      </c>
      <c r="D23" s="1323">
        <f>-(D15-C15)+D12</f>
        <v>67806190.070263326</v>
      </c>
      <c r="E23" s="1323">
        <f t="shared" ref="E23:R23" si="8">-(E15-D15)+E12</f>
        <v>85828165.424701869</v>
      </c>
      <c r="F23" s="1323">
        <f t="shared" si="8"/>
        <v>126103583.49077398</v>
      </c>
      <c r="G23" s="1323">
        <f t="shared" si="8"/>
        <v>86166232.851749301</v>
      </c>
      <c r="H23" s="1323">
        <f t="shared" si="8"/>
        <v>96740229.777523756</v>
      </c>
      <c r="I23" s="1323">
        <f t="shared" si="8"/>
        <v>134430678.19485974</v>
      </c>
      <c r="J23" s="1323">
        <f t="shared" si="8"/>
        <v>108057553.81426883</v>
      </c>
      <c r="K23" s="1323">
        <f t="shared" si="8"/>
        <v>118023505.10916829</v>
      </c>
      <c r="L23" s="1323">
        <f t="shared" si="8"/>
        <v>126450908.39524031</v>
      </c>
      <c r="M23" s="1323">
        <f t="shared" si="8"/>
        <v>134606673.5045383</v>
      </c>
      <c r="N23" s="1323">
        <f t="shared" si="8"/>
        <v>140305857.67424107</v>
      </c>
      <c r="O23" s="1323">
        <f t="shared" si="8"/>
        <v>150560464.53723931</v>
      </c>
      <c r="P23" s="1323">
        <f t="shared" si="8"/>
        <v>167233169.92243028</v>
      </c>
      <c r="Q23" s="1323">
        <f t="shared" si="8"/>
        <v>186953842.3116467</v>
      </c>
      <c r="R23" s="1323">
        <f t="shared" si="8"/>
        <v>219956820.16028643</v>
      </c>
    </row>
    <row r="25" spans="1:18">
      <c r="A25" t="s">
        <v>1020</v>
      </c>
      <c r="C25" s="1321">
        <f>C10</f>
        <v>228289000.00000003</v>
      </c>
      <c r="D25" s="1321">
        <f>D10</f>
        <v>279472000</v>
      </c>
      <c r="E25" s="1321">
        <f t="shared" ref="E25:R25" si="9">E10</f>
        <v>327910600</v>
      </c>
      <c r="F25" s="1321">
        <f t="shared" si="9"/>
        <v>430534999.99999994</v>
      </c>
      <c r="G25" s="1321">
        <f t="shared" si="9"/>
        <v>442341000</v>
      </c>
      <c r="H25" s="1321">
        <f t="shared" si="9"/>
        <v>557986681.45034456</v>
      </c>
      <c r="I25" s="1321">
        <f t="shared" si="9"/>
        <v>669005206.87984276</v>
      </c>
      <c r="J25" s="1321">
        <f t="shared" si="9"/>
        <v>773892538.63292456</v>
      </c>
      <c r="K25" s="1321">
        <f t="shared" si="9"/>
        <v>889647518.68079495</v>
      </c>
      <c r="L25" s="1321">
        <f t="shared" si="9"/>
        <v>1023344157.7558947</v>
      </c>
      <c r="M25" s="1321">
        <f t="shared" si="9"/>
        <v>1175398833.2093289</v>
      </c>
      <c r="N25" s="1321">
        <f t="shared" si="9"/>
        <v>1332120728.0891364</v>
      </c>
      <c r="O25" s="1321">
        <f t="shared" si="9"/>
        <v>1500755611.4114084</v>
      </c>
      <c r="P25" s="1321">
        <f t="shared" si="9"/>
        <v>1693975948.0717642</v>
      </c>
      <c r="Q25" s="1321">
        <f t="shared" si="9"/>
        <v>1911250153.1182034</v>
      </c>
      <c r="R25" s="1321">
        <f t="shared" si="9"/>
        <v>2156631720.0761657</v>
      </c>
    </row>
    <row r="27" spans="1:18">
      <c r="A27" t="s">
        <v>329</v>
      </c>
      <c r="C27" s="1321">
        <f>C25-C20</f>
        <v>-20997479.99999997</v>
      </c>
      <c r="D27" s="1321">
        <f>D25-D20</f>
        <v>5971000</v>
      </c>
      <c r="E27" s="1321">
        <f t="shared" ref="E27:R27" si="10">E25-E20</f>
        <v>-16360578.926999986</v>
      </c>
      <c r="F27" s="1321">
        <f t="shared" si="10"/>
        <v>-1021780.4800000787</v>
      </c>
      <c r="G27" s="1321">
        <f t="shared" si="10"/>
        <v>-125252799.04999995</v>
      </c>
      <c r="H27" s="1321">
        <f t="shared" si="10"/>
        <v>-101675318.54965544</v>
      </c>
      <c r="I27" s="1321">
        <f t="shared" si="10"/>
        <v>-59037379.413874626</v>
      </c>
      <c r="J27" s="1321">
        <f t="shared" si="10"/>
        <v>-56901932.588175058</v>
      </c>
      <c r="K27" s="1321">
        <f t="shared" si="10"/>
        <v>-62678677.802172661</v>
      </c>
      <c r="L27" s="1321">
        <f t="shared" si="10"/>
        <v>-65378215.150187016</v>
      </c>
      <c r="M27" s="1321">
        <f t="shared" si="10"/>
        <v>-65012602.794120073</v>
      </c>
      <c r="N27" s="1321">
        <f t="shared" si="10"/>
        <v>-71601852.898038387</v>
      </c>
      <c r="O27" s="1321">
        <f t="shared" si="10"/>
        <v>-85012563.651101351</v>
      </c>
      <c r="P27" s="1321">
        <f t="shared" si="10"/>
        <v>-91751959.431262732</v>
      </c>
      <c r="Q27" s="1321">
        <f t="shared" si="10"/>
        <v>-100472708.27061343</v>
      </c>
      <c r="R27" s="1321">
        <f t="shared" si="10"/>
        <v>-111582008.98038435</v>
      </c>
    </row>
    <row r="28" spans="1:18">
      <c r="A28" t="s">
        <v>1021</v>
      </c>
      <c r="C28" s="1321">
        <f>C25-C19</f>
        <v>-27618479.99999997</v>
      </c>
      <c r="D28" s="1321">
        <f t="shared" ref="D28:R28" si="11">D25-D19</f>
        <v>-61835190.070263326</v>
      </c>
      <c r="E28" s="1321">
        <f t="shared" si="11"/>
        <v>-102188744.35170186</v>
      </c>
      <c r="F28" s="1321">
        <f t="shared" si="11"/>
        <v>-127125363.97077399</v>
      </c>
      <c r="G28" s="1321">
        <f t="shared" si="11"/>
        <v>-211419031.90174925</v>
      </c>
      <c r="H28" s="1321">
        <f t="shared" si="11"/>
        <v>-198415548.32717919</v>
      </c>
      <c r="I28" s="1321">
        <f t="shared" si="11"/>
        <v>-193468057.60873437</v>
      </c>
      <c r="J28" s="1321">
        <f t="shared" si="11"/>
        <v>-164959486.40244389</v>
      </c>
      <c r="K28" s="1321">
        <f t="shared" si="11"/>
        <v>-180702182.91134095</v>
      </c>
      <c r="L28" s="1321">
        <f t="shared" si="11"/>
        <v>-191829123.54542732</v>
      </c>
      <c r="M28" s="1321">
        <f t="shared" si="11"/>
        <v>-199619276.29865837</v>
      </c>
      <c r="N28" s="1321">
        <f t="shared" si="11"/>
        <v>-211907710.57227945</v>
      </c>
      <c r="O28" s="1321">
        <f t="shared" si="11"/>
        <v>-235573028.18834066</v>
      </c>
      <c r="P28" s="1321">
        <f t="shared" si="11"/>
        <v>-258985129.35369301</v>
      </c>
      <c r="Q28" s="1321">
        <f t="shared" si="11"/>
        <v>-287426550.58225989</v>
      </c>
      <c r="R28" s="1321">
        <f t="shared" si="11"/>
        <v>-331538829.14067078</v>
      </c>
    </row>
    <row r="30" spans="1:18">
      <c r="A30" t="s">
        <v>1022</v>
      </c>
      <c r="C30" s="1321">
        <f>C15</f>
        <v>-345878823.63551158</v>
      </c>
      <c r="D30" s="1321">
        <f>C30+D28</f>
        <v>-407714013.7057749</v>
      </c>
      <c r="E30" s="1321">
        <f t="shared" ref="E30:R30" si="12">D30+E28</f>
        <v>-509902758.05747676</v>
      </c>
      <c r="F30" s="1321">
        <f t="shared" si="12"/>
        <v>-637028122.02825069</v>
      </c>
      <c r="G30" s="1321">
        <f t="shared" si="12"/>
        <v>-848447153.92999995</v>
      </c>
      <c r="H30" s="1321">
        <f t="shared" si="12"/>
        <v>-1046862702.2571791</v>
      </c>
      <c r="I30" s="1321">
        <f t="shared" si="12"/>
        <v>-1240330759.8659134</v>
      </c>
      <c r="J30" s="1321">
        <f t="shared" si="12"/>
        <v>-1405290246.2683573</v>
      </c>
      <c r="K30" s="1321">
        <f t="shared" si="12"/>
        <v>-1585992429.1796982</v>
      </c>
      <c r="L30" s="1321">
        <f t="shared" si="12"/>
        <v>-1777821552.7251256</v>
      </c>
      <c r="M30" s="1321">
        <f t="shared" si="12"/>
        <v>-1977440829.0237839</v>
      </c>
      <c r="N30" s="1321">
        <f t="shared" si="12"/>
        <v>-2189348539.5960636</v>
      </c>
      <c r="O30" s="1321">
        <f t="shared" si="12"/>
        <v>-2424921567.7844043</v>
      </c>
      <c r="P30" s="1321">
        <f t="shared" si="12"/>
        <v>-2683906697.1380973</v>
      </c>
      <c r="Q30" s="1321">
        <f t="shared" si="12"/>
        <v>-2971333247.7203569</v>
      </c>
      <c r="R30" s="1321">
        <f t="shared" si="12"/>
        <v>-3302872076.8610277</v>
      </c>
    </row>
    <row r="32" spans="1:18" ht="15.75">
      <c r="A32" t="s">
        <v>1028</v>
      </c>
      <c r="D32" s="1004">
        <f>((-D27-((D27)^2+4*C30*D30)^0.5)/(2*C30))^2-1</f>
        <v>0.19766962865321469</v>
      </c>
      <c r="E32" s="1004">
        <f t="shared" ref="E32:R32" si="13">((-E27-((E27)^2+4*D30*E30)^0.5)/(2*D30))^2-1</f>
        <v>0.20656072517660684</v>
      </c>
      <c r="F32" s="1004">
        <f t="shared" si="13"/>
        <v>0.24707518044444376</v>
      </c>
      <c r="G32" s="1004">
        <f t="shared" si="13"/>
        <v>0.12347701538480749</v>
      </c>
      <c r="H32" s="1004">
        <f t="shared" si="13"/>
        <v>0.10773036976982353</v>
      </c>
      <c r="I32" s="1004">
        <f t="shared" si="13"/>
        <v>0.12499220506497322</v>
      </c>
      <c r="J32" s="1004">
        <f t="shared" si="13"/>
        <v>8.5205438024780644E-2</v>
      </c>
      <c r="K32" s="1004">
        <f t="shared" si="13"/>
        <v>8.218845064580016E-2</v>
      </c>
      <c r="L32" s="1004">
        <f t="shared" si="13"/>
        <v>7.8149380446612904E-2</v>
      </c>
      <c r="M32" s="1004">
        <f t="shared" si="13"/>
        <v>7.4378811015981539E-2</v>
      </c>
      <c r="N32" s="1004">
        <f t="shared" si="13"/>
        <v>6.9712393287663987E-2</v>
      </c>
      <c r="O32" s="1004">
        <f t="shared" si="13"/>
        <v>6.7480772449221238E-2</v>
      </c>
      <c r="P32" s="1004">
        <f t="shared" si="13"/>
        <v>6.7704468530888073E-2</v>
      </c>
      <c r="Q32" s="1004">
        <f t="shared" si="13"/>
        <v>6.8398275763616123E-2</v>
      </c>
      <c r="R32" s="1004">
        <f t="shared" si="13"/>
        <v>7.2685469118822343E-2</v>
      </c>
    </row>
    <row r="33" spans="1:18">
      <c r="A33" t="s">
        <v>1026</v>
      </c>
      <c r="D33" s="1321">
        <f>-(C30*D32+D27*((1+D32)^0.5-1))</f>
        <v>67806190.070263341</v>
      </c>
      <c r="E33" s="1321">
        <f t="shared" ref="E33:R33" si="14">-(D30*E32+E27*((1+E32)^0.5-1))</f>
        <v>85828165.424701691</v>
      </c>
      <c r="F33" s="1321">
        <f t="shared" si="14"/>
        <v>126103583.49077384</v>
      </c>
      <c r="G33" s="1321">
        <f t="shared" si="14"/>
        <v>86166232.851749048</v>
      </c>
      <c r="H33" s="1321">
        <f t="shared" si="14"/>
        <v>96740229.777523652</v>
      </c>
      <c r="I33" s="1321">
        <f t="shared" si="14"/>
        <v>134430678.19485945</v>
      </c>
      <c r="J33" s="1321">
        <f t="shared" si="14"/>
        <v>108057553.81426917</v>
      </c>
      <c r="K33" s="1321">
        <f t="shared" si="14"/>
        <v>118023505.10916854</v>
      </c>
      <c r="L33" s="1321">
        <f t="shared" si="14"/>
        <v>126450908.39524026</v>
      </c>
      <c r="M33" s="1321">
        <f t="shared" si="14"/>
        <v>134606673.50453874</v>
      </c>
      <c r="N33" s="1321">
        <f t="shared" si="14"/>
        <v>140305857.67424142</v>
      </c>
      <c r="O33" s="1321">
        <f t="shared" si="14"/>
        <v>150560464.53724015</v>
      </c>
      <c r="P33" s="1321">
        <f t="shared" si="14"/>
        <v>167233169.92243004</v>
      </c>
      <c r="Q33" s="1321">
        <f t="shared" si="14"/>
        <v>186953842.31164613</v>
      </c>
      <c r="R33" s="1321">
        <f t="shared" si="14"/>
        <v>219956820.16028619</v>
      </c>
    </row>
    <row r="35" spans="1:18">
      <c r="A35" s="1324" t="s">
        <v>1027</v>
      </c>
    </row>
    <row r="36" spans="1:18">
      <c r="A36" t="s">
        <v>1023</v>
      </c>
    </row>
    <row r="37" spans="1:18">
      <c r="C37">
        <v>2005</v>
      </c>
      <c r="D37">
        <f>C37+1</f>
        <v>2006</v>
      </c>
      <c r="E37">
        <f t="shared" ref="E37:R37" si="15">D37+1</f>
        <v>2007</v>
      </c>
      <c r="F37">
        <f t="shared" si="15"/>
        <v>2008</v>
      </c>
      <c r="G37">
        <f t="shared" si="15"/>
        <v>2009</v>
      </c>
      <c r="H37">
        <f t="shared" si="15"/>
        <v>2010</v>
      </c>
      <c r="I37">
        <f t="shared" si="15"/>
        <v>2011</v>
      </c>
      <c r="J37">
        <f t="shared" si="15"/>
        <v>2012</v>
      </c>
      <c r="K37">
        <f t="shared" si="15"/>
        <v>2013</v>
      </c>
      <c r="L37">
        <f t="shared" si="15"/>
        <v>2014</v>
      </c>
      <c r="M37">
        <f t="shared" si="15"/>
        <v>2015</v>
      </c>
      <c r="N37">
        <f t="shared" si="15"/>
        <v>2016</v>
      </c>
      <c r="O37">
        <f t="shared" si="15"/>
        <v>2017</v>
      </c>
      <c r="P37">
        <f t="shared" si="15"/>
        <v>2018</v>
      </c>
      <c r="Q37">
        <f t="shared" si="15"/>
        <v>2019</v>
      </c>
      <c r="R37">
        <f t="shared" si="15"/>
        <v>2020</v>
      </c>
    </row>
    <row r="38" spans="1:18">
      <c r="A38" t="s">
        <v>876</v>
      </c>
      <c r="C38" s="1321">
        <f>C39+C42</f>
        <v>255907.47999999998</v>
      </c>
      <c r="D38" s="1321">
        <f t="shared" ref="D38:R38" si="16">D39+D42</f>
        <v>281466</v>
      </c>
      <c r="E38" s="1321">
        <f t="shared" si="16"/>
        <v>356931.17892700003</v>
      </c>
      <c r="F38" s="1321">
        <f t="shared" si="16"/>
        <v>448286.78048000002</v>
      </c>
      <c r="G38" s="1321">
        <f t="shared" si="16"/>
        <v>591473.79905000003</v>
      </c>
      <c r="H38" s="1321">
        <f t="shared" si="16"/>
        <v>685042</v>
      </c>
      <c r="I38" s="1321">
        <f t="shared" si="16"/>
        <v>763802.58629371738</v>
      </c>
      <c r="J38" s="1321">
        <f t="shared" si="16"/>
        <v>877373.09971108427</v>
      </c>
      <c r="K38" s="1321">
        <f t="shared" si="16"/>
        <v>1002389.0128821764</v>
      </c>
      <c r="L38" s="1321">
        <f t="shared" si="16"/>
        <v>1144676.3028963155</v>
      </c>
      <c r="M38" s="1321">
        <f t="shared" si="16"/>
        <v>1300851.1676789529</v>
      </c>
      <c r="N38" s="1321">
        <f t="shared" si="16"/>
        <v>1469895.4422769577</v>
      </c>
      <c r="O38" s="1321">
        <f t="shared" si="16"/>
        <v>1661713.2144005201</v>
      </c>
      <c r="P38" s="1321">
        <f t="shared" si="16"/>
        <v>1874029.2254743965</v>
      </c>
      <c r="Q38" s="1321">
        <f t="shared" si="16"/>
        <v>2114604.0669078873</v>
      </c>
      <c r="R38" s="1321">
        <f t="shared" si="16"/>
        <v>2387002.3787881993</v>
      </c>
    </row>
    <row r="39" spans="1:18">
      <c r="A39" t="s">
        <v>1017</v>
      </c>
      <c r="C39" s="1321">
        <f>C40+C41</f>
        <v>249286.47999999998</v>
      </c>
      <c r="D39" s="1321">
        <f t="shared" ref="D39:R39" si="17">D40+D41</f>
        <v>273501</v>
      </c>
      <c r="E39" s="1321">
        <f t="shared" si="17"/>
        <v>344271.17892700003</v>
      </c>
      <c r="F39" s="1321">
        <f t="shared" si="17"/>
        <v>431556.78048000002</v>
      </c>
      <c r="G39" s="1321">
        <f t="shared" si="17"/>
        <v>567593.79905000003</v>
      </c>
      <c r="H39" s="1321">
        <f t="shared" si="17"/>
        <v>659662</v>
      </c>
      <c r="I39" s="1321">
        <f t="shared" si="17"/>
        <v>728042.58629371738</v>
      </c>
      <c r="J39" s="1321">
        <f t="shared" si="17"/>
        <v>830794.47122109961</v>
      </c>
      <c r="K39" s="1321">
        <f t="shared" si="17"/>
        <v>952326.19648296759</v>
      </c>
      <c r="L39" s="1321">
        <f t="shared" si="17"/>
        <v>1088722.3729060818</v>
      </c>
      <c r="M39" s="1321">
        <f t="shared" si="17"/>
        <v>1240411.4360034489</v>
      </c>
      <c r="N39" s="1321">
        <f t="shared" si="17"/>
        <v>1403722.5809871748</v>
      </c>
      <c r="O39" s="1321">
        <f t="shared" si="17"/>
        <v>1585768.1750625097</v>
      </c>
      <c r="P39" s="1321">
        <f t="shared" si="17"/>
        <v>1785727.907503027</v>
      </c>
      <c r="Q39" s="1321">
        <f t="shared" si="17"/>
        <v>2011722.861388817</v>
      </c>
      <c r="R39" s="1321">
        <f t="shared" si="17"/>
        <v>2268213.7290565502</v>
      </c>
    </row>
    <row r="40" spans="1:18">
      <c r="A40" t="s">
        <v>1018</v>
      </c>
      <c r="C40" s="1321">
        <f>'IMF Data'!C39-'IMF Data'!C40</f>
        <v>143272</v>
      </c>
      <c r="D40" s="1321">
        <f>'IMF Data'!D39-'IMF Data'!D40</f>
        <v>172104</v>
      </c>
      <c r="E40" s="1321">
        <f>'IMF Data'!E39-'IMF Data'!E40</f>
        <v>219158.678927</v>
      </c>
      <c r="F40" s="1321">
        <f>'IMF Data'!F39-'IMF Data'!F40</f>
        <v>275640</v>
      </c>
      <c r="G40" s="1321">
        <f>'IMF Data'!G39-'IMF Data'!G40</f>
        <v>323201</v>
      </c>
      <c r="H40" s="1321">
        <f>'IMF Data'!H39-'IMF Data'!H40</f>
        <v>391679.99999999994</v>
      </c>
      <c r="I40" s="1321">
        <f>'IMF Data'!I39-'IMF Data'!I40</f>
        <v>489755.59032497695</v>
      </c>
      <c r="J40" s="1321">
        <f>'IMF Data'!J39-'IMF Data'!J40</f>
        <v>560248.88665260875</v>
      </c>
      <c r="K40" s="1321">
        <f>'IMF Data'!K39-'IMF Data'!K40</f>
        <v>643353.25895522733</v>
      </c>
      <c r="L40" s="1321">
        <f>'IMF Data'!L39-'IMF Data'!L40</f>
        <v>736788.96571976284</v>
      </c>
      <c r="M40" s="1321">
        <f>'IMF Data'!M39-'IMF Data'!M40</f>
        <v>839930.54449714045</v>
      </c>
      <c r="N40" s="1321">
        <f>'IMF Data'!N39-'IMF Data'!N40</f>
        <v>953593.62036742363</v>
      </c>
      <c r="O40" s="1321">
        <f>'IMF Data'!O39-'IMF Data'!O40</f>
        <v>1080728.5626913521</v>
      </c>
      <c r="P40" s="1321">
        <f>'IMF Data'!P39-'IMF Data'!P40</f>
        <v>1224806.1842757997</v>
      </c>
      <c r="Q40" s="1321">
        <f>'IMF Data'!Q39-'IMF Data'!Q40</f>
        <v>1388536.178090381</v>
      </c>
      <c r="R40" s="1321">
        <f>'IMF Data'!R39-'IMF Data'!R40</f>
        <v>1574681.7341737675</v>
      </c>
    </row>
    <row r="41" spans="1:18">
      <c r="A41" t="s">
        <v>1025</v>
      </c>
      <c r="C41" s="1321">
        <f>'IMF Data'!C41+'IMF Data'!C45</f>
        <v>106014.47999999998</v>
      </c>
      <c r="D41" s="1321">
        <f>'IMF Data'!D41+'IMF Data'!D45</f>
        <v>101397</v>
      </c>
      <c r="E41" s="1321">
        <f>'IMF Data'!E41+'IMF Data'!E45</f>
        <v>125112.5</v>
      </c>
      <c r="F41" s="1321">
        <f>'IMF Data'!F41+'IMF Data'!F45</f>
        <v>155916.78048000002</v>
      </c>
      <c r="G41" s="1321">
        <f>'IMF Data'!G41+'IMF Data'!G45</f>
        <v>244392.79905</v>
      </c>
      <c r="H41" s="1321">
        <f>'IMF Data'!H41+'IMF Data'!H45</f>
        <v>267982</v>
      </c>
      <c r="I41" s="1321">
        <f>'IMF Data'!I41+'IMF Data'!I45</f>
        <v>238286.9959687404</v>
      </c>
      <c r="J41" s="1321">
        <f>'IMF Data'!J41+'IMF Data'!J45</f>
        <v>270545.58456849086</v>
      </c>
      <c r="K41" s="1321">
        <f>'IMF Data'!K41+'IMF Data'!K45</f>
        <v>308972.9375277402</v>
      </c>
      <c r="L41" s="1321">
        <f>'IMF Data'!L41+'IMF Data'!L45</f>
        <v>351933.40718631895</v>
      </c>
      <c r="M41" s="1321">
        <f>'IMF Data'!M41+'IMF Data'!M45</f>
        <v>400480.89150630857</v>
      </c>
      <c r="N41" s="1321">
        <f>'IMF Data'!N41+'IMF Data'!N45</f>
        <v>450128.96061975107</v>
      </c>
      <c r="O41" s="1321">
        <f>'IMF Data'!O41+'IMF Data'!O45</f>
        <v>505039.61237115768</v>
      </c>
      <c r="P41" s="1321">
        <f>'IMF Data'!P41+'IMF Data'!P45</f>
        <v>560921.72322722722</v>
      </c>
      <c r="Q41" s="1321">
        <f>'IMF Data'!Q41+'IMF Data'!Q45</f>
        <v>623186.68329843599</v>
      </c>
      <c r="R41" s="1321">
        <f>'IMF Data'!R41+'IMF Data'!R45</f>
        <v>693531.9948827828</v>
      </c>
    </row>
    <row r="42" spans="1:18">
      <c r="A42" t="s">
        <v>1019</v>
      </c>
      <c r="C42" s="1321">
        <f>'IMF Data'!C40</f>
        <v>6621</v>
      </c>
      <c r="D42" s="1321">
        <f>'IMF Data'!D40</f>
        <v>7965</v>
      </c>
      <c r="E42" s="1321">
        <f>'IMF Data'!E40</f>
        <v>12660</v>
      </c>
      <c r="F42" s="1321">
        <f>'IMF Data'!F40</f>
        <v>16730</v>
      </c>
      <c r="G42" s="1321">
        <f>'IMF Data'!G40</f>
        <v>23880</v>
      </c>
      <c r="H42" s="1321">
        <f>'IMF Data'!H40</f>
        <v>25380</v>
      </c>
      <c r="I42" s="1321">
        <f>'IMF Data'!I40</f>
        <v>35760</v>
      </c>
      <c r="J42" s="1321">
        <f>'IMF Data'!J40</f>
        <v>46578.628489984629</v>
      </c>
      <c r="K42" s="1321">
        <f>'IMF Data'!K40</f>
        <v>50062.816399208808</v>
      </c>
      <c r="L42" s="1321">
        <f>'IMF Data'!L40</f>
        <v>55953.929990233548</v>
      </c>
      <c r="M42" s="1321">
        <f>'IMF Data'!M40</f>
        <v>60439.731675504081</v>
      </c>
      <c r="N42" s="1321">
        <f>'IMF Data'!N40</f>
        <v>66172.861289782988</v>
      </c>
      <c r="O42" s="1321">
        <f>'IMF Data'!O40</f>
        <v>75945.039338010349</v>
      </c>
      <c r="P42" s="1321">
        <f>'IMF Data'!P40</f>
        <v>88301.317971369383</v>
      </c>
      <c r="Q42" s="1321">
        <f>'IMF Data'!Q40</f>
        <v>102881.20551907032</v>
      </c>
      <c r="R42" s="1321">
        <f>'IMF Data'!R40</f>
        <v>118788.64973164929</v>
      </c>
    </row>
    <row r="44" spans="1:18">
      <c r="A44" t="s">
        <v>1020</v>
      </c>
      <c r="C44" s="1321">
        <f>'IMF Data'!C20</f>
        <v>228289</v>
      </c>
      <c r="D44" s="1321">
        <f>'IMF Data'!D20</f>
        <v>279472</v>
      </c>
      <c r="E44" s="1321">
        <f>'IMF Data'!E20</f>
        <v>327910.60000000003</v>
      </c>
      <c r="F44" s="1321">
        <f>'IMF Data'!F20</f>
        <v>430535</v>
      </c>
      <c r="G44" s="1321">
        <f>'IMF Data'!G20</f>
        <v>442341</v>
      </c>
      <c r="H44" s="1321">
        <f>'IMF Data'!H20</f>
        <v>557986.68145034462</v>
      </c>
      <c r="I44" s="1321">
        <f>'IMF Data'!I20</f>
        <v>669005.20687984279</v>
      </c>
      <c r="J44" s="1321">
        <f>'IMF Data'!J20</f>
        <v>773892.53863292478</v>
      </c>
      <c r="K44" s="1321">
        <f>'IMF Data'!K20</f>
        <v>889647.5186807951</v>
      </c>
      <c r="L44" s="1321">
        <f>'IMF Data'!L20</f>
        <v>1023344.1577558946</v>
      </c>
      <c r="M44" s="1321">
        <f>'IMF Data'!M20</f>
        <v>1175398.8332093288</v>
      </c>
      <c r="N44" s="1321">
        <f>'IMF Data'!N20</f>
        <v>1332120.7280891363</v>
      </c>
      <c r="O44" s="1321">
        <f>'IMF Data'!O20</f>
        <v>1500755.6114114083</v>
      </c>
      <c r="P44" s="1321">
        <f>'IMF Data'!P20</f>
        <v>1693975.9480717641</v>
      </c>
      <c r="Q44" s="1321">
        <f>'IMF Data'!Q20</f>
        <v>1911250.1531182036</v>
      </c>
      <c r="R44" s="1321">
        <f>'IMF Data'!R20</f>
        <v>2156631.7200761661</v>
      </c>
    </row>
    <row r="46" spans="1:18">
      <c r="A46" t="s">
        <v>329</v>
      </c>
      <c r="C46" s="1321">
        <f>C44-C39</f>
        <v>-20997.479999999981</v>
      </c>
      <c r="D46" s="1321">
        <f t="shared" ref="D46:R46" si="18">D44-D39</f>
        <v>5971</v>
      </c>
      <c r="E46" s="1321">
        <f t="shared" si="18"/>
        <v>-16360.578926999995</v>
      </c>
      <c r="F46" s="1321">
        <f t="shared" si="18"/>
        <v>-1021.7804800000158</v>
      </c>
      <c r="G46" s="1321">
        <f t="shared" si="18"/>
        <v>-125252.79905000003</v>
      </c>
      <c r="H46" s="1321">
        <f t="shared" si="18"/>
        <v>-101675.31854965538</v>
      </c>
      <c r="I46" s="1321">
        <f t="shared" si="18"/>
        <v>-59037.379413874587</v>
      </c>
      <c r="J46" s="1321">
        <f t="shared" si="18"/>
        <v>-56901.932588174823</v>
      </c>
      <c r="K46" s="1321">
        <f t="shared" si="18"/>
        <v>-62678.677802172489</v>
      </c>
      <c r="L46" s="1321">
        <f t="shared" si="18"/>
        <v>-65378.215150187258</v>
      </c>
      <c r="M46" s="1321">
        <f t="shared" si="18"/>
        <v>-65012.602794120088</v>
      </c>
      <c r="N46" s="1321">
        <f t="shared" si="18"/>
        <v>-71601.852898038458</v>
      </c>
      <c r="O46" s="1321">
        <f t="shared" si="18"/>
        <v>-85012.563651101431</v>
      </c>
      <c r="P46" s="1321">
        <f t="shared" si="18"/>
        <v>-91751.95943126292</v>
      </c>
      <c r="Q46" s="1321">
        <f t="shared" si="18"/>
        <v>-100472.70827061334</v>
      </c>
      <c r="R46" s="1321">
        <f t="shared" si="18"/>
        <v>-111582.0089803841</v>
      </c>
    </row>
    <row r="47" spans="1:18">
      <c r="A47" t="s">
        <v>1021</v>
      </c>
      <c r="C47" s="1321">
        <f>C44-C38</f>
        <v>-27618.479999999981</v>
      </c>
      <c r="D47" s="1321">
        <f t="shared" ref="D47:R47" si="19">D44-D38</f>
        <v>-1994</v>
      </c>
      <c r="E47" s="1321">
        <f t="shared" si="19"/>
        <v>-29020.578926999995</v>
      </c>
      <c r="F47" s="1321">
        <f t="shared" si="19"/>
        <v>-17751.780480000016</v>
      </c>
      <c r="G47" s="1321">
        <f t="shared" si="19"/>
        <v>-149132.79905000003</v>
      </c>
      <c r="H47" s="1321">
        <f t="shared" si="19"/>
        <v>-127055.31854965538</v>
      </c>
      <c r="I47" s="1321">
        <f t="shared" si="19"/>
        <v>-94797.379413874587</v>
      </c>
      <c r="J47" s="1321">
        <f t="shared" si="19"/>
        <v>-103480.56107815949</v>
      </c>
      <c r="K47" s="1321">
        <f t="shared" si="19"/>
        <v>-112741.49420138134</v>
      </c>
      <c r="L47" s="1321">
        <f t="shared" si="19"/>
        <v>-121332.14514042088</v>
      </c>
      <c r="M47" s="1321">
        <f t="shared" si="19"/>
        <v>-125452.3344696241</v>
      </c>
      <c r="N47" s="1321">
        <f t="shared" si="19"/>
        <v>-137774.71418782137</v>
      </c>
      <c r="O47" s="1321">
        <f t="shared" si="19"/>
        <v>-160957.60298911179</v>
      </c>
      <c r="P47" s="1321">
        <f t="shared" si="19"/>
        <v>-180053.2774026324</v>
      </c>
      <c r="Q47" s="1321">
        <f t="shared" si="19"/>
        <v>-203353.91378968372</v>
      </c>
      <c r="R47" s="1321">
        <f t="shared" si="19"/>
        <v>-230370.65871203318</v>
      </c>
    </row>
    <row r="49" spans="1:18">
      <c r="A49" t="s">
        <v>1022</v>
      </c>
      <c r="C49" s="1321">
        <f>-'IMF Data'!C214</f>
        <v>-345878.82363551157</v>
      </c>
      <c r="D49" s="1321">
        <f>-'IMF Data'!D214</f>
        <v>-407714.01370577491</v>
      </c>
      <c r="E49" s="1321">
        <f>-'IMF Data'!E214</f>
        <v>-509902.75805747678</v>
      </c>
      <c r="F49" s="1321">
        <f>-'IMF Data'!F214</f>
        <v>-637028.12202825083</v>
      </c>
      <c r="G49" s="1321">
        <f>-'IMF Data'!G214</f>
        <v>-848447.15393000003</v>
      </c>
      <c r="H49" s="1321">
        <f>-'IMF Data'!H214</f>
        <v>-1046862.7022571793</v>
      </c>
      <c r="I49" s="1321">
        <f>-'IMF Data'!I214</f>
        <v>-1240330.7598659135</v>
      </c>
      <c r="J49" s="1321">
        <f>-'IMF Data'!J214</f>
        <v>-1405290.2462683576</v>
      </c>
      <c r="K49" s="1321">
        <f>-'IMF Data'!K214</f>
        <v>-1585992.4291796985</v>
      </c>
      <c r="L49" s="1321">
        <f>-'IMF Data'!L214</f>
        <v>-1777821.5527251258</v>
      </c>
      <c r="M49" s="1321">
        <f>-'IMF Data'!M214</f>
        <v>-1977440.8290237843</v>
      </c>
      <c r="N49" s="1321">
        <f>-'IMF Data'!N214</f>
        <v>-2189348.5395960636</v>
      </c>
      <c r="O49" s="1321">
        <f>-'IMF Data'!O214</f>
        <v>-2424921.5677844044</v>
      </c>
      <c r="P49" s="1321">
        <f>-'IMF Data'!P214</f>
        <v>-2683906.6971380971</v>
      </c>
      <c r="Q49" s="1321">
        <f>-'IMF Data'!Q214</f>
        <v>-2971333.2477203575</v>
      </c>
      <c r="R49" s="1321">
        <f>-'IMF Data'!R214</f>
        <v>-3302872.0768610281</v>
      </c>
    </row>
    <row r="50" spans="1:18">
      <c r="D50" s="1321"/>
    </row>
    <row r="51" spans="1:18">
      <c r="A51" t="s">
        <v>1024</v>
      </c>
    </row>
    <row r="53" spans="1:18">
      <c r="A53" t="s">
        <v>876</v>
      </c>
      <c r="C53" s="1321">
        <f t="shared" ref="C53:R53" si="20">C54+C57</f>
        <v>255907.47999999998</v>
      </c>
      <c r="D53" s="1321">
        <f t="shared" si="20"/>
        <v>341307.19007026334</v>
      </c>
      <c r="E53" s="1321">
        <f t="shared" si="20"/>
        <v>430099.3443517019</v>
      </c>
      <c r="F53" s="1321">
        <f t="shared" si="20"/>
        <v>557660.36397077399</v>
      </c>
      <c r="G53" s="1321">
        <f t="shared" si="20"/>
        <v>653760.0319017492</v>
      </c>
      <c r="H53" s="1321">
        <f t="shared" si="20"/>
        <v>756402.2297775239</v>
      </c>
      <c r="I53" s="1321">
        <f t="shared" si="20"/>
        <v>862473.26448857703</v>
      </c>
      <c r="J53" s="1321">
        <f t="shared" si="20"/>
        <v>938852.02503536886</v>
      </c>
      <c r="K53" s="1321">
        <f t="shared" si="20"/>
        <v>1070349.7015921359</v>
      </c>
      <c r="L53" s="1321">
        <f t="shared" si="20"/>
        <v>1215173.2813013219</v>
      </c>
      <c r="M53" s="1321">
        <f t="shared" si="20"/>
        <v>1375018.1095079873</v>
      </c>
      <c r="N53" s="1321">
        <f t="shared" si="20"/>
        <v>1544028.4386614156</v>
      </c>
      <c r="O53" s="1321">
        <f t="shared" si="20"/>
        <v>1736328.6395997491</v>
      </c>
      <c r="P53" s="1321">
        <f t="shared" si="20"/>
        <v>1952961.0774254568</v>
      </c>
      <c r="Q53" s="1321">
        <f t="shared" si="20"/>
        <v>2198676.7037004642</v>
      </c>
      <c r="R53" s="1321">
        <f t="shared" si="20"/>
        <v>2488170.5492168367</v>
      </c>
    </row>
    <row r="54" spans="1:18">
      <c r="A54" t="s">
        <v>1017</v>
      </c>
      <c r="C54" s="1321">
        <f t="shared" ref="C54:R54" si="21">C55+C56</f>
        <v>249286.47999999998</v>
      </c>
      <c r="D54" s="1321">
        <f t="shared" si="21"/>
        <v>273501</v>
      </c>
      <c r="E54" s="1321">
        <f t="shared" si="21"/>
        <v>344271.17892700003</v>
      </c>
      <c r="F54" s="1321">
        <f t="shared" si="21"/>
        <v>431556.78048000002</v>
      </c>
      <c r="G54" s="1321">
        <f t="shared" si="21"/>
        <v>567593.79905000003</v>
      </c>
      <c r="H54" s="1321">
        <f t="shared" si="21"/>
        <v>659662</v>
      </c>
      <c r="I54" s="1321">
        <f t="shared" si="21"/>
        <v>728042.58629371738</v>
      </c>
      <c r="J54" s="1321">
        <f t="shared" si="21"/>
        <v>830794.47122109961</v>
      </c>
      <c r="K54" s="1321">
        <f t="shared" si="21"/>
        <v>952326.19648296759</v>
      </c>
      <c r="L54" s="1321">
        <f t="shared" si="21"/>
        <v>1088722.3729060818</v>
      </c>
      <c r="M54" s="1321">
        <f t="shared" si="21"/>
        <v>1240411.4360034489</v>
      </c>
      <c r="N54" s="1321">
        <f t="shared" si="21"/>
        <v>1403722.5809871748</v>
      </c>
      <c r="O54" s="1321">
        <f t="shared" si="21"/>
        <v>1585768.1750625097</v>
      </c>
      <c r="P54" s="1321">
        <f t="shared" si="21"/>
        <v>1785727.907503027</v>
      </c>
      <c r="Q54" s="1321">
        <f t="shared" si="21"/>
        <v>2011722.861388817</v>
      </c>
      <c r="R54" s="1321">
        <f t="shared" si="21"/>
        <v>2268213.7290565502</v>
      </c>
    </row>
    <row r="55" spans="1:18">
      <c r="A55" t="s">
        <v>1018</v>
      </c>
      <c r="C55" s="1321">
        <f>C40</f>
        <v>143272</v>
      </c>
      <c r="D55" s="1321">
        <f t="shared" ref="D55:R56" si="22">D40</f>
        <v>172104</v>
      </c>
      <c r="E55" s="1321">
        <f t="shared" si="22"/>
        <v>219158.678927</v>
      </c>
      <c r="F55" s="1321">
        <f t="shared" si="22"/>
        <v>275640</v>
      </c>
      <c r="G55" s="1321">
        <f t="shared" si="22"/>
        <v>323201</v>
      </c>
      <c r="H55" s="1321">
        <f t="shared" si="22"/>
        <v>391679.99999999994</v>
      </c>
      <c r="I55" s="1321">
        <f t="shared" si="22"/>
        <v>489755.59032497695</v>
      </c>
      <c r="J55" s="1321">
        <f t="shared" si="22"/>
        <v>560248.88665260875</v>
      </c>
      <c r="K55" s="1321">
        <f t="shared" si="22"/>
        <v>643353.25895522733</v>
      </c>
      <c r="L55" s="1321">
        <f t="shared" si="22"/>
        <v>736788.96571976284</v>
      </c>
      <c r="M55" s="1321">
        <f t="shared" si="22"/>
        <v>839930.54449714045</v>
      </c>
      <c r="N55" s="1321">
        <f t="shared" si="22"/>
        <v>953593.62036742363</v>
      </c>
      <c r="O55" s="1321">
        <f t="shared" si="22"/>
        <v>1080728.5626913521</v>
      </c>
      <c r="P55" s="1321">
        <f t="shared" si="22"/>
        <v>1224806.1842757997</v>
      </c>
      <c r="Q55" s="1321">
        <f t="shared" si="22"/>
        <v>1388536.178090381</v>
      </c>
      <c r="R55" s="1321">
        <f t="shared" si="22"/>
        <v>1574681.7341737675</v>
      </c>
    </row>
    <row r="56" spans="1:18">
      <c r="A56" t="s">
        <v>1025</v>
      </c>
      <c r="C56" s="1321">
        <f>C41</f>
        <v>106014.47999999998</v>
      </c>
      <c r="D56" s="1321">
        <f t="shared" si="22"/>
        <v>101397</v>
      </c>
      <c r="E56" s="1321">
        <f t="shared" si="22"/>
        <v>125112.5</v>
      </c>
      <c r="F56" s="1321">
        <f t="shared" si="22"/>
        <v>155916.78048000002</v>
      </c>
      <c r="G56" s="1321">
        <f t="shared" si="22"/>
        <v>244392.79905</v>
      </c>
      <c r="H56" s="1321">
        <f t="shared" si="22"/>
        <v>267982</v>
      </c>
      <c r="I56" s="1321">
        <f t="shared" si="22"/>
        <v>238286.9959687404</v>
      </c>
      <c r="J56" s="1321">
        <f t="shared" si="22"/>
        <v>270545.58456849086</v>
      </c>
      <c r="K56" s="1321">
        <f t="shared" si="22"/>
        <v>308972.9375277402</v>
      </c>
      <c r="L56" s="1321">
        <f t="shared" si="22"/>
        <v>351933.40718631895</v>
      </c>
      <c r="M56" s="1321">
        <f t="shared" si="22"/>
        <v>400480.89150630857</v>
      </c>
      <c r="N56" s="1321">
        <f t="shared" si="22"/>
        <v>450128.96061975107</v>
      </c>
      <c r="O56" s="1321">
        <f t="shared" si="22"/>
        <v>505039.61237115768</v>
      </c>
      <c r="P56" s="1321">
        <f t="shared" si="22"/>
        <v>560921.72322722722</v>
      </c>
      <c r="Q56" s="1321">
        <f t="shared" si="22"/>
        <v>623186.68329843599</v>
      </c>
      <c r="R56" s="1321">
        <f t="shared" si="22"/>
        <v>693531.9948827828</v>
      </c>
    </row>
    <row r="57" spans="1:18">
      <c r="A57" s="1322" t="s">
        <v>1019</v>
      </c>
      <c r="B57" s="1322"/>
      <c r="C57" s="1323">
        <f>C42</f>
        <v>6621</v>
      </c>
      <c r="D57" s="1323">
        <f>-(D49-C49)+D46</f>
        <v>67806.190070263343</v>
      </c>
      <c r="E57" s="1323">
        <f t="shared" ref="E57:R57" si="23">-(E49-D49)+E46</f>
        <v>85828.165424701874</v>
      </c>
      <c r="F57" s="1323">
        <f t="shared" si="23"/>
        <v>126103.58349077404</v>
      </c>
      <c r="G57" s="1323">
        <f t="shared" si="23"/>
        <v>86166.23285174917</v>
      </c>
      <c r="H57" s="1323">
        <f t="shared" si="23"/>
        <v>96740.229777523899</v>
      </c>
      <c r="I57" s="1323">
        <f t="shared" si="23"/>
        <v>134430.67819485965</v>
      </c>
      <c r="J57" s="1323">
        <f t="shared" si="23"/>
        <v>108057.55381426925</v>
      </c>
      <c r="K57" s="1323">
        <f t="shared" si="23"/>
        <v>118023.50510916836</v>
      </c>
      <c r="L57" s="1323">
        <f t="shared" si="23"/>
        <v>126450.90839524008</v>
      </c>
      <c r="M57" s="1323">
        <f t="shared" si="23"/>
        <v>134606.67350453837</v>
      </c>
      <c r="N57" s="1323">
        <f t="shared" si="23"/>
        <v>140305.85767424083</v>
      </c>
      <c r="O57" s="1323">
        <f t="shared" si="23"/>
        <v>150560.4645372394</v>
      </c>
      <c r="P57" s="1323">
        <f t="shared" si="23"/>
        <v>167233.16992242984</v>
      </c>
      <c r="Q57" s="1323">
        <f t="shared" si="23"/>
        <v>186953.84231164702</v>
      </c>
      <c r="R57" s="1323">
        <f t="shared" si="23"/>
        <v>219956.8201602865</v>
      </c>
    </row>
    <row r="59" spans="1:18">
      <c r="A59" t="s">
        <v>1020</v>
      </c>
      <c r="C59" s="1321">
        <f>C44</f>
        <v>228289</v>
      </c>
      <c r="D59" s="1321">
        <f>D44</f>
        <v>279472</v>
      </c>
      <c r="E59" s="1321">
        <f t="shared" ref="E59:R59" si="24">E44</f>
        <v>327910.60000000003</v>
      </c>
      <c r="F59" s="1321">
        <f t="shared" si="24"/>
        <v>430535</v>
      </c>
      <c r="G59" s="1321">
        <f t="shared" si="24"/>
        <v>442341</v>
      </c>
      <c r="H59" s="1321">
        <f t="shared" si="24"/>
        <v>557986.68145034462</v>
      </c>
      <c r="I59" s="1321">
        <f t="shared" si="24"/>
        <v>669005.20687984279</v>
      </c>
      <c r="J59" s="1321">
        <f t="shared" si="24"/>
        <v>773892.53863292478</v>
      </c>
      <c r="K59" s="1321">
        <f t="shared" si="24"/>
        <v>889647.5186807951</v>
      </c>
      <c r="L59" s="1321">
        <f t="shared" si="24"/>
        <v>1023344.1577558946</v>
      </c>
      <c r="M59" s="1321">
        <f t="shared" si="24"/>
        <v>1175398.8332093288</v>
      </c>
      <c r="N59" s="1321">
        <f t="shared" si="24"/>
        <v>1332120.7280891363</v>
      </c>
      <c r="O59" s="1321">
        <f t="shared" si="24"/>
        <v>1500755.6114114083</v>
      </c>
      <c r="P59" s="1321">
        <f t="shared" si="24"/>
        <v>1693975.9480717641</v>
      </c>
      <c r="Q59" s="1321">
        <f t="shared" si="24"/>
        <v>1911250.1531182036</v>
      </c>
      <c r="R59" s="1321">
        <f t="shared" si="24"/>
        <v>2156631.7200761661</v>
      </c>
    </row>
    <row r="61" spans="1:18">
      <c r="A61" t="s">
        <v>329</v>
      </c>
      <c r="C61" s="1321">
        <f>C59-C54</f>
        <v>-20997.479999999981</v>
      </c>
      <c r="D61" s="1321">
        <f t="shared" ref="D61:R61" si="25">D59-D54</f>
        <v>5971</v>
      </c>
      <c r="E61" s="1321">
        <f t="shared" si="25"/>
        <v>-16360.578926999995</v>
      </c>
      <c r="F61" s="1321">
        <f t="shared" si="25"/>
        <v>-1021.7804800000158</v>
      </c>
      <c r="G61" s="1321">
        <f t="shared" si="25"/>
        <v>-125252.79905000003</v>
      </c>
      <c r="H61" s="1321">
        <f t="shared" si="25"/>
        <v>-101675.31854965538</v>
      </c>
      <c r="I61" s="1321">
        <f t="shared" si="25"/>
        <v>-59037.379413874587</v>
      </c>
      <c r="J61" s="1321">
        <f t="shared" si="25"/>
        <v>-56901.932588174823</v>
      </c>
      <c r="K61" s="1321">
        <f t="shared" si="25"/>
        <v>-62678.677802172489</v>
      </c>
      <c r="L61" s="1321">
        <f t="shared" si="25"/>
        <v>-65378.215150187258</v>
      </c>
      <c r="M61" s="1321">
        <f t="shared" si="25"/>
        <v>-65012.602794120088</v>
      </c>
      <c r="N61" s="1321">
        <f t="shared" si="25"/>
        <v>-71601.852898038458</v>
      </c>
      <c r="O61" s="1321">
        <f t="shared" si="25"/>
        <v>-85012.563651101431</v>
      </c>
      <c r="P61" s="1321">
        <f t="shared" si="25"/>
        <v>-91751.95943126292</v>
      </c>
      <c r="Q61" s="1321">
        <f t="shared" si="25"/>
        <v>-100472.70827061334</v>
      </c>
      <c r="R61" s="1321">
        <f t="shared" si="25"/>
        <v>-111582.0089803841</v>
      </c>
    </row>
    <row r="62" spans="1:18">
      <c r="A62" t="s">
        <v>1021</v>
      </c>
      <c r="C62" s="1321">
        <f>C59-C53</f>
        <v>-27618.479999999981</v>
      </c>
      <c r="D62" s="1321">
        <f t="shared" ref="D62:R62" si="26">D59-D53</f>
        <v>-61835.190070263343</v>
      </c>
      <c r="E62" s="1321">
        <f t="shared" si="26"/>
        <v>-102188.74435170187</v>
      </c>
      <c r="F62" s="1321">
        <f t="shared" si="26"/>
        <v>-127125.36397077399</v>
      </c>
      <c r="G62" s="1321">
        <f t="shared" si="26"/>
        <v>-211419.0319017492</v>
      </c>
      <c r="H62" s="1321">
        <f t="shared" si="26"/>
        <v>-198415.54832717928</v>
      </c>
      <c r="I62" s="1321">
        <f t="shared" si="26"/>
        <v>-193468.05760873423</v>
      </c>
      <c r="J62" s="1321">
        <f t="shared" si="26"/>
        <v>-164959.48640244408</v>
      </c>
      <c r="K62" s="1321">
        <f t="shared" si="26"/>
        <v>-180702.18291134085</v>
      </c>
      <c r="L62" s="1321">
        <f t="shared" si="26"/>
        <v>-191829.12354542734</v>
      </c>
      <c r="M62" s="1321">
        <f t="shared" si="26"/>
        <v>-199619.27629865846</v>
      </c>
      <c r="N62" s="1321">
        <f t="shared" si="26"/>
        <v>-211907.71057227929</v>
      </c>
      <c r="O62" s="1321">
        <f t="shared" si="26"/>
        <v>-235573.02818834083</v>
      </c>
      <c r="P62" s="1321">
        <f t="shared" si="26"/>
        <v>-258985.12935369276</v>
      </c>
      <c r="Q62" s="1321">
        <f t="shared" si="26"/>
        <v>-287426.55058226059</v>
      </c>
      <c r="R62" s="1321">
        <f t="shared" si="26"/>
        <v>-331538.8291406706</v>
      </c>
    </row>
    <row r="63" spans="1:18">
      <c r="A63" t="s">
        <v>1035</v>
      </c>
      <c r="C63" s="1327">
        <f>C62/C70</f>
        <v>-3.2910044031340728E-2</v>
      </c>
      <c r="D63" s="1327">
        <f t="shared" ref="D63:R63" si="27">D62/D70</f>
        <v>-6.346855328915986E-2</v>
      </c>
      <c r="E63" s="1327">
        <f t="shared" si="27"/>
        <v>-8.9348056099212994E-2</v>
      </c>
      <c r="F63" s="1327">
        <f t="shared" si="27"/>
        <v>-8.5604115161210678E-2</v>
      </c>
      <c r="G63" s="1327">
        <f t="shared" si="27"/>
        <v>-0.12748458407632299</v>
      </c>
      <c r="H63" s="1327">
        <f t="shared" si="27"/>
        <v>-0.1001636559651967</v>
      </c>
      <c r="I63" s="1327">
        <f t="shared" si="27"/>
        <v>-8.0351864918292562E-2</v>
      </c>
      <c r="J63" s="1327">
        <f t="shared" si="27"/>
        <v>-5.9891113152702159E-2</v>
      </c>
      <c r="K63" s="1327">
        <f t="shared" si="27"/>
        <v>-5.7132073356627087E-2</v>
      </c>
      <c r="L63" s="1327">
        <f t="shared" si="27"/>
        <v>-5.2958725008166133E-2</v>
      </c>
      <c r="M63" s="1327">
        <f t="shared" si="27"/>
        <v>-4.8342064483966447E-2</v>
      </c>
      <c r="N63" s="1327">
        <f t="shared" si="27"/>
        <v>-4.5201153098246641E-2</v>
      </c>
      <c r="O63" s="1327">
        <f t="shared" si="27"/>
        <v>-4.433789049795632E-2</v>
      </c>
      <c r="P63" s="1327">
        <f t="shared" si="27"/>
        <v>-4.3010406681373951E-2</v>
      </c>
      <c r="Q63" s="1327">
        <f t="shared" si="27"/>
        <v>-4.2105203886615143E-2</v>
      </c>
      <c r="R63" s="1327">
        <f t="shared" si="27"/>
        <v>-4.2826018573742408E-2</v>
      </c>
    </row>
    <row r="64" spans="1:18">
      <c r="A64" t="s">
        <v>1022</v>
      </c>
      <c r="C64" s="1321">
        <f>C49</f>
        <v>-345878.82363551157</v>
      </c>
      <c r="D64" s="1321">
        <f>C64+D62</f>
        <v>-407714.01370577491</v>
      </c>
      <c r="E64" s="1321">
        <f t="shared" ref="E64:R64" si="28">D64+E62</f>
        <v>-509902.75805747678</v>
      </c>
      <c r="F64" s="1321">
        <f t="shared" si="28"/>
        <v>-637028.12202825071</v>
      </c>
      <c r="G64" s="1321">
        <f t="shared" si="28"/>
        <v>-848447.15392999991</v>
      </c>
      <c r="H64" s="1321">
        <f t="shared" si="28"/>
        <v>-1046862.7022571792</v>
      </c>
      <c r="I64" s="1321">
        <f t="shared" si="28"/>
        <v>-1240330.7598659135</v>
      </c>
      <c r="J64" s="1321">
        <f t="shared" si="28"/>
        <v>-1405290.2462683576</v>
      </c>
      <c r="K64" s="1321">
        <f t="shared" si="28"/>
        <v>-1585992.4291796985</v>
      </c>
      <c r="L64" s="1321">
        <f t="shared" si="28"/>
        <v>-1777821.5527251258</v>
      </c>
      <c r="M64" s="1321">
        <f t="shared" si="28"/>
        <v>-1977440.8290237843</v>
      </c>
      <c r="N64" s="1321">
        <f t="shared" si="28"/>
        <v>-2189348.5395960636</v>
      </c>
      <c r="O64" s="1321">
        <f t="shared" si="28"/>
        <v>-2424921.5677844044</v>
      </c>
      <c r="P64" s="1321">
        <f t="shared" si="28"/>
        <v>-2683906.6971380971</v>
      </c>
      <c r="Q64" s="1321">
        <f t="shared" si="28"/>
        <v>-2971333.247720358</v>
      </c>
      <c r="R64" s="1321">
        <f t="shared" si="28"/>
        <v>-3302872.0768610286</v>
      </c>
    </row>
    <row r="65" spans="1:18">
      <c r="A65" t="s">
        <v>1030</v>
      </c>
      <c r="C65" s="1327">
        <f>C64/C70</f>
        <v>-0.41214749382851729</v>
      </c>
      <c r="D65" s="1327">
        <f t="shared" ref="D65:R65" si="29">D64/D70</f>
        <v>-0.41848369150669978</v>
      </c>
      <c r="E65" s="1327">
        <f t="shared" si="29"/>
        <v>-0.44583012073485878</v>
      </c>
      <c r="F65" s="1327">
        <f t="shared" si="29"/>
        <v>-0.42896418948757586</v>
      </c>
      <c r="G65" s="1327">
        <f t="shared" si="29"/>
        <v>-0.51160925086333775</v>
      </c>
      <c r="H65" s="1327">
        <f t="shared" si="29"/>
        <v>-0.52847469079781129</v>
      </c>
      <c r="I65" s="1327">
        <f t="shared" si="29"/>
        <v>-0.51513873092324725</v>
      </c>
      <c r="J65" s="1327">
        <f t="shared" si="29"/>
        <v>-0.51021253149585399</v>
      </c>
      <c r="K65" s="1327">
        <f t="shared" si="29"/>
        <v>-0.50143852358112817</v>
      </c>
      <c r="L65" s="1327">
        <f t="shared" si="29"/>
        <v>-0.49080744875563587</v>
      </c>
      <c r="M65" s="1327">
        <f t="shared" si="29"/>
        <v>-0.47887946415993637</v>
      </c>
      <c r="N65" s="1327">
        <f t="shared" si="29"/>
        <v>-0.46700083850865765</v>
      </c>
      <c r="O65" s="1327">
        <f t="shared" si="29"/>
        <v>-0.45640159981557149</v>
      </c>
      <c r="P65" s="1327">
        <f t="shared" si="29"/>
        <v>-0.44572411870460454</v>
      </c>
      <c r="Q65" s="1327">
        <f t="shared" si="29"/>
        <v>-0.43527152226160931</v>
      </c>
      <c r="R65" s="1327">
        <f t="shared" si="29"/>
        <v>-0.42664342296488411</v>
      </c>
    </row>
    <row r="66" spans="1:18" ht="15.75">
      <c r="A66" t="s">
        <v>1028</v>
      </c>
      <c r="D66" s="1004">
        <f>((-D61-((D61)^2+4*C64*D64)^0.5)/(2*C64))^2-1</f>
        <v>0.19766962865321469</v>
      </c>
      <c r="E66" s="1004">
        <f t="shared" ref="E66:R66" si="30">((-E61-((E61)^2+4*D64*E64)^0.5)/(2*D64))^2-1</f>
        <v>0.20656072517660728</v>
      </c>
      <c r="F66" s="1004">
        <f t="shared" si="30"/>
        <v>0.24707518044444421</v>
      </c>
      <c r="G66" s="1004">
        <f t="shared" si="30"/>
        <v>0.12347701538480749</v>
      </c>
      <c r="H66" s="1004">
        <f t="shared" si="30"/>
        <v>0.10773036976982397</v>
      </c>
      <c r="I66" s="1004">
        <f t="shared" si="30"/>
        <v>0.12499220506497366</v>
      </c>
      <c r="J66" s="1004">
        <f t="shared" si="30"/>
        <v>8.5205438024780644E-2</v>
      </c>
      <c r="K66" s="1004">
        <f t="shared" si="30"/>
        <v>8.218845064580016E-2</v>
      </c>
      <c r="L66" s="1004">
        <f t="shared" si="30"/>
        <v>7.8149380446612904E-2</v>
      </c>
      <c r="M66" s="1004">
        <f t="shared" si="30"/>
        <v>7.4378811015981094E-2</v>
      </c>
      <c r="N66" s="1004">
        <f t="shared" si="30"/>
        <v>6.9712393287663543E-2</v>
      </c>
      <c r="O66" s="1004">
        <f t="shared" si="30"/>
        <v>6.7480772449220794E-2</v>
      </c>
      <c r="P66" s="1004">
        <f t="shared" si="30"/>
        <v>6.7704468530888073E-2</v>
      </c>
      <c r="Q66" s="1004">
        <f t="shared" si="30"/>
        <v>6.8398275763617011E-2</v>
      </c>
      <c r="R66" s="1004">
        <f t="shared" si="30"/>
        <v>7.2685469118822787E-2</v>
      </c>
    </row>
    <row r="67" spans="1:18">
      <c r="A67" t="s">
        <v>1026</v>
      </c>
      <c r="D67" s="1321">
        <f t="shared" ref="D67:R67" si="31">-(C64*D66+D61*((1+D66)^0.5-1))</f>
        <v>67806.190070263328</v>
      </c>
      <c r="E67" s="1321">
        <f t="shared" si="31"/>
        <v>85828.165424701874</v>
      </c>
      <c r="F67" s="1321">
        <f t="shared" si="31"/>
        <v>126103.58349077408</v>
      </c>
      <c r="G67" s="1321">
        <f t="shared" si="31"/>
        <v>86166.232851749053</v>
      </c>
      <c r="H67" s="1321">
        <f t="shared" si="31"/>
        <v>96740.229777524044</v>
      </c>
      <c r="I67" s="1321">
        <f t="shared" si="31"/>
        <v>134430.67819485994</v>
      </c>
      <c r="J67" s="1321">
        <f t="shared" si="31"/>
        <v>108057.55381426918</v>
      </c>
      <c r="K67" s="1321">
        <f t="shared" si="31"/>
        <v>118023.50510916857</v>
      </c>
      <c r="L67" s="1321">
        <f t="shared" si="31"/>
        <v>126450.90839524029</v>
      </c>
      <c r="M67" s="1321">
        <f t="shared" si="31"/>
        <v>134606.67350453796</v>
      </c>
      <c r="N67" s="1321">
        <f t="shared" si="31"/>
        <v>140305.85767424057</v>
      </c>
      <c r="O67" s="1321">
        <f t="shared" si="31"/>
        <v>150560.46453723917</v>
      </c>
      <c r="P67" s="1321">
        <f t="shared" si="31"/>
        <v>167233.16992243007</v>
      </c>
      <c r="Q67" s="1321">
        <f t="shared" si="31"/>
        <v>186953.84231164854</v>
      </c>
      <c r="R67" s="1321">
        <f t="shared" si="31"/>
        <v>219956.82016028761</v>
      </c>
    </row>
    <row r="69" spans="1:18">
      <c r="A69" t="s">
        <v>1029</v>
      </c>
    </row>
    <row r="70" spans="1:18">
      <c r="A70" t="s">
        <v>1031</v>
      </c>
      <c r="C70" s="1321">
        <f>'IMF Data'!C3</f>
        <v>839211.27464000008</v>
      </c>
      <c r="D70" s="1321">
        <f>'IMF Data'!D3</f>
        <v>974265.00000000012</v>
      </c>
      <c r="E70" s="1321">
        <f>'IMF Data'!E3</f>
        <v>1143715.3622931701</v>
      </c>
      <c r="F70" s="1321">
        <f>'IMF Data'!F3</f>
        <v>1485038</v>
      </c>
      <c r="G70" s="1321">
        <f>'IMF Data'!G3</f>
        <v>1658389</v>
      </c>
      <c r="H70" s="1321">
        <f>'IMF Data'!H3</f>
        <v>1980913.6</v>
      </c>
      <c r="I70" s="1321">
        <f>'IMF Data'!I3</f>
        <v>2407760.6388534503</v>
      </c>
      <c r="J70" s="1321">
        <f>'IMF Data'!J3</f>
        <v>2754323.2663225504</v>
      </c>
      <c r="K70" s="1321">
        <f>'IMF Data'!K3</f>
        <v>3162885.0887901504</v>
      </c>
      <c r="L70" s="1321">
        <f>'IMF Data'!L3</f>
        <v>3622238.3283556704</v>
      </c>
      <c r="M70" s="1321">
        <f>'IMF Data'!M3</f>
        <v>4129308.0556140901</v>
      </c>
      <c r="N70" s="1321">
        <f>'IMF Data'!N3</f>
        <v>4688104.0868955003</v>
      </c>
      <c r="O70" s="1321">
        <f>'IMF Data'!O3</f>
        <v>5313131.1738703307</v>
      </c>
      <c r="P70" s="1321">
        <f>'IMF Data'!P3</f>
        <v>6021452.6980013102</v>
      </c>
      <c r="Q70" s="1321">
        <f>'IMF Data'!Q3</f>
        <v>6826390.1857896205</v>
      </c>
      <c r="R70" s="1321">
        <f>'IMF Data'!R3</f>
        <v>7741528.1686713807</v>
      </c>
    </row>
    <row r="71" spans="1:18">
      <c r="A71" t="s">
        <v>1030</v>
      </c>
      <c r="C71" s="1325">
        <f>-C64/C70</f>
        <v>0.41214749382851729</v>
      </c>
      <c r="D71" s="1325">
        <f t="shared" ref="D71:R71" si="32">-D64/D70</f>
        <v>0.41848369150669978</v>
      </c>
      <c r="E71" s="1325">
        <f t="shared" si="32"/>
        <v>0.44583012073485878</v>
      </c>
      <c r="F71" s="1325">
        <f t="shared" si="32"/>
        <v>0.42896418948757586</v>
      </c>
      <c r="G71" s="1325">
        <f t="shared" si="32"/>
        <v>0.51160925086333775</v>
      </c>
      <c r="H71" s="1325">
        <f t="shared" si="32"/>
        <v>0.52847469079781129</v>
      </c>
      <c r="I71" s="1325">
        <f t="shared" si="32"/>
        <v>0.51513873092324725</v>
      </c>
      <c r="J71" s="1325">
        <f t="shared" si="32"/>
        <v>0.51021253149585399</v>
      </c>
      <c r="K71" s="1325">
        <f t="shared" si="32"/>
        <v>0.50143852358112817</v>
      </c>
      <c r="L71" s="1325">
        <f t="shared" si="32"/>
        <v>0.49080744875563587</v>
      </c>
      <c r="M71" s="1325">
        <f t="shared" si="32"/>
        <v>0.47887946415993637</v>
      </c>
      <c r="N71" s="1325">
        <f t="shared" si="32"/>
        <v>0.46700083850865765</v>
      </c>
      <c r="O71" s="1325">
        <f t="shared" si="32"/>
        <v>0.45640159981557149</v>
      </c>
      <c r="P71" s="1325">
        <f t="shared" si="32"/>
        <v>0.44572411870460454</v>
      </c>
      <c r="Q71" s="1325">
        <f t="shared" si="32"/>
        <v>0.43527152226160931</v>
      </c>
      <c r="R71" s="1325">
        <f t="shared" si="32"/>
        <v>0.42664342296488411</v>
      </c>
    </row>
    <row r="73" spans="1:18">
      <c r="A73" s="1326" t="s">
        <v>1032</v>
      </c>
    </row>
    <row r="75" spans="1:18">
      <c r="A75" t="s">
        <v>876</v>
      </c>
      <c r="C75" s="1321">
        <f>C76+C79</f>
        <v>255907.47999999998</v>
      </c>
      <c r="D75" s="1321">
        <f>D76+D79</f>
        <v>341307.19007026334</v>
      </c>
      <c r="E75" s="1321">
        <f t="shared" ref="E75:R75" si="33">E76+E79</f>
        <v>430099.3443517019</v>
      </c>
      <c r="F75" s="1321">
        <f t="shared" si="33"/>
        <v>557660.36397077411</v>
      </c>
      <c r="G75" s="1321">
        <f t="shared" si="33"/>
        <v>653760.03190174908</v>
      </c>
      <c r="H75" s="1321">
        <f t="shared" si="33"/>
        <v>756402.22977752401</v>
      </c>
      <c r="I75" s="1321">
        <f t="shared" si="33"/>
        <v>881533.53107741196</v>
      </c>
      <c r="J75" s="1321">
        <f t="shared" si="33"/>
        <v>984563.48035166122</v>
      </c>
      <c r="K75" s="1321">
        <f t="shared" si="33"/>
        <v>1134865.3255896557</v>
      </c>
      <c r="L75" s="1321">
        <f t="shared" si="33"/>
        <v>1301906.9894846126</v>
      </c>
      <c r="M75" s="1321">
        <f t="shared" si="33"/>
        <v>1484905.3841130286</v>
      </c>
      <c r="N75" s="1321">
        <f t="shared" si="33"/>
        <v>1680876.8921620338</v>
      </c>
      <c r="O75" s="1321">
        <f t="shared" si="33"/>
        <v>1894771.6286176823</v>
      </c>
      <c r="P75" s="1321">
        <f t="shared" si="33"/>
        <v>2138018.2813835777</v>
      </c>
      <c r="Q75" s="1321">
        <f t="shared" si="33"/>
        <v>2416630.644596498</v>
      </c>
      <c r="R75" s="1321">
        <f t="shared" si="33"/>
        <v>2751495.9482667916</v>
      </c>
    </row>
    <row r="76" spans="1:18">
      <c r="A76" s="1322" t="s">
        <v>1017</v>
      </c>
      <c r="B76" s="1322"/>
      <c r="C76" s="1323">
        <f>C77+C78</f>
        <v>249286.47999999998</v>
      </c>
      <c r="D76" s="1323">
        <f>D77+D78</f>
        <v>273501</v>
      </c>
      <c r="E76" s="1323">
        <f t="shared" ref="E76:R76" si="34">E77+E78</f>
        <v>344271.17892700003</v>
      </c>
      <c r="F76" s="1323">
        <f t="shared" si="34"/>
        <v>431556.78048000002</v>
      </c>
      <c r="G76" s="1323">
        <f t="shared" si="34"/>
        <v>567593.79905000003</v>
      </c>
      <c r="H76" s="1323">
        <f t="shared" si="34"/>
        <v>659662</v>
      </c>
      <c r="I76" s="1323">
        <f t="shared" si="34"/>
        <v>746012.84022517048</v>
      </c>
      <c r="J76" s="1323">
        <f t="shared" si="34"/>
        <v>873115.73948090279</v>
      </c>
      <c r="K76" s="1323">
        <f t="shared" si="34"/>
        <v>1009226.2360849825</v>
      </c>
      <c r="L76" s="1323">
        <f t="shared" si="34"/>
        <v>1162522.864692067</v>
      </c>
      <c r="M76" s="1323">
        <f t="shared" si="34"/>
        <v>1330925.5242433101</v>
      </c>
      <c r="N76" s="1323">
        <f t="shared" si="34"/>
        <v>1514069.6980061335</v>
      </c>
      <c r="O76" s="1323">
        <f t="shared" si="34"/>
        <v>1708897.3689054642</v>
      </c>
      <c r="P76" s="1323">
        <f t="shared" si="34"/>
        <v>1924118.9843281889</v>
      </c>
      <c r="Q76" s="1323">
        <f t="shared" si="34"/>
        <v>2169232.6065145647</v>
      </c>
      <c r="R76" s="1323">
        <f t="shared" si="34"/>
        <v>2450582.3507872624</v>
      </c>
    </row>
    <row r="77" spans="1:18">
      <c r="A77" t="s">
        <v>1018</v>
      </c>
      <c r="C77" s="1321">
        <f t="shared" ref="C77:H77" si="35">C55</f>
        <v>143272</v>
      </c>
      <c r="D77" s="1321">
        <f t="shared" si="35"/>
        <v>172104</v>
      </c>
      <c r="E77" s="1321">
        <f t="shared" si="35"/>
        <v>219158.678927</v>
      </c>
      <c r="F77" s="1321">
        <f t="shared" si="35"/>
        <v>275640</v>
      </c>
      <c r="G77" s="1321">
        <f t="shared" si="35"/>
        <v>323201</v>
      </c>
      <c r="H77" s="1321">
        <f t="shared" si="35"/>
        <v>391679.99999999994</v>
      </c>
      <c r="I77" s="1321">
        <f t="shared" ref="I77:R77" si="36">I55+I94</f>
        <v>507725.84425643011</v>
      </c>
      <c r="J77" s="1321">
        <f t="shared" si="36"/>
        <v>602570.15491241193</v>
      </c>
      <c r="K77" s="1321">
        <f t="shared" si="36"/>
        <v>700253.29855724226</v>
      </c>
      <c r="L77" s="1321">
        <f t="shared" si="36"/>
        <v>810589.45750574803</v>
      </c>
      <c r="M77" s="1321">
        <f t="shared" si="36"/>
        <v>930444.63273700164</v>
      </c>
      <c r="N77" s="1321">
        <f t="shared" si="36"/>
        <v>1063940.7373863824</v>
      </c>
      <c r="O77" s="1321">
        <f t="shared" si="36"/>
        <v>1203857.7565343066</v>
      </c>
      <c r="P77" s="1321">
        <f t="shared" si="36"/>
        <v>1363197.2611009618</v>
      </c>
      <c r="Q77" s="1321">
        <f t="shared" si="36"/>
        <v>1546045.9232161287</v>
      </c>
      <c r="R77" s="1321">
        <f t="shared" si="36"/>
        <v>1757050.3559044795</v>
      </c>
    </row>
    <row r="78" spans="1:18">
      <c r="A78" t="s">
        <v>1025</v>
      </c>
      <c r="C78" s="1321">
        <f>C41</f>
        <v>106014.47999999998</v>
      </c>
      <c r="D78" s="1321">
        <f>D41</f>
        <v>101397</v>
      </c>
      <c r="E78" s="1321">
        <f t="shared" ref="E78:R78" si="37">E41</f>
        <v>125112.5</v>
      </c>
      <c r="F78" s="1321">
        <f t="shared" si="37"/>
        <v>155916.78048000002</v>
      </c>
      <c r="G78" s="1321">
        <f t="shared" si="37"/>
        <v>244392.79905</v>
      </c>
      <c r="H78" s="1321">
        <f t="shared" si="37"/>
        <v>267982</v>
      </c>
      <c r="I78" s="1321">
        <f t="shared" si="37"/>
        <v>238286.9959687404</v>
      </c>
      <c r="J78" s="1321">
        <f t="shared" si="37"/>
        <v>270545.58456849086</v>
      </c>
      <c r="K78" s="1321">
        <f t="shared" si="37"/>
        <v>308972.9375277402</v>
      </c>
      <c r="L78" s="1321">
        <f t="shared" si="37"/>
        <v>351933.40718631895</v>
      </c>
      <c r="M78" s="1321">
        <f t="shared" si="37"/>
        <v>400480.89150630857</v>
      </c>
      <c r="N78" s="1321">
        <f t="shared" si="37"/>
        <v>450128.96061975107</v>
      </c>
      <c r="O78" s="1321">
        <f t="shared" si="37"/>
        <v>505039.61237115768</v>
      </c>
      <c r="P78" s="1321">
        <f t="shared" si="37"/>
        <v>560921.72322722722</v>
      </c>
      <c r="Q78" s="1321">
        <f t="shared" si="37"/>
        <v>623186.68329843599</v>
      </c>
      <c r="R78" s="1321">
        <f t="shared" si="37"/>
        <v>693531.9948827828</v>
      </c>
    </row>
    <row r="79" spans="1:18">
      <c r="A79" s="1322" t="s">
        <v>1049</v>
      </c>
      <c r="B79" s="1322"/>
      <c r="C79" s="1323">
        <f>C57</f>
        <v>6621</v>
      </c>
      <c r="D79" s="1323">
        <f t="shared" ref="D79:R79" si="38">-(C86*D88+D83*((1+D88)^0.5-1))</f>
        <v>67806.190070263328</v>
      </c>
      <c r="E79" s="1323">
        <f t="shared" si="38"/>
        <v>85828.165424701874</v>
      </c>
      <c r="F79" s="1323">
        <f t="shared" si="38"/>
        <v>126103.58349077408</v>
      </c>
      <c r="G79" s="1323">
        <f t="shared" si="38"/>
        <v>86166.232851749082</v>
      </c>
      <c r="H79" s="1323">
        <f t="shared" si="38"/>
        <v>96740.229777524044</v>
      </c>
      <c r="I79" s="1323">
        <f t="shared" si="38"/>
        <v>135520.69085224147</v>
      </c>
      <c r="J79" s="1323">
        <f t="shared" si="38"/>
        <v>111447.74087075838</v>
      </c>
      <c r="K79" s="1323">
        <f t="shared" si="38"/>
        <v>125639.08950467317</v>
      </c>
      <c r="L79" s="1323">
        <f t="shared" si="38"/>
        <v>139384.12479254566</v>
      </c>
      <c r="M79" s="1323">
        <f t="shared" si="38"/>
        <v>153979.85986971855</v>
      </c>
      <c r="N79" s="1323">
        <f t="shared" si="38"/>
        <v>166807.19415590019</v>
      </c>
      <c r="O79" s="1323">
        <f t="shared" si="38"/>
        <v>185874.25971221799</v>
      </c>
      <c r="P79" s="1323">
        <f t="shared" si="38"/>
        <v>213899.29705538874</v>
      </c>
      <c r="Q79" s="1323">
        <f t="shared" si="38"/>
        <v>247398.03808193322</v>
      </c>
      <c r="R79" s="1323">
        <f t="shared" si="38"/>
        <v>300913.59747952921</v>
      </c>
    </row>
    <row r="80" spans="1:18">
      <c r="A80" s="1364" t="s">
        <v>1050</v>
      </c>
      <c r="B80" s="1364"/>
      <c r="C80" s="1364"/>
      <c r="D80" s="1364"/>
      <c r="E80" s="1364"/>
      <c r="F80" s="1364"/>
      <c r="G80" s="1364"/>
      <c r="H80" s="1364"/>
      <c r="I80" s="1365">
        <f>I79-I57</f>
        <v>1090.012657381827</v>
      </c>
      <c r="J80" s="1365">
        <f t="shared" ref="J80:R80" si="39">J79-J57</f>
        <v>3390.1870564891287</v>
      </c>
      <c r="K80" s="1365">
        <f t="shared" si="39"/>
        <v>7615.5843955048185</v>
      </c>
      <c r="L80" s="1365">
        <f t="shared" si="39"/>
        <v>12933.216397305572</v>
      </c>
      <c r="M80" s="1365">
        <f t="shared" si="39"/>
        <v>19373.186365180183</v>
      </c>
      <c r="N80" s="1365">
        <f t="shared" si="39"/>
        <v>26501.336481659353</v>
      </c>
      <c r="O80" s="1365">
        <f t="shared" si="39"/>
        <v>35313.795174978586</v>
      </c>
      <c r="P80" s="1365">
        <f t="shared" si="39"/>
        <v>46666.127132958907</v>
      </c>
      <c r="Q80" s="1365">
        <f t="shared" si="39"/>
        <v>60444.195770286198</v>
      </c>
      <c r="R80" s="1365">
        <f t="shared" si="39"/>
        <v>80956.777319242712</v>
      </c>
    </row>
    <row r="81" spans="1:18">
      <c r="A81" t="s">
        <v>1020</v>
      </c>
      <c r="C81" s="1321">
        <f>C59</f>
        <v>228289</v>
      </c>
      <c r="D81" s="1321">
        <f>D59</f>
        <v>279472</v>
      </c>
      <c r="E81" s="1321">
        <f t="shared" ref="E81:R81" si="40">E59</f>
        <v>327910.60000000003</v>
      </c>
      <c r="F81" s="1321">
        <f t="shared" si="40"/>
        <v>430535</v>
      </c>
      <c r="G81" s="1321">
        <f t="shared" si="40"/>
        <v>442341</v>
      </c>
      <c r="H81" s="1321">
        <f t="shared" si="40"/>
        <v>557986.68145034462</v>
      </c>
      <c r="I81" s="1321">
        <f t="shared" si="40"/>
        <v>669005.20687984279</v>
      </c>
      <c r="J81" s="1321">
        <f t="shared" si="40"/>
        <v>773892.53863292478</v>
      </c>
      <c r="K81" s="1321">
        <f t="shared" si="40"/>
        <v>889647.5186807951</v>
      </c>
      <c r="L81" s="1321">
        <f t="shared" si="40"/>
        <v>1023344.1577558946</v>
      </c>
      <c r="M81" s="1321">
        <f t="shared" si="40"/>
        <v>1175398.8332093288</v>
      </c>
      <c r="N81" s="1321">
        <f t="shared" si="40"/>
        <v>1332120.7280891363</v>
      </c>
      <c r="O81" s="1321">
        <f t="shared" si="40"/>
        <v>1500755.6114114083</v>
      </c>
      <c r="P81" s="1321">
        <f t="shared" si="40"/>
        <v>1693975.9480717641</v>
      </c>
      <c r="Q81" s="1321">
        <f t="shared" si="40"/>
        <v>1911250.1531182036</v>
      </c>
      <c r="R81" s="1321">
        <f t="shared" si="40"/>
        <v>2156631.7200761661</v>
      </c>
    </row>
    <row r="82" spans="1:18">
      <c r="A82" s="1366" t="s">
        <v>1051</v>
      </c>
      <c r="B82" s="1366"/>
      <c r="C82" s="1366"/>
      <c r="D82" s="1366"/>
      <c r="E82" s="1366"/>
      <c r="F82" s="1366"/>
      <c r="G82" s="1367"/>
      <c r="H82" s="1367"/>
      <c r="I82" s="1367">
        <f>I80/I70*100</f>
        <v>4.5270806399629458E-2</v>
      </c>
      <c r="J82" s="1367">
        <f t="shared" ref="J82:R82" si="41">J80/J70*100</f>
        <v>0.12308602617352013</v>
      </c>
      <c r="K82" s="1367">
        <f t="shared" si="41"/>
        <v>0.24077967367502087</v>
      </c>
      <c r="L82" s="1367">
        <f t="shared" si="41"/>
        <v>0.3570503988117385</v>
      </c>
      <c r="M82" s="1367">
        <f t="shared" si="41"/>
        <v>0.46916301966962598</v>
      </c>
      <c r="N82" s="1367">
        <f t="shared" si="41"/>
        <v>0.56528899509159036</v>
      </c>
      <c r="O82" s="1367">
        <f t="shared" si="41"/>
        <v>0.66465129542913925</v>
      </c>
      <c r="P82" s="1367">
        <f t="shared" si="41"/>
        <v>0.77499781985248695</v>
      </c>
      <c r="Q82" s="1367">
        <f t="shared" si="41"/>
        <v>0.88544888477239181</v>
      </c>
      <c r="R82" s="1367">
        <f t="shared" si="41"/>
        <v>1.045746725392807</v>
      </c>
    </row>
    <row r="83" spans="1:18">
      <c r="A83" t="s">
        <v>329</v>
      </c>
      <c r="C83" s="1321">
        <f>C81-C76</f>
        <v>-20997.479999999981</v>
      </c>
      <c r="D83" s="1321">
        <f>D81-D76</f>
        <v>5971</v>
      </c>
      <c r="E83" s="1321">
        <f t="shared" ref="E83:R83" si="42">E81-E76</f>
        <v>-16360.578926999995</v>
      </c>
      <c r="F83" s="1321">
        <f t="shared" si="42"/>
        <v>-1021.7804800000158</v>
      </c>
      <c r="G83" s="1321">
        <f t="shared" si="42"/>
        <v>-125252.79905000003</v>
      </c>
      <c r="H83" s="1321">
        <f t="shared" si="42"/>
        <v>-101675.31854965538</v>
      </c>
      <c r="I83" s="1321">
        <f t="shared" si="42"/>
        <v>-77007.633345327689</v>
      </c>
      <c r="J83" s="1321">
        <f t="shared" si="42"/>
        <v>-99223.200847978005</v>
      </c>
      <c r="K83" s="1321">
        <f t="shared" si="42"/>
        <v>-119578.71740418742</v>
      </c>
      <c r="L83" s="1321">
        <f t="shared" si="42"/>
        <v>-139178.70693617244</v>
      </c>
      <c r="M83" s="1321">
        <f t="shared" si="42"/>
        <v>-155526.69103398127</v>
      </c>
      <c r="N83" s="1321">
        <f t="shared" si="42"/>
        <v>-181948.96991699724</v>
      </c>
      <c r="O83" s="1321">
        <f t="shared" si="42"/>
        <v>-208141.7574940559</v>
      </c>
      <c r="P83" s="1321">
        <f t="shared" si="42"/>
        <v>-230143.03625642485</v>
      </c>
      <c r="Q83" s="1321">
        <f t="shared" si="42"/>
        <v>-257982.45339636109</v>
      </c>
      <c r="R83" s="1321">
        <f t="shared" si="42"/>
        <v>-293950.63071109634</v>
      </c>
    </row>
    <row r="84" spans="1:18">
      <c r="A84" t="s">
        <v>1021</v>
      </c>
      <c r="C84" s="1321">
        <f>C81-C75</f>
        <v>-27618.479999999981</v>
      </c>
      <c r="D84" s="1321">
        <f>D81-D75</f>
        <v>-61835.190070263343</v>
      </c>
      <c r="E84" s="1321">
        <f t="shared" ref="E84:R84" si="43">E81-E75</f>
        <v>-102188.74435170187</v>
      </c>
      <c r="F84" s="1321">
        <f t="shared" si="43"/>
        <v>-127125.36397077411</v>
      </c>
      <c r="G84" s="1321">
        <f t="shared" si="43"/>
        <v>-211419.03190174908</v>
      </c>
      <c r="H84" s="1321">
        <f t="shared" si="43"/>
        <v>-198415.54832717939</v>
      </c>
      <c r="I84" s="1321">
        <f t="shared" si="43"/>
        <v>-212528.32419756916</v>
      </c>
      <c r="J84" s="1321">
        <f t="shared" si="43"/>
        <v>-210670.94171873643</v>
      </c>
      <c r="K84" s="1321">
        <f t="shared" si="43"/>
        <v>-245217.80690886057</v>
      </c>
      <c r="L84" s="1321">
        <f t="shared" si="43"/>
        <v>-278562.83172871801</v>
      </c>
      <c r="M84" s="1321">
        <f t="shared" si="43"/>
        <v>-309506.55090369983</v>
      </c>
      <c r="N84" s="1321">
        <f t="shared" si="43"/>
        <v>-348756.16407289752</v>
      </c>
      <c r="O84" s="1321">
        <f t="shared" si="43"/>
        <v>-394016.01720627397</v>
      </c>
      <c r="P84" s="1321">
        <f t="shared" si="43"/>
        <v>-444042.33331181365</v>
      </c>
      <c r="Q84" s="1321">
        <f t="shared" si="43"/>
        <v>-505380.49147829437</v>
      </c>
      <c r="R84" s="1321">
        <f t="shared" si="43"/>
        <v>-594864.22819062555</v>
      </c>
    </row>
    <row r="85" spans="1:18">
      <c r="C85" s="1327">
        <f t="shared" ref="C85:R85" si="44">C84/C91</f>
        <v>-3.2910044031340728E-2</v>
      </c>
      <c r="D85" s="1327">
        <f t="shared" si="44"/>
        <v>-6.346855328915986E-2</v>
      </c>
      <c r="E85" s="1327">
        <f t="shared" si="44"/>
        <v>-8.9348056099212994E-2</v>
      </c>
      <c r="F85" s="1327">
        <f t="shared" si="44"/>
        <v>-8.5604115161210761E-2</v>
      </c>
      <c r="G85" s="1327">
        <f t="shared" si="44"/>
        <v>-0.1274845840763229</v>
      </c>
      <c r="H85" s="1327">
        <f t="shared" si="44"/>
        <v>-0.10016365596519676</v>
      </c>
      <c r="I85" s="1327">
        <f t="shared" si="44"/>
        <v>-8.8268044907808138E-2</v>
      </c>
      <c r="J85" s="1327">
        <f t="shared" si="44"/>
        <v>-7.6487369618024131E-2</v>
      </c>
      <c r="K85" s="1327">
        <f t="shared" si="44"/>
        <v>-7.7529786895501773E-2</v>
      </c>
      <c r="L85" s="1327">
        <f t="shared" si="44"/>
        <v>-7.690350730046322E-2</v>
      </c>
      <c r="M85" s="1327">
        <f t="shared" si="44"/>
        <v>-7.4953611291582734E-2</v>
      </c>
      <c r="N85" s="1327">
        <f t="shared" si="44"/>
        <v>-7.4391728001040741E-2</v>
      </c>
      <c r="O85" s="1327">
        <f t="shared" si="44"/>
        <v>-7.4158910125167204E-2</v>
      </c>
      <c r="P85" s="1327">
        <f t="shared" si="44"/>
        <v>-7.3743389773568063E-2</v>
      </c>
      <c r="Q85" s="1327">
        <f t="shared" si="44"/>
        <v>-7.4033343791325645E-2</v>
      </c>
      <c r="R85" s="1327">
        <f t="shared" si="44"/>
        <v>-7.6840672181228725E-2</v>
      </c>
    </row>
    <row r="86" spans="1:18">
      <c r="A86" t="s">
        <v>1022</v>
      </c>
      <c r="C86" s="1321">
        <f>C64</f>
        <v>-345878.82363551157</v>
      </c>
      <c r="D86" s="1321">
        <f>C86+D84</f>
        <v>-407714.01370577491</v>
      </c>
      <c r="E86" s="1321">
        <f t="shared" ref="E86:R86" si="45">D86+E84</f>
        <v>-509902.75805747678</v>
      </c>
      <c r="F86" s="1321">
        <f t="shared" si="45"/>
        <v>-637028.12202825095</v>
      </c>
      <c r="G86" s="1321">
        <f t="shared" si="45"/>
        <v>-848447.15393000003</v>
      </c>
      <c r="H86" s="1321">
        <f t="shared" si="45"/>
        <v>-1046862.7022571794</v>
      </c>
      <c r="I86" s="1321">
        <f t="shared" si="45"/>
        <v>-1259391.0264547486</v>
      </c>
      <c r="J86" s="1321">
        <f t="shared" si="45"/>
        <v>-1470061.968173485</v>
      </c>
      <c r="K86" s="1321">
        <f t="shared" si="45"/>
        <v>-1715279.7750823456</v>
      </c>
      <c r="L86" s="1321">
        <f t="shared" si="45"/>
        <v>-1993842.6068110636</v>
      </c>
      <c r="M86" s="1321">
        <f t="shared" si="45"/>
        <v>-2303349.1577147637</v>
      </c>
      <c r="N86" s="1321">
        <f t="shared" si="45"/>
        <v>-2652105.3217876609</v>
      </c>
      <c r="O86" s="1321">
        <f t="shared" si="45"/>
        <v>-3046121.3389939349</v>
      </c>
      <c r="P86" s="1321">
        <f t="shared" si="45"/>
        <v>-3490163.6723057488</v>
      </c>
      <c r="Q86" s="1321">
        <f t="shared" si="45"/>
        <v>-3995544.1637840429</v>
      </c>
      <c r="R86" s="1321">
        <f t="shared" si="45"/>
        <v>-4590408.3919746689</v>
      </c>
    </row>
    <row r="87" spans="1:18">
      <c r="C87" s="1321"/>
      <c r="D87" s="1321"/>
      <c r="E87" s="1321"/>
      <c r="F87" s="1321"/>
      <c r="G87" s="1321"/>
      <c r="H87" s="1321"/>
      <c r="I87" s="1321"/>
      <c r="J87" s="1321"/>
      <c r="K87" s="1321"/>
      <c r="L87" s="1321"/>
      <c r="M87" s="1321"/>
      <c r="N87" s="1321"/>
      <c r="O87" s="1321"/>
      <c r="P87" s="1321"/>
      <c r="Q87" s="1321"/>
      <c r="R87" s="1321"/>
    </row>
    <row r="88" spans="1:18" ht="15.75">
      <c r="A88" t="s">
        <v>1028</v>
      </c>
      <c r="D88" s="1004">
        <f>D66</f>
        <v>0.19766962865321469</v>
      </c>
      <c r="E88" s="1004">
        <f t="shared" ref="E88:R88" si="46">E66</f>
        <v>0.20656072517660728</v>
      </c>
      <c r="F88" s="1004">
        <f t="shared" si="46"/>
        <v>0.24707518044444421</v>
      </c>
      <c r="G88" s="1004">
        <f t="shared" si="46"/>
        <v>0.12347701538480749</v>
      </c>
      <c r="H88" s="1004">
        <f t="shared" si="46"/>
        <v>0.10773036976982397</v>
      </c>
      <c r="I88" s="1004">
        <f t="shared" si="46"/>
        <v>0.12499220506497366</v>
      </c>
      <c r="J88" s="1004">
        <f t="shared" si="46"/>
        <v>8.5205438024780644E-2</v>
      </c>
      <c r="K88" s="1004">
        <f t="shared" si="46"/>
        <v>8.218845064580016E-2</v>
      </c>
      <c r="L88" s="1004">
        <f t="shared" si="46"/>
        <v>7.8149380446612904E-2</v>
      </c>
      <c r="M88" s="1004">
        <f t="shared" si="46"/>
        <v>7.4378811015981094E-2</v>
      </c>
      <c r="N88" s="1004">
        <f t="shared" si="46"/>
        <v>6.9712393287663543E-2</v>
      </c>
      <c r="O88" s="1004">
        <f t="shared" si="46"/>
        <v>6.7480772449220794E-2</v>
      </c>
      <c r="P88" s="1004">
        <f t="shared" si="46"/>
        <v>6.7704468530888073E-2</v>
      </c>
      <c r="Q88" s="1004">
        <f t="shared" si="46"/>
        <v>6.8398275763617011E-2</v>
      </c>
      <c r="R88" s="1004">
        <f t="shared" si="46"/>
        <v>7.2685469118822787E-2</v>
      </c>
    </row>
    <row r="89" spans="1:18" s="1109" customFormat="1" ht="15.75">
      <c r="D89" s="1363"/>
      <c r="E89" s="1363"/>
      <c r="F89" s="1363"/>
      <c r="G89" s="1363"/>
      <c r="H89" s="1363"/>
      <c r="I89" s="1363"/>
      <c r="J89" s="1363"/>
      <c r="K89" s="1363"/>
      <c r="L89" s="1363"/>
      <c r="M89" s="1363"/>
      <c r="N89" s="1363"/>
      <c r="O89" s="1363"/>
      <c r="P89" s="1363"/>
      <c r="Q89" s="1363"/>
      <c r="R89" s="1363"/>
    </row>
    <row r="90" spans="1:18">
      <c r="A90" t="s">
        <v>1029</v>
      </c>
    </row>
    <row r="91" spans="1:18">
      <c r="A91" t="s">
        <v>1031</v>
      </c>
      <c r="C91" s="1321">
        <f>C70</f>
        <v>839211.27464000008</v>
      </c>
      <c r="D91" s="1321">
        <f t="shared" ref="D91:R91" si="47">D70</f>
        <v>974265.00000000012</v>
      </c>
      <c r="E91" s="1321">
        <f t="shared" si="47"/>
        <v>1143715.3622931701</v>
      </c>
      <c r="F91" s="1321">
        <f t="shared" si="47"/>
        <v>1485038</v>
      </c>
      <c r="G91" s="1321">
        <f t="shared" si="47"/>
        <v>1658389</v>
      </c>
      <c r="H91" s="1321">
        <f t="shared" si="47"/>
        <v>1980913.6</v>
      </c>
      <c r="I91" s="1321">
        <f t="shared" si="47"/>
        <v>2407760.6388534503</v>
      </c>
      <c r="J91" s="1321">
        <f t="shared" si="47"/>
        <v>2754323.2663225504</v>
      </c>
      <c r="K91" s="1321">
        <f t="shared" si="47"/>
        <v>3162885.0887901504</v>
      </c>
      <c r="L91" s="1321">
        <f t="shared" si="47"/>
        <v>3622238.3283556704</v>
      </c>
      <c r="M91" s="1321">
        <f t="shared" si="47"/>
        <v>4129308.0556140901</v>
      </c>
      <c r="N91" s="1321">
        <f t="shared" si="47"/>
        <v>4688104.0868955003</v>
      </c>
      <c r="O91" s="1321">
        <f t="shared" si="47"/>
        <v>5313131.1738703307</v>
      </c>
      <c r="P91" s="1321">
        <f t="shared" si="47"/>
        <v>6021452.6980013102</v>
      </c>
      <c r="Q91" s="1321">
        <f t="shared" si="47"/>
        <v>6826390.1857896205</v>
      </c>
      <c r="R91" s="1321">
        <f t="shared" si="47"/>
        <v>7741528.1686713807</v>
      </c>
    </row>
    <row r="92" spans="1:18">
      <c r="A92" t="s">
        <v>1030</v>
      </c>
      <c r="C92" s="1325">
        <f t="shared" ref="C92:Q92" si="48">-C86/C91</f>
        <v>0.41214749382851729</v>
      </c>
      <c r="D92" s="1325">
        <f t="shared" si="48"/>
        <v>0.41848369150669978</v>
      </c>
      <c r="E92" s="1325">
        <f t="shared" si="48"/>
        <v>0.44583012073485878</v>
      </c>
      <c r="F92" s="1325">
        <f t="shared" si="48"/>
        <v>0.42896418948757603</v>
      </c>
      <c r="G92" s="1325">
        <f t="shared" si="48"/>
        <v>0.51160925086333786</v>
      </c>
      <c r="H92" s="1325">
        <f t="shared" si="48"/>
        <v>0.5284746907978114</v>
      </c>
      <c r="I92" s="1325">
        <f t="shared" si="48"/>
        <v>0.5230549109127629</v>
      </c>
      <c r="J92" s="1325">
        <f t="shared" si="48"/>
        <v>0.5337289148837806</v>
      </c>
      <c r="K92" s="1325">
        <f t="shared" si="48"/>
        <v>0.54231492037494955</v>
      </c>
      <c r="L92" s="1325">
        <f t="shared" si="48"/>
        <v>0.55044489789720064</v>
      </c>
      <c r="M92" s="1325">
        <f t="shared" si="48"/>
        <v>0.55780511569806368</v>
      </c>
      <c r="N92" s="1325">
        <f t="shared" si="48"/>
        <v>0.56570956459797939</v>
      </c>
      <c r="O92" s="1325">
        <f t="shared" si="48"/>
        <v>0.57331943054118106</v>
      </c>
      <c r="P92" s="1325">
        <f t="shared" si="48"/>
        <v>0.57962153775022307</v>
      </c>
      <c r="Q92" s="1325">
        <f t="shared" si="48"/>
        <v>0.58530849468603463</v>
      </c>
      <c r="R92" s="1325" t="s">
        <v>1037</v>
      </c>
    </row>
    <row r="94" spans="1:18">
      <c r="A94" t="s">
        <v>1033</v>
      </c>
      <c r="I94" s="1321">
        <f>SUM(I95:I97)</f>
        <v>17970.253931453146</v>
      </c>
      <c r="J94" s="1321">
        <f t="shared" ref="J94:R94" si="49">SUM(J95:J97)</f>
        <v>42321.268259803153</v>
      </c>
      <c r="K94" s="1321">
        <f t="shared" si="49"/>
        <v>56900.039602014964</v>
      </c>
      <c r="L94" s="1321">
        <f t="shared" si="49"/>
        <v>73800.491785985185</v>
      </c>
      <c r="M94" s="1321">
        <f t="shared" si="49"/>
        <v>90514.088239861187</v>
      </c>
      <c r="N94" s="1321">
        <f t="shared" si="49"/>
        <v>110347.11701895889</v>
      </c>
      <c r="O94" s="1321">
        <f t="shared" si="49"/>
        <v>123129.19384295447</v>
      </c>
      <c r="P94" s="1321">
        <f t="shared" si="49"/>
        <v>138391.07682516222</v>
      </c>
      <c r="Q94" s="1321">
        <f t="shared" si="49"/>
        <v>157509.74512574764</v>
      </c>
      <c r="R94" s="1321">
        <f t="shared" si="49"/>
        <v>182368.62173071195</v>
      </c>
    </row>
    <row r="95" spans="1:18">
      <c r="A95" t="s">
        <v>1103</v>
      </c>
      <c r="I95" s="1321">
        <f>'CHILD (Holistic benefit)'!C206/1000</f>
        <v>5695.8222187093543</v>
      </c>
      <c r="J95" s="1321">
        <f>'CHILD (Holistic benefit)'!D206/1000</f>
        <v>13032.860285815601</v>
      </c>
      <c r="K95" s="1321">
        <f>'CHILD (Holistic benefit)'!E206/1000</f>
        <v>17141.294636587903</v>
      </c>
      <c r="L95" s="1321">
        <f>'CHILD (Holistic benefit)'!F206/1000</f>
        <v>21718.229793124636</v>
      </c>
      <c r="M95" s="1321">
        <f>'CHILD (Holistic benefit)'!G206/1000</f>
        <v>30667.997975388869</v>
      </c>
      <c r="N95" s="1321">
        <f>'CHILD (Holistic benefit)'!H206/1000</f>
        <v>40746.339496381464</v>
      </c>
      <c r="O95" s="1321">
        <f>'CHILD (Holistic benefit)'!I206/1000</f>
        <v>43511.431125144925</v>
      </c>
      <c r="P95" s="1321">
        <f>'CHILD (Holistic benefit)'!J206/1000</f>
        <v>46684.111767532158</v>
      </c>
      <c r="Q95" s="1321">
        <f>'CHILD (Holistic benefit)'!K206/1000</f>
        <v>50331.528865611224</v>
      </c>
      <c r="R95" s="1321">
        <f>'CHILD (Holistic benefit)'!L206/1000</f>
        <v>54533.967739576634</v>
      </c>
    </row>
    <row r="96" spans="1:18">
      <c r="A96" t="s">
        <v>1105</v>
      </c>
      <c r="I96" s="1321">
        <f>'PENS (Universal)'!C231/1000</f>
        <v>2067.7656889281998</v>
      </c>
      <c r="J96" s="1321">
        <f>'PENS (Universal)'!D231/1000</f>
        <v>5533.1176846003291</v>
      </c>
      <c r="K96" s="1321">
        <f>'PENS (Universal)'!E231/1000</f>
        <v>7976.3862586439973</v>
      </c>
      <c r="L96" s="1321">
        <f>'PENS (Universal)'!F231/1000</f>
        <v>10861.702712270395</v>
      </c>
      <c r="M96" s="1321">
        <f>'PENS (Universal)'!G231/1000</f>
        <v>14320.477066268995</v>
      </c>
      <c r="N96" s="1321">
        <f>'PENS (Universal)'!H231/1000</f>
        <v>19125.050655190447</v>
      </c>
      <c r="O96" s="1321">
        <f>'PENS (Universal)'!I231/1000</f>
        <v>23617.597682138825</v>
      </c>
      <c r="P96" s="1321">
        <f>'PENS (Universal)'!J231/1000</f>
        <v>29532.741744241295</v>
      </c>
      <c r="Q96" s="1321">
        <f>'PENS (Universal)'!K231/1000</f>
        <v>38055.36241166063</v>
      </c>
      <c r="R96" s="1321">
        <f>'PENS (Universal)'!L231/1000</f>
        <v>50836.143953673687</v>
      </c>
    </row>
    <row r="97" spans="1:18">
      <c r="A97" t="s">
        <v>1034</v>
      </c>
      <c r="I97" s="1321">
        <f>'Working age (Holistic)'!C91/1000</f>
        <v>10206.666023815591</v>
      </c>
      <c r="J97" s="1321">
        <f>'Working age (Holistic)'!D91/1000</f>
        <v>23755.29028938722</v>
      </c>
      <c r="K97" s="1321">
        <f>'Working age (Holistic)'!E91/1000</f>
        <v>31782.358706783063</v>
      </c>
      <c r="L97" s="1321">
        <f>'Working age (Holistic)'!F91/1000</f>
        <v>41220.559280590162</v>
      </c>
      <c r="M97" s="1321">
        <f>'Working age (Holistic)'!G91/1000</f>
        <v>45525.613198203333</v>
      </c>
      <c r="N97" s="1321">
        <f>'Working age (Holistic)'!H91/1000</f>
        <v>50475.726867386977</v>
      </c>
      <c r="O97" s="1321">
        <f>'Working age (Holistic)'!I91/1000</f>
        <v>56000.165035670703</v>
      </c>
      <c r="P97" s="1321">
        <f>'Working age (Holistic)'!J91/1000</f>
        <v>62174.223313388749</v>
      </c>
      <c r="Q97" s="1321">
        <f>'Working age (Holistic)'!K91/1000</f>
        <v>69122.853848475788</v>
      </c>
      <c r="R97" s="1321">
        <f>'Working age (Holistic)'!L91/1000</f>
        <v>76998.510037461616</v>
      </c>
    </row>
    <row r="98" spans="1:18">
      <c r="A98" s="1326" t="s">
        <v>1036</v>
      </c>
      <c r="I98" s="1321">
        <f>I79-I57</f>
        <v>1090.012657381827</v>
      </c>
      <c r="J98" s="1321">
        <f t="shared" ref="J98:R98" si="50">J79-J57</f>
        <v>3390.1870564891287</v>
      </c>
      <c r="K98" s="1321">
        <f t="shared" si="50"/>
        <v>7615.5843955048185</v>
      </c>
      <c r="L98" s="1321">
        <f t="shared" si="50"/>
        <v>12933.216397305572</v>
      </c>
      <c r="M98" s="1321">
        <f t="shared" si="50"/>
        <v>19373.186365180183</v>
      </c>
      <c r="N98" s="1321">
        <f t="shared" si="50"/>
        <v>26501.336481659353</v>
      </c>
      <c r="O98" s="1321">
        <f t="shared" si="50"/>
        <v>35313.795174978586</v>
      </c>
      <c r="P98" s="1321">
        <f t="shared" si="50"/>
        <v>46666.127132958907</v>
      </c>
      <c r="Q98" s="1321">
        <f t="shared" si="50"/>
        <v>60444.195770286198</v>
      </c>
      <c r="R98" s="1321">
        <f t="shared" si="50"/>
        <v>80956.777319242712</v>
      </c>
    </row>
    <row r="99" spans="1:18">
      <c r="A99" t="s">
        <v>1048</v>
      </c>
      <c r="I99" s="1327">
        <f>I94/I$91</f>
        <v>7.463471925519302E-3</v>
      </c>
      <c r="J99" s="1327">
        <f t="shared" ref="J99:R99" si="51">J94/J$91</f>
        <v>1.5365396203586743E-2</v>
      </c>
      <c r="K99" s="1327">
        <f t="shared" si="51"/>
        <v>1.79899168021245E-2</v>
      </c>
      <c r="L99" s="1327">
        <f t="shared" si="51"/>
        <v>2.0374278304179729E-2</v>
      </c>
      <c r="M99" s="1327">
        <f t="shared" si="51"/>
        <v>2.1919916610920031E-2</v>
      </c>
      <c r="N99" s="1327">
        <f t="shared" si="51"/>
        <v>2.3537684951878197E-2</v>
      </c>
      <c r="O99" s="1327">
        <f t="shared" si="51"/>
        <v>2.3174506672919475E-2</v>
      </c>
      <c r="P99" s="1327">
        <f t="shared" si="51"/>
        <v>2.2983004893669282E-2</v>
      </c>
      <c r="Q99" s="1327">
        <f t="shared" si="51"/>
        <v>2.30736510569866E-2</v>
      </c>
      <c r="R99" s="1327">
        <f t="shared" si="51"/>
        <v>2.3557186353558211E-2</v>
      </c>
    </row>
    <row r="100" spans="1:18">
      <c r="I100" s="1327">
        <f t="shared" ref="I100:R102" si="52">I95/I$91</f>
        <v>2.3656098230020253E-3</v>
      </c>
      <c r="J100" s="1327">
        <f t="shared" si="52"/>
        <v>4.7317831008327847E-3</v>
      </c>
      <c r="K100" s="1327">
        <f t="shared" si="52"/>
        <v>5.4195122982304417E-3</v>
      </c>
      <c r="L100" s="1327">
        <f t="shared" si="52"/>
        <v>5.9958036507729495E-3</v>
      </c>
      <c r="M100" s="1327">
        <f t="shared" si="52"/>
        <v>7.4269096813190114E-3</v>
      </c>
      <c r="N100" s="1327">
        <f t="shared" si="52"/>
        <v>8.6914323447464265E-3</v>
      </c>
      <c r="O100" s="1327">
        <f t="shared" si="52"/>
        <v>8.1894140575959444E-3</v>
      </c>
      <c r="P100" s="1327">
        <f t="shared" si="52"/>
        <v>7.7529649586100596E-3</v>
      </c>
      <c r="Q100" s="1327">
        <f t="shared" si="52"/>
        <v>7.3730811594077215E-3</v>
      </c>
      <c r="R100" s="1327">
        <f t="shared" si="52"/>
        <v>7.0443414467270329E-3</v>
      </c>
    </row>
    <row r="101" spans="1:18">
      <c r="I101" s="1327">
        <f t="shared" si="52"/>
        <v>8.5879204749889407E-4</v>
      </c>
      <c r="J101" s="1327">
        <f t="shared" si="52"/>
        <v>2.0088846332071619E-3</v>
      </c>
      <c r="K101" s="1327">
        <f t="shared" si="52"/>
        <v>2.5218703919765487E-3</v>
      </c>
      <c r="L101" s="1327">
        <f t="shared" si="52"/>
        <v>2.9986162498592708E-3</v>
      </c>
      <c r="M101" s="1327">
        <f t="shared" si="52"/>
        <v>3.4680088948072741E-3</v>
      </c>
      <c r="N101" s="1327">
        <f t="shared" si="52"/>
        <v>4.0794850755660602E-3</v>
      </c>
      <c r="O101" s="1327">
        <f t="shared" si="52"/>
        <v>4.4451373228443511E-3</v>
      </c>
      <c r="P101" s="1327">
        <f t="shared" si="52"/>
        <v>4.9045875182319445E-3</v>
      </c>
      <c r="Q101" s="1327">
        <f t="shared" si="52"/>
        <v>5.5747417560279263E-3</v>
      </c>
      <c r="R101" s="1327">
        <f t="shared" si="52"/>
        <v>6.5666807439129045E-3</v>
      </c>
    </row>
    <row r="102" spans="1:18">
      <c r="I102" s="1327">
        <f t="shared" si="52"/>
        <v>4.2390700550183824E-3</v>
      </c>
      <c r="J102" s="1327">
        <f t="shared" si="52"/>
        <v>8.6247284695467955E-3</v>
      </c>
      <c r="K102" s="1327">
        <f t="shared" si="52"/>
        <v>1.0048534111917508E-2</v>
      </c>
      <c r="L102" s="1327">
        <f t="shared" si="52"/>
        <v>1.1379858403547509E-2</v>
      </c>
      <c r="M102" s="1327">
        <f t="shared" si="52"/>
        <v>1.1024998034793747E-2</v>
      </c>
      <c r="N102" s="1327">
        <f t="shared" si="52"/>
        <v>1.0766767531565708E-2</v>
      </c>
      <c r="O102" s="1327">
        <f t="shared" si="52"/>
        <v>1.0539955292479178E-2</v>
      </c>
      <c r="P102" s="1327">
        <f t="shared" si="52"/>
        <v>1.0325452416827276E-2</v>
      </c>
      <c r="Q102" s="1327">
        <f t="shared" si="52"/>
        <v>1.0125828141550955E-2</v>
      </c>
      <c r="R102" s="1327">
        <f t="shared" si="52"/>
        <v>9.946164162918273E-3</v>
      </c>
    </row>
    <row r="103" spans="1:18">
      <c r="A103" t="s">
        <v>1036</v>
      </c>
      <c r="I103" s="1327">
        <f>I98/I91</f>
        <v>4.5270806399629461E-4</v>
      </c>
      <c r="J103" s="1327">
        <f t="shared" ref="J103:R103" si="53">J98/J91</f>
        <v>1.2308602617352013E-3</v>
      </c>
      <c r="K103" s="1327">
        <f t="shared" si="53"/>
        <v>2.4077967367502088E-3</v>
      </c>
      <c r="L103" s="1327">
        <f t="shared" si="53"/>
        <v>3.5705039881173853E-3</v>
      </c>
      <c r="M103" s="1327">
        <f t="shared" si="53"/>
        <v>4.6916301966962596E-3</v>
      </c>
      <c r="N103" s="1327">
        <f t="shared" si="53"/>
        <v>5.6528899509159037E-3</v>
      </c>
      <c r="O103" s="1327">
        <f t="shared" si="53"/>
        <v>6.6465129542913927E-3</v>
      </c>
      <c r="P103" s="1327">
        <f t="shared" si="53"/>
        <v>7.7499781985248695E-3</v>
      </c>
      <c r="Q103" s="1327">
        <f t="shared" si="53"/>
        <v>8.8544888477239177E-3</v>
      </c>
      <c r="R103" s="1327">
        <f t="shared" si="53"/>
        <v>1.0457467253928071E-2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rgb="FFFFFF00"/>
  </sheetPr>
  <dimension ref="A1:R103"/>
  <sheetViews>
    <sheetView workbookViewId="0">
      <pane xSplit="2" ySplit="3" topLeftCell="C70" activePane="bottomRight" state="frozen"/>
      <selection pane="topRight" activeCell="C1" sqref="C1"/>
      <selection pane="bottomLeft" activeCell="A4" sqref="A4"/>
      <selection pane="bottomRight" activeCell="H95" sqref="H95"/>
    </sheetView>
  </sheetViews>
  <sheetFormatPr defaultColWidth="9.140625" defaultRowHeight="15"/>
  <cols>
    <col min="1" max="1" width="45.42578125" customWidth="1"/>
    <col min="3" max="18" width="15.7109375" customWidth="1"/>
  </cols>
  <sheetData>
    <row r="1" spans="1:18">
      <c r="A1" t="s">
        <v>1016</v>
      </c>
    </row>
    <row r="2" spans="1:18">
      <c r="A2" t="s">
        <v>1023</v>
      </c>
    </row>
    <row r="3" spans="1:18">
      <c r="C3">
        <v>2005</v>
      </c>
      <c r="D3">
        <f>C3+1</f>
        <v>2006</v>
      </c>
      <c r="E3">
        <f t="shared" ref="E3:R3" si="0">D3+1</f>
        <v>2007</v>
      </c>
      <c r="F3">
        <f t="shared" si="0"/>
        <v>2008</v>
      </c>
      <c r="G3">
        <f t="shared" si="0"/>
        <v>2009</v>
      </c>
      <c r="H3">
        <f t="shared" si="0"/>
        <v>2010</v>
      </c>
      <c r="I3">
        <f t="shared" si="0"/>
        <v>2011</v>
      </c>
      <c r="J3">
        <f t="shared" si="0"/>
        <v>2012</v>
      </c>
      <c r="K3">
        <f t="shared" si="0"/>
        <v>2013</v>
      </c>
      <c r="L3">
        <f t="shared" si="0"/>
        <v>2014</v>
      </c>
      <c r="M3">
        <f t="shared" si="0"/>
        <v>2015</v>
      </c>
      <c r="N3">
        <f t="shared" si="0"/>
        <v>2016</v>
      </c>
      <c r="O3">
        <f t="shared" si="0"/>
        <v>2017</v>
      </c>
      <c r="P3">
        <f t="shared" si="0"/>
        <v>2018</v>
      </c>
      <c r="Q3">
        <f t="shared" si="0"/>
        <v>2019</v>
      </c>
      <c r="R3">
        <f t="shared" si="0"/>
        <v>2020</v>
      </c>
    </row>
    <row r="4" spans="1:18">
      <c r="A4" t="s">
        <v>876</v>
      </c>
      <c r="C4" s="1321">
        <f>C5+C8</f>
        <v>255907480</v>
      </c>
      <c r="D4" s="1321">
        <f t="shared" ref="D4:R4" si="1">D5+D8</f>
        <v>281466000</v>
      </c>
      <c r="E4" s="1321">
        <f t="shared" si="1"/>
        <v>356931178.92699999</v>
      </c>
      <c r="F4" s="1321">
        <f t="shared" si="1"/>
        <v>448286780.48000002</v>
      </c>
      <c r="G4" s="1321">
        <f t="shared" si="1"/>
        <v>591473799.04999995</v>
      </c>
      <c r="H4" s="1321">
        <f t="shared" si="1"/>
        <v>685042000</v>
      </c>
      <c r="I4" s="1321">
        <f t="shared" si="1"/>
        <v>763802586.29371738</v>
      </c>
      <c r="J4" s="1321">
        <f t="shared" si="1"/>
        <v>877373099.71108425</v>
      </c>
      <c r="K4" s="1321">
        <f t="shared" si="1"/>
        <v>1002389012.8821764</v>
      </c>
      <c r="L4" s="1321">
        <f t="shared" si="1"/>
        <v>1144676302.8963153</v>
      </c>
      <c r="M4" s="1321">
        <f t="shared" si="1"/>
        <v>1300851167.6789529</v>
      </c>
      <c r="N4" s="1321">
        <f t="shared" si="1"/>
        <v>1469895442.2769578</v>
      </c>
      <c r="O4" s="1321">
        <f t="shared" si="1"/>
        <v>1661713214.4005201</v>
      </c>
      <c r="P4" s="1321">
        <f t="shared" si="1"/>
        <v>1874029225.4743962</v>
      </c>
      <c r="Q4" s="1321">
        <f t="shared" si="1"/>
        <v>2114604066.9078872</v>
      </c>
      <c r="R4" s="1321">
        <f t="shared" si="1"/>
        <v>2387002378.7881994</v>
      </c>
    </row>
    <row r="5" spans="1:18">
      <c r="A5" t="s">
        <v>1017</v>
      </c>
      <c r="C5" s="1321">
        <f>C6+C7</f>
        <v>249286480</v>
      </c>
      <c r="D5" s="1321">
        <f t="shared" ref="D5:R5" si="2">D6+D7</f>
        <v>273501000</v>
      </c>
      <c r="E5" s="1321">
        <f t="shared" si="2"/>
        <v>344271178.92699999</v>
      </c>
      <c r="F5" s="1321">
        <f t="shared" si="2"/>
        <v>431556780.48000002</v>
      </c>
      <c r="G5" s="1321">
        <f t="shared" si="2"/>
        <v>567593799.04999995</v>
      </c>
      <c r="H5" s="1321">
        <f t="shared" si="2"/>
        <v>659662000</v>
      </c>
      <c r="I5" s="1321">
        <f t="shared" si="2"/>
        <v>728042586.29371738</v>
      </c>
      <c r="J5" s="1321">
        <f t="shared" si="2"/>
        <v>830794471.22109962</v>
      </c>
      <c r="K5" s="1321">
        <f t="shared" si="2"/>
        <v>952326196.48296762</v>
      </c>
      <c r="L5" s="1321">
        <f t="shared" si="2"/>
        <v>1088722372.9060817</v>
      </c>
      <c r="M5" s="1321">
        <f t="shared" si="2"/>
        <v>1240411436.003449</v>
      </c>
      <c r="N5" s="1321">
        <f t="shared" si="2"/>
        <v>1403722580.9871747</v>
      </c>
      <c r="O5" s="1321">
        <f t="shared" si="2"/>
        <v>1585768175.0625098</v>
      </c>
      <c r="P5" s="1321">
        <f t="shared" si="2"/>
        <v>1785727907.503027</v>
      </c>
      <c r="Q5" s="1321">
        <f t="shared" si="2"/>
        <v>2011722861.3888168</v>
      </c>
      <c r="R5" s="1321">
        <f t="shared" si="2"/>
        <v>2268213729.05655</v>
      </c>
    </row>
    <row r="6" spans="1:18">
      <c r="A6" t="s">
        <v>1018</v>
      </c>
      <c r="C6" s="1321">
        <f>'GGO(SQ) (SQ and Post SPF)'!C177</f>
        <v>143272000</v>
      </c>
      <c r="D6" s="1321">
        <f>'GGO(SQ) (SQ and Post SPF)'!D177</f>
        <v>172104000</v>
      </c>
      <c r="E6" s="1321">
        <f>'GGO(SQ) (SQ and Post SPF)'!E177</f>
        <v>219158678.92699999</v>
      </c>
      <c r="F6" s="1321">
        <f>'GGO(SQ) (SQ and Post SPF)'!F177</f>
        <v>275640000</v>
      </c>
      <c r="G6" s="1321">
        <f>'GGO(SQ) (SQ and Post SPF)'!G177</f>
        <v>323201000</v>
      </c>
      <c r="H6" s="1321">
        <f>'GGO(SQ) (SQ and Post SPF)'!H177</f>
        <v>391679999.99999994</v>
      </c>
      <c r="I6" s="1321">
        <f>'GGO(SQ) (SQ and Post SPF)'!I177</f>
        <v>489755590.32497692</v>
      </c>
      <c r="J6" s="1321">
        <f>'GGO(SQ) (SQ and Post SPF)'!J177</f>
        <v>560248886.65260875</v>
      </c>
      <c r="K6" s="1321">
        <f>'GGO(SQ) (SQ and Post SPF)'!K177</f>
        <v>643353258.95522738</v>
      </c>
      <c r="L6" s="1321">
        <f>'GGO(SQ) (SQ and Post SPF)'!L177</f>
        <v>736788965.7197628</v>
      </c>
      <c r="M6" s="1321">
        <f>'GGO(SQ) (SQ and Post SPF)'!M177</f>
        <v>839930544.49714053</v>
      </c>
      <c r="N6" s="1321">
        <f>'GGO(SQ) (SQ and Post SPF)'!N177</f>
        <v>953593620.36742365</v>
      </c>
      <c r="O6" s="1321">
        <f>'GGO(SQ) (SQ and Post SPF)'!O177</f>
        <v>1080728562.6913521</v>
      </c>
      <c r="P6" s="1321">
        <f>'GGO(SQ) (SQ and Post SPF)'!P177</f>
        <v>1224806184.2757998</v>
      </c>
      <c r="Q6" s="1321">
        <f>'GGO(SQ) (SQ and Post SPF)'!Q177</f>
        <v>1388536178.0903809</v>
      </c>
      <c r="R6" s="1321">
        <f>'GGO(SQ) (SQ and Post SPF)'!R177</f>
        <v>1574681734.1737673</v>
      </c>
    </row>
    <row r="7" spans="1:18">
      <c r="A7" t="s">
        <v>1025</v>
      </c>
      <c r="C7" s="1321">
        <f>'GGO(SQ) (SQ and Post SPF)'!C180+'GGO(SQ) (SQ and Post SPF)'!C182</f>
        <v>106014479.99999999</v>
      </c>
      <c r="D7" s="1321">
        <f>'GGO(SQ) (SQ and Post SPF)'!D180+'GGO(SQ) (SQ and Post SPF)'!D182</f>
        <v>101397000</v>
      </c>
      <c r="E7" s="1321">
        <f>'GGO(SQ) (SQ and Post SPF)'!E180+'GGO(SQ) (SQ and Post SPF)'!E182</f>
        <v>125112500</v>
      </c>
      <c r="F7" s="1321">
        <f>'GGO(SQ) (SQ and Post SPF)'!F180+'GGO(SQ) (SQ and Post SPF)'!F182</f>
        <v>155916780.47999999</v>
      </c>
      <c r="G7" s="1321">
        <f>'GGO(SQ) (SQ and Post SPF)'!G180+'GGO(SQ) (SQ and Post SPF)'!G182</f>
        <v>244392799.05000001</v>
      </c>
      <c r="H7" s="1321">
        <f>'GGO(SQ) (SQ and Post SPF)'!H180+'GGO(SQ) (SQ and Post SPF)'!H182</f>
        <v>267982000</v>
      </c>
      <c r="I7" s="1321">
        <f>'GGO(SQ) (SQ and Post SPF)'!I180+'GGO(SQ) (SQ and Post SPF)'!I182</f>
        <v>238286995.9687404</v>
      </c>
      <c r="J7" s="1321">
        <f>'GGO(SQ) (SQ and Post SPF)'!J180+'GGO(SQ) (SQ and Post SPF)'!J182</f>
        <v>270545584.5684908</v>
      </c>
      <c r="K7" s="1321">
        <f>'GGO(SQ) (SQ and Post SPF)'!K180+'GGO(SQ) (SQ and Post SPF)'!K182</f>
        <v>308972937.52774018</v>
      </c>
      <c r="L7" s="1321">
        <f>'GGO(SQ) (SQ and Post SPF)'!L180+'GGO(SQ) (SQ and Post SPF)'!L182</f>
        <v>351933407.18631893</v>
      </c>
      <c r="M7" s="1321">
        <f>'GGO(SQ) (SQ and Post SPF)'!M180+'GGO(SQ) (SQ and Post SPF)'!M182</f>
        <v>400480891.50630856</v>
      </c>
      <c r="N7" s="1321">
        <f>'GGO(SQ) (SQ and Post SPF)'!N180+'GGO(SQ) (SQ and Post SPF)'!N182</f>
        <v>450128960.6197511</v>
      </c>
      <c r="O7" s="1321">
        <f>'GGO(SQ) (SQ and Post SPF)'!O180+'GGO(SQ) (SQ and Post SPF)'!O182</f>
        <v>505039612.37115771</v>
      </c>
      <c r="P7" s="1321">
        <f>'GGO(SQ) (SQ and Post SPF)'!P180+'GGO(SQ) (SQ and Post SPF)'!P182</f>
        <v>560921723.22722721</v>
      </c>
      <c r="Q7" s="1321">
        <f>'GGO(SQ) (SQ and Post SPF)'!Q180+'GGO(SQ) (SQ and Post SPF)'!Q182</f>
        <v>623186683.29843593</v>
      </c>
      <c r="R7" s="1321">
        <f>'GGO(SQ) (SQ and Post SPF)'!R180+'GGO(SQ) (SQ and Post SPF)'!R182</f>
        <v>693531994.8827827</v>
      </c>
    </row>
    <row r="8" spans="1:18">
      <c r="A8" t="s">
        <v>1019</v>
      </c>
      <c r="C8" s="1321">
        <f>'GGO(SQ) (SQ and Post SPF)'!C178</f>
        <v>6621000</v>
      </c>
      <c r="D8" s="1321">
        <f>'GGO(SQ) (SQ and Post SPF)'!D178</f>
        <v>7965000</v>
      </c>
      <c r="E8" s="1321">
        <f>'GGO(SQ) (SQ and Post SPF)'!E178</f>
        <v>12660000</v>
      </c>
      <c r="F8" s="1321">
        <f>'GGO(SQ) (SQ and Post SPF)'!F178</f>
        <v>16730000</v>
      </c>
      <c r="G8" s="1321">
        <f>'GGO(SQ) (SQ and Post SPF)'!G178</f>
        <v>23880000</v>
      </c>
      <c r="H8" s="1321">
        <f>'GGO(SQ) (SQ and Post SPF)'!H178</f>
        <v>25380000</v>
      </c>
      <c r="I8" s="1321">
        <f>'GGO(SQ) (SQ and Post SPF)'!I178</f>
        <v>35760000</v>
      </c>
      <c r="J8" s="1321">
        <f>'GGO(SQ) (SQ and Post SPF)'!J178</f>
        <v>46578628.489984632</v>
      </c>
      <c r="K8" s="1321">
        <f>'GGO(SQ) (SQ and Post SPF)'!K178</f>
        <v>50062816.399208806</v>
      </c>
      <c r="L8" s="1321">
        <f>'GGO(SQ) (SQ and Post SPF)'!L178</f>
        <v>55953929.990233548</v>
      </c>
      <c r="M8" s="1321">
        <f>'GGO(SQ) (SQ and Post SPF)'!M178</f>
        <v>60439731.675504081</v>
      </c>
      <c r="N8" s="1321">
        <f>'GGO(SQ) (SQ and Post SPF)'!N178</f>
        <v>66172861.289782986</v>
      </c>
      <c r="O8" s="1321">
        <f>'GGO(SQ) (SQ and Post SPF)'!O178</f>
        <v>75945039.338010356</v>
      </c>
      <c r="P8" s="1321">
        <f>'GGO(SQ) (SQ and Post SPF)'!P178</f>
        <v>88301317.971369386</v>
      </c>
      <c r="Q8" s="1321">
        <f>'GGO(SQ) (SQ and Post SPF)'!Q178</f>
        <v>102881205.51907033</v>
      </c>
      <c r="R8" s="1321">
        <f>'GGO(SQ) (SQ and Post SPF)'!R178</f>
        <v>118788649.73164929</v>
      </c>
    </row>
    <row r="10" spans="1:18">
      <c r="A10" t="s">
        <v>1020</v>
      </c>
      <c r="C10" s="1321">
        <f>'GGO(SQ) (SQ and Post SPF)'!C160</f>
        <v>228289000.00000003</v>
      </c>
      <c r="D10" s="1321">
        <f>'GGO(SQ) (SQ and Post SPF)'!D160</f>
        <v>279472000</v>
      </c>
      <c r="E10" s="1321">
        <f>'GGO(SQ) (SQ and Post SPF)'!E160</f>
        <v>327910600</v>
      </c>
      <c r="F10" s="1321">
        <f>'GGO(SQ) (SQ and Post SPF)'!F160</f>
        <v>430534999.99999994</v>
      </c>
      <c r="G10" s="1321">
        <f>'GGO(SQ) (SQ and Post SPF)'!G160</f>
        <v>442341000</v>
      </c>
      <c r="H10" s="1321">
        <f>'GGO(SQ) (SQ and Post SPF)'!H160</f>
        <v>557986681.45034456</v>
      </c>
      <c r="I10" s="1321">
        <f>'GGO(SQ) (SQ and Post SPF)'!I160</f>
        <v>669005206.87984276</v>
      </c>
      <c r="J10" s="1321">
        <f>'GGO(SQ) (SQ and Post SPF)'!J160</f>
        <v>773892538.63292456</v>
      </c>
      <c r="K10" s="1321">
        <f>'GGO(SQ) (SQ and Post SPF)'!K160</f>
        <v>889647518.68079495</v>
      </c>
      <c r="L10" s="1321">
        <f>'GGO(SQ) (SQ and Post SPF)'!L160</f>
        <v>1023344157.7558947</v>
      </c>
      <c r="M10" s="1321">
        <f>'GGO(SQ) (SQ and Post SPF)'!M160</f>
        <v>1175398833.2093289</v>
      </c>
      <c r="N10" s="1321">
        <f>'GGO(SQ) (SQ and Post SPF)'!N160</f>
        <v>1332120728.0891364</v>
      </c>
      <c r="O10" s="1321">
        <f>'GGO(SQ) (SQ and Post SPF)'!O160</f>
        <v>1500755611.4114084</v>
      </c>
      <c r="P10" s="1321">
        <f>'GGO(SQ) (SQ and Post SPF)'!P160</f>
        <v>1693975948.0717642</v>
      </c>
      <c r="Q10" s="1321">
        <f>'GGO(SQ) (SQ and Post SPF)'!Q160</f>
        <v>1911250153.1182034</v>
      </c>
      <c r="R10" s="1321">
        <f>'GGO(SQ) (SQ and Post SPF)'!R160</f>
        <v>2156631720.0761657</v>
      </c>
    </row>
    <row r="12" spans="1:18">
      <c r="A12" t="s">
        <v>329</v>
      </c>
      <c r="C12" s="1321">
        <f>C10-C5</f>
        <v>-20997479.99999997</v>
      </c>
      <c r="D12" s="1321">
        <f t="shared" ref="D12:R12" si="3">D10-D5</f>
        <v>5971000</v>
      </c>
      <c r="E12" s="1321">
        <f t="shared" si="3"/>
        <v>-16360578.926999986</v>
      </c>
      <c r="F12" s="1321">
        <f t="shared" si="3"/>
        <v>-1021780.4800000787</v>
      </c>
      <c r="G12" s="1321">
        <f t="shared" si="3"/>
        <v>-125252799.04999995</v>
      </c>
      <c r="H12" s="1321">
        <f t="shared" si="3"/>
        <v>-101675318.54965544</v>
      </c>
      <c r="I12" s="1321">
        <f t="shared" si="3"/>
        <v>-59037379.413874626</v>
      </c>
      <c r="J12" s="1321">
        <f t="shared" si="3"/>
        <v>-56901932.588175058</v>
      </c>
      <c r="K12" s="1321">
        <f t="shared" si="3"/>
        <v>-62678677.802172661</v>
      </c>
      <c r="L12" s="1321">
        <f t="shared" si="3"/>
        <v>-65378215.150187016</v>
      </c>
      <c r="M12" s="1321">
        <f t="shared" si="3"/>
        <v>-65012602.794120073</v>
      </c>
      <c r="N12" s="1321">
        <f t="shared" si="3"/>
        <v>-71601852.898038387</v>
      </c>
      <c r="O12" s="1321">
        <f t="shared" si="3"/>
        <v>-85012563.651101351</v>
      </c>
      <c r="P12" s="1321">
        <f t="shared" si="3"/>
        <v>-91751959.431262732</v>
      </c>
      <c r="Q12" s="1321">
        <f t="shared" si="3"/>
        <v>-100472708.27061343</v>
      </c>
      <c r="R12" s="1321">
        <f t="shared" si="3"/>
        <v>-111582008.98038435</v>
      </c>
    </row>
    <row r="13" spans="1:18">
      <c r="A13" t="s">
        <v>1021</v>
      </c>
      <c r="C13" s="1321">
        <f>C10-C4</f>
        <v>-27618479.99999997</v>
      </c>
      <c r="D13" s="1321">
        <f t="shared" ref="D13:R13" si="4">D10-D4</f>
        <v>-1994000</v>
      </c>
      <c r="E13" s="1321">
        <f t="shared" si="4"/>
        <v>-29020578.926999986</v>
      </c>
      <c r="F13" s="1321">
        <f t="shared" si="4"/>
        <v>-17751780.480000079</v>
      </c>
      <c r="G13" s="1321">
        <f t="shared" si="4"/>
        <v>-149132799.04999995</v>
      </c>
      <c r="H13" s="1321">
        <f t="shared" si="4"/>
        <v>-127055318.54965544</v>
      </c>
      <c r="I13" s="1321">
        <f t="shared" si="4"/>
        <v>-94797379.413874626</v>
      </c>
      <c r="J13" s="1321">
        <f t="shared" si="4"/>
        <v>-103480561.07815969</v>
      </c>
      <c r="K13" s="1321">
        <f t="shared" si="4"/>
        <v>-112741494.20138144</v>
      </c>
      <c r="L13" s="1321">
        <f t="shared" si="4"/>
        <v>-121332145.14042068</v>
      </c>
      <c r="M13" s="1321">
        <f t="shared" si="4"/>
        <v>-125452334.46962404</v>
      </c>
      <c r="N13" s="1321">
        <f t="shared" si="4"/>
        <v>-137774714.18782139</v>
      </c>
      <c r="O13" s="1321">
        <f t="shared" si="4"/>
        <v>-160957602.98911166</v>
      </c>
      <c r="P13" s="1321">
        <f t="shared" si="4"/>
        <v>-180053277.402632</v>
      </c>
      <c r="Q13" s="1321">
        <f t="shared" si="4"/>
        <v>-203353913.78968382</v>
      </c>
      <c r="R13" s="1321">
        <f t="shared" si="4"/>
        <v>-230370658.71203375</v>
      </c>
    </row>
    <row r="15" spans="1:18">
      <c r="A15" t="s">
        <v>1022</v>
      </c>
      <c r="C15" s="1321">
        <f>'GGO(SQ) (SQ and Post SPF)'!C200</f>
        <v>-345878823.63551158</v>
      </c>
      <c r="D15" s="1321">
        <f>'GGO(SQ) (SQ and Post SPF)'!D200</f>
        <v>-407714013.7057749</v>
      </c>
      <c r="E15" s="1321">
        <f>'GGO(SQ) (SQ and Post SPF)'!E200</f>
        <v>-509902758.05747676</v>
      </c>
      <c r="F15" s="1321">
        <f>'GGO(SQ) (SQ and Post SPF)'!F200</f>
        <v>-637028122.02825081</v>
      </c>
      <c r="G15" s="1321">
        <f>'GGO(SQ) (SQ and Post SPF)'!G200</f>
        <v>-848447153.93000007</v>
      </c>
      <c r="H15" s="1321">
        <f>'GGO(SQ) (SQ and Post SPF)'!H200</f>
        <v>-1046862702.2571793</v>
      </c>
      <c r="I15" s="1321">
        <f>'GGO(SQ) (SQ and Post SPF)'!I200</f>
        <v>-1240330759.8659136</v>
      </c>
      <c r="J15" s="1321">
        <f>'GGO(SQ) (SQ and Post SPF)'!J200</f>
        <v>-1405290246.2683575</v>
      </c>
      <c r="K15" s="1321">
        <f>'GGO(SQ) (SQ and Post SPF)'!K200</f>
        <v>-1585992429.1796985</v>
      </c>
      <c r="L15" s="1321">
        <f>'GGO(SQ) (SQ and Post SPF)'!L200</f>
        <v>-1777821552.7251258</v>
      </c>
      <c r="M15" s="1321">
        <f>'GGO(SQ) (SQ and Post SPF)'!M200</f>
        <v>-1977440829.0237842</v>
      </c>
      <c r="N15" s="1321">
        <f>'GGO(SQ) (SQ and Post SPF)'!N200</f>
        <v>-2189348539.5960636</v>
      </c>
      <c r="O15" s="1321">
        <f>'GGO(SQ) (SQ and Post SPF)'!O200</f>
        <v>-2424921567.7844043</v>
      </c>
      <c r="P15" s="1321">
        <f>'GGO(SQ) (SQ and Post SPF)'!P200</f>
        <v>-2683906697.1380973</v>
      </c>
      <c r="Q15" s="1321">
        <f>'GGO(SQ) (SQ and Post SPF)'!Q200</f>
        <v>-2971333247.7203574</v>
      </c>
      <c r="R15" s="1321">
        <f>'GGO(SQ) (SQ and Post SPF)'!R200</f>
        <v>-3302872076.8610282</v>
      </c>
    </row>
    <row r="16" spans="1:18">
      <c r="D16" s="1321"/>
    </row>
    <row r="17" spans="1:18">
      <c r="A17" t="s">
        <v>1024</v>
      </c>
    </row>
    <row r="19" spans="1:18">
      <c r="A19" t="s">
        <v>876</v>
      </c>
      <c r="C19" s="1321">
        <f t="shared" ref="C19:R19" si="5">C20+C23</f>
        <v>255907480</v>
      </c>
      <c r="D19" s="1321">
        <f t="shared" si="5"/>
        <v>341307190.07026333</v>
      </c>
      <c r="E19" s="1321">
        <f t="shared" si="5"/>
        <v>430099344.35170186</v>
      </c>
      <c r="F19" s="1321">
        <f t="shared" si="5"/>
        <v>557660363.97077394</v>
      </c>
      <c r="G19" s="1321">
        <f t="shared" si="5"/>
        <v>653760031.90174925</v>
      </c>
      <c r="H19" s="1321">
        <f t="shared" si="5"/>
        <v>756402229.77752376</v>
      </c>
      <c r="I19" s="1321">
        <f t="shared" si="5"/>
        <v>862473264.48857713</v>
      </c>
      <c r="J19" s="1321">
        <f t="shared" si="5"/>
        <v>938852025.03536844</v>
      </c>
      <c r="K19" s="1321">
        <f t="shared" si="5"/>
        <v>1070349701.5921359</v>
      </c>
      <c r="L19" s="1321">
        <f t="shared" si="5"/>
        <v>1215173281.301322</v>
      </c>
      <c r="M19" s="1321">
        <f t="shared" si="5"/>
        <v>1375018109.5079873</v>
      </c>
      <c r="N19" s="1321">
        <f t="shared" si="5"/>
        <v>1544028438.6614158</v>
      </c>
      <c r="O19" s="1321">
        <f t="shared" si="5"/>
        <v>1736328639.5997491</v>
      </c>
      <c r="P19" s="1321">
        <f t="shared" si="5"/>
        <v>1952961077.4254572</v>
      </c>
      <c r="Q19" s="1321">
        <f t="shared" si="5"/>
        <v>2198676703.7004633</v>
      </c>
      <c r="R19" s="1321">
        <f t="shared" si="5"/>
        <v>2488170549.2168365</v>
      </c>
    </row>
    <row r="20" spans="1:18">
      <c r="A20" t="s">
        <v>1017</v>
      </c>
      <c r="C20" s="1321">
        <f t="shared" ref="C20:R20" si="6">C21+C22</f>
        <v>249286480</v>
      </c>
      <c r="D20" s="1321">
        <f t="shared" si="6"/>
        <v>273501000</v>
      </c>
      <c r="E20" s="1321">
        <f t="shared" si="6"/>
        <v>344271178.92699999</v>
      </c>
      <c r="F20" s="1321">
        <f t="shared" si="6"/>
        <v>431556780.48000002</v>
      </c>
      <c r="G20" s="1321">
        <f t="shared" si="6"/>
        <v>567593799.04999995</v>
      </c>
      <c r="H20" s="1321">
        <f t="shared" si="6"/>
        <v>659662000</v>
      </c>
      <c r="I20" s="1321">
        <f t="shared" si="6"/>
        <v>728042586.29371738</v>
      </c>
      <c r="J20" s="1321">
        <f t="shared" si="6"/>
        <v>830794471.22109962</v>
      </c>
      <c r="K20" s="1321">
        <f t="shared" si="6"/>
        <v>952326196.48296762</v>
      </c>
      <c r="L20" s="1321">
        <f t="shared" si="6"/>
        <v>1088722372.9060817</v>
      </c>
      <c r="M20" s="1321">
        <f t="shared" si="6"/>
        <v>1240411436.003449</v>
      </c>
      <c r="N20" s="1321">
        <f t="shared" si="6"/>
        <v>1403722580.9871747</v>
      </c>
      <c r="O20" s="1321">
        <f t="shared" si="6"/>
        <v>1585768175.0625098</v>
      </c>
      <c r="P20" s="1321">
        <f t="shared" si="6"/>
        <v>1785727907.503027</v>
      </c>
      <c r="Q20" s="1321">
        <f t="shared" si="6"/>
        <v>2011722861.3888168</v>
      </c>
      <c r="R20" s="1321">
        <f t="shared" si="6"/>
        <v>2268213729.05655</v>
      </c>
    </row>
    <row r="21" spans="1:18">
      <c r="A21" t="s">
        <v>1018</v>
      </c>
      <c r="C21" s="1321">
        <f>C6</f>
        <v>143272000</v>
      </c>
      <c r="D21" s="1321">
        <f>D6</f>
        <v>172104000</v>
      </c>
      <c r="E21" s="1321">
        <f t="shared" ref="E21:R22" si="7">E6</f>
        <v>219158678.92699999</v>
      </c>
      <c r="F21" s="1321">
        <f t="shared" si="7"/>
        <v>275640000</v>
      </c>
      <c r="G21" s="1321">
        <f t="shared" si="7"/>
        <v>323201000</v>
      </c>
      <c r="H21" s="1321">
        <f t="shared" si="7"/>
        <v>391679999.99999994</v>
      </c>
      <c r="I21" s="1321">
        <f t="shared" si="7"/>
        <v>489755590.32497692</v>
      </c>
      <c r="J21" s="1321">
        <f t="shared" si="7"/>
        <v>560248886.65260875</v>
      </c>
      <c r="K21" s="1321">
        <f t="shared" si="7"/>
        <v>643353258.95522738</v>
      </c>
      <c r="L21" s="1321">
        <f t="shared" si="7"/>
        <v>736788965.7197628</v>
      </c>
      <c r="M21" s="1321">
        <f t="shared" si="7"/>
        <v>839930544.49714053</v>
      </c>
      <c r="N21" s="1321">
        <f t="shared" si="7"/>
        <v>953593620.36742365</v>
      </c>
      <c r="O21" s="1321">
        <f t="shared" si="7"/>
        <v>1080728562.6913521</v>
      </c>
      <c r="P21" s="1321">
        <f t="shared" si="7"/>
        <v>1224806184.2757998</v>
      </c>
      <c r="Q21" s="1321">
        <f t="shared" si="7"/>
        <v>1388536178.0903809</v>
      </c>
      <c r="R21" s="1321">
        <f t="shared" si="7"/>
        <v>1574681734.1737673</v>
      </c>
    </row>
    <row r="22" spans="1:18">
      <c r="A22" t="s">
        <v>1025</v>
      </c>
      <c r="C22" s="1321">
        <f>C7</f>
        <v>106014479.99999999</v>
      </c>
      <c r="D22" s="1321">
        <f>D7</f>
        <v>101397000</v>
      </c>
      <c r="E22" s="1321">
        <f t="shared" si="7"/>
        <v>125112500</v>
      </c>
      <c r="F22" s="1321">
        <f t="shared" si="7"/>
        <v>155916780.47999999</v>
      </c>
      <c r="G22" s="1321">
        <f t="shared" si="7"/>
        <v>244392799.05000001</v>
      </c>
      <c r="H22" s="1321">
        <f t="shared" si="7"/>
        <v>267982000</v>
      </c>
      <c r="I22" s="1321">
        <f t="shared" si="7"/>
        <v>238286995.9687404</v>
      </c>
      <c r="J22" s="1321">
        <f t="shared" si="7"/>
        <v>270545584.5684908</v>
      </c>
      <c r="K22" s="1321">
        <f t="shared" si="7"/>
        <v>308972937.52774018</v>
      </c>
      <c r="L22" s="1321">
        <f t="shared" si="7"/>
        <v>351933407.18631893</v>
      </c>
      <c r="M22" s="1321">
        <f t="shared" si="7"/>
        <v>400480891.50630856</v>
      </c>
      <c r="N22" s="1321">
        <f t="shared" si="7"/>
        <v>450128960.6197511</v>
      </c>
      <c r="O22" s="1321">
        <f t="shared" si="7"/>
        <v>505039612.37115771</v>
      </c>
      <c r="P22" s="1321">
        <f t="shared" si="7"/>
        <v>560921723.22722721</v>
      </c>
      <c r="Q22" s="1321">
        <f t="shared" si="7"/>
        <v>623186683.29843593</v>
      </c>
      <c r="R22" s="1321">
        <f t="shared" si="7"/>
        <v>693531994.8827827</v>
      </c>
    </row>
    <row r="23" spans="1:18">
      <c r="A23" s="1322" t="s">
        <v>1019</v>
      </c>
      <c r="B23" s="1322"/>
      <c r="C23" s="1323">
        <f>C8</f>
        <v>6621000</v>
      </c>
      <c r="D23" s="1323">
        <f>-(D15-C15)+D12</f>
        <v>67806190.070263326</v>
      </c>
      <c r="E23" s="1323">
        <f t="shared" ref="E23:R23" si="8">-(E15-D15)+E12</f>
        <v>85828165.424701869</v>
      </c>
      <c r="F23" s="1323">
        <f t="shared" si="8"/>
        <v>126103583.49077398</v>
      </c>
      <c r="G23" s="1323">
        <f t="shared" si="8"/>
        <v>86166232.851749301</v>
      </c>
      <c r="H23" s="1323">
        <f t="shared" si="8"/>
        <v>96740229.777523756</v>
      </c>
      <c r="I23" s="1323">
        <f t="shared" si="8"/>
        <v>134430678.19485974</v>
      </c>
      <c r="J23" s="1323">
        <f t="shared" si="8"/>
        <v>108057553.81426883</v>
      </c>
      <c r="K23" s="1323">
        <f t="shared" si="8"/>
        <v>118023505.10916829</v>
      </c>
      <c r="L23" s="1323">
        <f t="shared" si="8"/>
        <v>126450908.39524031</v>
      </c>
      <c r="M23" s="1323">
        <f t="shared" si="8"/>
        <v>134606673.5045383</v>
      </c>
      <c r="N23" s="1323">
        <f t="shared" si="8"/>
        <v>140305857.67424107</v>
      </c>
      <c r="O23" s="1323">
        <f t="shared" si="8"/>
        <v>150560464.53723931</v>
      </c>
      <c r="P23" s="1323">
        <f t="shared" si="8"/>
        <v>167233169.92243028</v>
      </c>
      <c r="Q23" s="1323">
        <f t="shared" si="8"/>
        <v>186953842.3116467</v>
      </c>
      <c r="R23" s="1323">
        <f t="shared" si="8"/>
        <v>219956820.16028643</v>
      </c>
    </row>
    <row r="25" spans="1:18">
      <c r="A25" t="s">
        <v>1020</v>
      </c>
      <c r="C25" s="1321">
        <f>C10</f>
        <v>228289000.00000003</v>
      </c>
      <c r="D25" s="1321">
        <f>D10</f>
        <v>279472000</v>
      </c>
      <c r="E25" s="1321">
        <f t="shared" ref="E25:R25" si="9">E10</f>
        <v>327910600</v>
      </c>
      <c r="F25" s="1321">
        <f t="shared" si="9"/>
        <v>430534999.99999994</v>
      </c>
      <c r="G25" s="1321">
        <f t="shared" si="9"/>
        <v>442341000</v>
      </c>
      <c r="H25" s="1321">
        <f t="shared" si="9"/>
        <v>557986681.45034456</v>
      </c>
      <c r="I25" s="1321">
        <f t="shared" si="9"/>
        <v>669005206.87984276</v>
      </c>
      <c r="J25" s="1321">
        <f t="shared" si="9"/>
        <v>773892538.63292456</v>
      </c>
      <c r="K25" s="1321">
        <f t="shared" si="9"/>
        <v>889647518.68079495</v>
      </c>
      <c r="L25" s="1321">
        <f t="shared" si="9"/>
        <v>1023344157.7558947</v>
      </c>
      <c r="M25" s="1321">
        <f t="shared" si="9"/>
        <v>1175398833.2093289</v>
      </c>
      <c r="N25" s="1321">
        <f t="shared" si="9"/>
        <v>1332120728.0891364</v>
      </c>
      <c r="O25" s="1321">
        <f t="shared" si="9"/>
        <v>1500755611.4114084</v>
      </c>
      <c r="P25" s="1321">
        <f t="shared" si="9"/>
        <v>1693975948.0717642</v>
      </c>
      <c r="Q25" s="1321">
        <f t="shared" si="9"/>
        <v>1911250153.1182034</v>
      </c>
      <c r="R25" s="1321">
        <f t="shared" si="9"/>
        <v>2156631720.0761657</v>
      </c>
    </row>
    <row r="27" spans="1:18">
      <c r="A27" t="s">
        <v>329</v>
      </c>
      <c r="C27" s="1321">
        <f>C25-C20</f>
        <v>-20997479.99999997</v>
      </c>
      <c r="D27" s="1321">
        <f>D25-D20</f>
        <v>5971000</v>
      </c>
      <c r="E27" s="1321">
        <f t="shared" ref="E27:R27" si="10">E25-E20</f>
        <v>-16360578.926999986</v>
      </c>
      <c r="F27" s="1321">
        <f t="shared" si="10"/>
        <v>-1021780.4800000787</v>
      </c>
      <c r="G27" s="1321">
        <f t="shared" si="10"/>
        <v>-125252799.04999995</v>
      </c>
      <c r="H27" s="1321">
        <f t="shared" si="10"/>
        <v>-101675318.54965544</v>
      </c>
      <c r="I27" s="1321">
        <f t="shared" si="10"/>
        <v>-59037379.413874626</v>
      </c>
      <c r="J27" s="1321">
        <f t="shared" si="10"/>
        <v>-56901932.588175058</v>
      </c>
      <c r="K27" s="1321">
        <f t="shared" si="10"/>
        <v>-62678677.802172661</v>
      </c>
      <c r="L27" s="1321">
        <f t="shared" si="10"/>
        <v>-65378215.150187016</v>
      </c>
      <c r="M27" s="1321">
        <f t="shared" si="10"/>
        <v>-65012602.794120073</v>
      </c>
      <c r="N27" s="1321">
        <f t="shared" si="10"/>
        <v>-71601852.898038387</v>
      </c>
      <c r="O27" s="1321">
        <f t="shared" si="10"/>
        <v>-85012563.651101351</v>
      </c>
      <c r="P27" s="1321">
        <f t="shared" si="10"/>
        <v>-91751959.431262732</v>
      </c>
      <c r="Q27" s="1321">
        <f t="shared" si="10"/>
        <v>-100472708.27061343</v>
      </c>
      <c r="R27" s="1321">
        <f t="shared" si="10"/>
        <v>-111582008.98038435</v>
      </c>
    </row>
    <row r="28" spans="1:18">
      <c r="A28" t="s">
        <v>1021</v>
      </c>
      <c r="C28" s="1321">
        <f>C25-C19</f>
        <v>-27618479.99999997</v>
      </c>
      <c r="D28" s="1321">
        <f t="shared" ref="D28:R28" si="11">D25-D19</f>
        <v>-61835190.070263326</v>
      </c>
      <c r="E28" s="1321">
        <f t="shared" si="11"/>
        <v>-102188744.35170186</v>
      </c>
      <c r="F28" s="1321">
        <f t="shared" si="11"/>
        <v>-127125363.97077399</v>
      </c>
      <c r="G28" s="1321">
        <f t="shared" si="11"/>
        <v>-211419031.90174925</v>
      </c>
      <c r="H28" s="1321">
        <f t="shared" si="11"/>
        <v>-198415548.32717919</v>
      </c>
      <c r="I28" s="1321">
        <f t="shared" si="11"/>
        <v>-193468057.60873437</v>
      </c>
      <c r="J28" s="1321">
        <f t="shared" si="11"/>
        <v>-164959486.40244389</v>
      </c>
      <c r="K28" s="1321">
        <f t="shared" si="11"/>
        <v>-180702182.91134095</v>
      </c>
      <c r="L28" s="1321">
        <f t="shared" si="11"/>
        <v>-191829123.54542732</v>
      </c>
      <c r="M28" s="1321">
        <f t="shared" si="11"/>
        <v>-199619276.29865837</v>
      </c>
      <c r="N28" s="1321">
        <f t="shared" si="11"/>
        <v>-211907710.57227945</v>
      </c>
      <c r="O28" s="1321">
        <f t="shared" si="11"/>
        <v>-235573028.18834066</v>
      </c>
      <c r="P28" s="1321">
        <f t="shared" si="11"/>
        <v>-258985129.35369301</v>
      </c>
      <c r="Q28" s="1321">
        <f t="shared" si="11"/>
        <v>-287426550.58225989</v>
      </c>
      <c r="R28" s="1321">
        <f t="shared" si="11"/>
        <v>-331538829.14067078</v>
      </c>
    </row>
    <row r="30" spans="1:18">
      <c r="A30" t="s">
        <v>1022</v>
      </c>
      <c r="C30" s="1321">
        <f>C15</f>
        <v>-345878823.63551158</v>
      </c>
      <c r="D30" s="1321">
        <f>C30+D28</f>
        <v>-407714013.7057749</v>
      </c>
      <c r="E30" s="1321">
        <f t="shared" ref="E30:R30" si="12">D30+E28</f>
        <v>-509902758.05747676</v>
      </c>
      <c r="F30" s="1321">
        <f t="shared" si="12"/>
        <v>-637028122.02825069</v>
      </c>
      <c r="G30" s="1321">
        <f t="shared" si="12"/>
        <v>-848447153.92999995</v>
      </c>
      <c r="H30" s="1321">
        <f t="shared" si="12"/>
        <v>-1046862702.2571791</v>
      </c>
      <c r="I30" s="1321">
        <f t="shared" si="12"/>
        <v>-1240330759.8659134</v>
      </c>
      <c r="J30" s="1321">
        <f t="shared" si="12"/>
        <v>-1405290246.2683573</v>
      </c>
      <c r="K30" s="1321">
        <f t="shared" si="12"/>
        <v>-1585992429.1796982</v>
      </c>
      <c r="L30" s="1321">
        <f t="shared" si="12"/>
        <v>-1777821552.7251256</v>
      </c>
      <c r="M30" s="1321">
        <f t="shared" si="12"/>
        <v>-1977440829.0237839</v>
      </c>
      <c r="N30" s="1321">
        <f t="shared" si="12"/>
        <v>-2189348539.5960636</v>
      </c>
      <c r="O30" s="1321">
        <f t="shared" si="12"/>
        <v>-2424921567.7844043</v>
      </c>
      <c r="P30" s="1321">
        <f t="shared" si="12"/>
        <v>-2683906697.1380973</v>
      </c>
      <c r="Q30" s="1321">
        <f t="shared" si="12"/>
        <v>-2971333247.7203569</v>
      </c>
      <c r="R30" s="1321">
        <f t="shared" si="12"/>
        <v>-3302872076.8610277</v>
      </c>
    </row>
    <row r="32" spans="1:18" ht="15.75">
      <c r="A32" t="s">
        <v>1028</v>
      </c>
      <c r="D32" s="1004">
        <f>((-D27-((D27)^2+4*C30*D30)^0.5)/(2*C30))^2-1</f>
        <v>0.19766962865321469</v>
      </c>
      <c r="E32" s="1004">
        <f t="shared" ref="E32:R32" si="13">((-E27-((E27)^2+4*D30*E30)^0.5)/(2*D30))^2-1</f>
        <v>0.20656072517660684</v>
      </c>
      <c r="F32" s="1004">
        <f t="shared" si="13"/>
        <v>0.24707518044444376</v>
      </c>
      <c r="G32" s="1004">
        <f t="shared" si="13"/>
        <v>0.12347701538480749</v>
      </c>
      <c r="H32" s="1004">
        <f t="shared" si="13"/>
        <v>0.10773036976982353</v>
      </c>
      <c r="I32" s="1004">
        <f t="shared" si="13"/>
        <v>0.12499220506497322</v>
      </c>
      <c r="J32" s="1004">
        <f t="shared" si="13"/>
        <v>8.5205438024780644E-2</v>
      </c>
      <c r="K32" s="1004">
        <f t="shared" si="13"/>
        <v>8.218845064580016E-2</v>
      </c>
      <c r="L32" s="1004">
        <f t="shared" si="13"/>
        <v>7.8149380446612904E-2</v>
      </c>
      <c r="M32" s="1004">
        <f t="shared" si="13"/>
        <v>7.4378811015981539E-2</v>
      </c>
      <c r="N32" s="1004">
        <f t="shared" si="13"/>
        <v>6.9712393287663987E-2</v>
      </c>
      <c r="O32" s="1004">
        <f t="shared" si="13"/>
        <v>6.7480772449221238E-2</v>
      </c>
      <c r="P32" s="1004">
        <f t="shared" si="13"/>
        <v>6.7704468530888073E-2</v>
      </c>
      <c r="Q32" s="1004">
        <f t="shared" si="13"/>
        <v>6.8398275763616123E-2</v>
      </c>
      <c r="R32" s="1004">
        <f t="shared" si="13"/>
        <v>7.2685469118822343E-2</v>
      </c>
    </row>
    <row r="33" spans="1:18">
      <c r="A33" t="s">
        <v>1026</v>
      </c>
      <c r="D33" s="1321">
        <f>-(C30*D32+D27*((1+D32)^0.5-1))</f>
        <v>67806190.070263341</v>
      </c>
      <c r="E33" s="1321">
        <f t="shared" ref="E33:R33" si="14">-(D30*E32+E27*((1+E32)^0.5-1))</f>
        <v>85828165.424701691</v>
      </c>
      <c r="F33" s="1321">
        <f t="shared" si="14"/>
        <v>126103583.49077384</v>
      </c>
      <c r="G33" s="1321">
        <f t="shared" si="14"/>
        <v>86166232.851749048</v>
      </c>
      <c r="H33" s="1321">
        <f t="shared" si="14"/>
        <v>96740229.777523652</v>
      </c>
      <c r="I33" s="1321">
        <f t="shared" si="14"/>
        <v>134430678.19485945</v>
      </c>
      <c r="J33" s="1321">
        <f t="shared" si="14"/>
        <v>108057553.81426917</v>
      </c>
      <c r="K33" s="1321">
        <f t="shared" si="14"/>
        <v>118023505.10916854</v>
      </c>
      <c r="L33" s="1321">
        <f t="shared" si="14"/>
        <v>126450908.39524026</v>
      </c>
      <c r="M33" s="1321">
        <f t="shared" si="14"/>
        <v>134606673.50453874</v>
      </c>
      <c r="N33" s="1321">
        <f t="shared" si="14"/>
        <v>140305857.67424142</v>
      </c>
      <c r="O33" s="1321">
        <f t="shared" si="14"/>
        <v>150560464.53724015</v>
      </c>
      <c r="P33" s="1321">
        <f t="shared" si="14"/>
        <v>167233169.92243004</v>
      </c>
      <c r="Q33" s="1321">
        <f t="shared" si="14"/>
        <v>186953842.31164613</v>
      </c>
      <c r="R33" s="1321">
        <f t="shared" si="14"/>
        <v>219956820.16028619</v>
      </c>
    </row>
    <row r="35" spans="1:18">
      <c r="A35" s="1324" t="s">
        <v>1027</v>
      </c>
    </row>
    <row r="36" spans="1:18">
      <c r="A36" t="s">
        <v>1023</v>
      </c>
    </row>
    <row r="37" spans="1:18">
      <c r="C37">
        <v>2005</v>
      </c>
      <c r="D37">
        <f>C37+1</f>
        <v>2006</v>
      </c>
      <c r="E37">
        <f t="shared" ref="E37:R37" si="15">D37+1</f>
        <v>2007</v>
      </c>
      <c r="F37">
        <f t="shared" si="15"/>
        <v>2008</v>
      </c>
      <c r="G37">
        <f t="shared" si="15"/>
        <v>2009</v>
      </c>
      <c r="H37">
        <f t="shared" si="15"/>
        <v>2010</v>
      </c>
      <c r="I37">
        <f t="shared" si="15"/>
        <v>2011</v>
      </c>
      <c r="J37">
        <f t="shared" si="15"/>
        <v>2012</v>
      </c>
      <c r="K37">
        <f t="shared" si="15"/>
        <v>2013</v>
      </c>
      <c r="L37">
        <f t="shared" si="15"/>
        <v>2014</v>
      </c>
      <c r="M37">
        <f t="shared" si="15"/>
        <v>2015</v>
      </c>
      <c r="N37">
        <f t="shared" si="15"/>
        <v>2016</v>
      </c>
      <c r="O37">
        <f t="shared" si="15"/>
        <v>2017</v>
      </c>
      <c r="P37">
        <f t="shared" si="15"/>
        <v>2018</v>
      </c>
      <c r="Q37">
        <f t="shared" si="15"/>
        <v>2019</v>
      </c>
      <c r="R37">
        <f t="shared" si="15"/>
        <v>2020</v>
      </c>
    </row>
    <row r="38" spans="1:18">
      <c r="A38" t="s">
        <v>876</v>
      </c>
      <c r="C38" s="1321">
        <f>C39+C42</f>
        <v>255907.47999999998</v>
      </c>
      <c r="D38" s="1321">
        <f t="shared" ref="D38:R38" si="16">D39+D42</f>
        <v>281466</v>
      </c>
      <c r="E38" s="1321">
        <f t="shared" si="16"/>
        <v>356931.17892700003</v>
      </c>
      <c r="F38" s="1321">
        <f t="shared" si="16"/>
        <v>448286.78048000002</v>
      </c>
      <c r="G38" s="1321">
        <f t="shared" si="16"/>
        <v>591473.79905000003</v>
      </c>
      <c r="H38" s="1321">
        <f t="shared" si="16"/>
        <v>685042</v>
      </c>
      <c r="I38" s="1321">
        <f t="shared" si="16"/>
        <v>763802.58629371738</v>
      </c>
      <c r="J38" s="1321">
        <f t="shared" si="16"/>
        <v>877373.09971108427</v>
      </c>
      <c r="K38" s="1321">
        <f t="shared" si="16"/>
        <v>1002389.0128821764</v>
      </c>
      <c r="L38" s="1321">
        <f t="shared" si="16"/>
        <v>1144676.3028963155</v>
      </c>
      <c r="M38" s="1321">
        <f t="shared" si="16"/>
        <v>1300851.1676789529</v>
      </c>
      <c r="N38" s="1321">
        <f t="shared" si="16"/>
        <v>1469895.4422769577</v>
      </c>
      <c r="O38" s="1321">
        <f t="shared" si="16"/>
        <v>1661713.2144005201</v>
      </c>
      <c r="P38" s="1321">
        <f t="shared" si="16"/>
        <v>1874029.2254743965</v>
      </c>
      <c r="Q38" s="1321">
        <f t="shared" si="16"/>
        <v>2114604.0669078873</v>
      </c>
      <c r="R38" s="1321">
        <f t="shared" si="16"/>
        <v>2387002.3787881993</v>
      </c>
    </row>
    <row r="39" spans="1:18">
      <c r="A39" t="s">
        <v>1017</v>
      </c>
      <c r="C39" s="1321">
        <f>C40+C41</f>
        <v>249286.47999999998</v>
      </c>
      <c r="D39" s="1321">
        <f t="shared" ref="D39:R39" si="17">D40+D41</f>
        <v>273501</v>
      </c>
      <c r="E39" s="1321">
        <f t="shared" si="17"/>
        <v>344271.17892700003</v>
      </c>
      <c r="F39" s="1321">
        <f t="shared" si="17"/>
        <v>431556.78048000002</v>
      </c>
      <c r="G39" s="1321">
        <f t="shared" si="17"/>
        <v>567593.79905000003</v>
      </c>
      <c r="H39" s="1321">
        <f t="shared" si="17"/>
        <v>659662</v>
      </c>
      <c r="I39" s="1321">
        <f t="shared" si="17"/>
        <v>728042.58629371738</v>
      </c>
      <c r="J39" s="1321">
        <f t="shared" si="17"/>
        <v>830794.47122109961</v>
      </c>
      <c r="K39" s="1321">
        <f t="shared" si="17"/>
        <v>952326.19648296759</v>
      </c>
      <c r="L39" s="1321">
        <f t="shared" si="17"/>
        <v>1088722.3729060818</v>
      </c>
      <c r="M39" s="1321">
        <f t="shared" si="17"/>
        <v>1240411.4360034489</v>
      </c>
      <c r="N39" s="1321">
        <f t="shared" si="17"/>
        <v>1403722.5809871748</v>
      </c>
      <c r="O39" s="1321">
        <f t="shared" si="17"/>
        <v>1585768.1750625097</v>
      </c>
      <c r="P39" s="1321">
        <f t="shared" si="17"/>
        <v>1785727.907503027</v>
      </c>
      <c r="Q39" s="1321">
        <f t="shared" si="17"/>
        <v>2011722.861388817</v>
      </c>
      <c r="R39" s="1321">
        <f t="shared" si="17"/>
        <v>2268213.7290565502</v>
      </c>
    </row>
    <row r="40" spans="1:18">
      <c r="A40" t="s">
        <v>1018</v>
      </c>
      <c r="C40" s="1321">
        <f>'IMF Data'!C39-'IMF Data'!C40</f>
        <v>143272</v>
      </c>
      <c r="D40" s="1321">
        <f>'IMF Data'!D39-'IMF Data'!D40</f>
        <v>172104</v>
      </c>
      <c r="E40" s="1321">
        <f>'IMF Data'!E39-'IMF Data'!E40</f>
        <v>219158.678927</v>
      </c>
      <c r="F40" s="1321">
        <f>'IMF Data'!F39-'IMF Data'!F40</f>
        <v>275640</v>
      </c>
      <c r="G40" s="1321">
        <f>'IMF Data'!G39-'IMF Data'!G40</f>
        <v>323201</v>
      </c>
      <c r="H40" s="1321">
        <f>'IMF Data'!H39-'IMF Data'!H40</f>
        <v>391679.99999999994</v>
      </c>
      <c r="I40" s="1321">
        <f>'IMF Data'!I39-'IMF Data'!I40</f>
        <v>489755.59032497695</v>
      </c>
      <c r="J40" s="1321">
        <f>'IMF Data'!J39-'IMF Data'!J40</f>
        <v>560248.88665260875</v>
      </c>
      <c r="K40" s="1321">
        <f>'IMF Data'!K39-'IMF Data'!K40</f>
        <v>643353.25895522733</v>
      </c>
      <c r="L40" s="1321">
        <f>'IMF Data'!L39-'IMF Data'!L40</f>
        <v>736788.96571976284</v>
      </c>
      <c r="M40" s="1321">
        <f>'IMF Data'!M39-'IMF Data'!M40</f>
        <v>839930.54449714045</v>
      </c>
      <c r="N40" s="1321">
        <f>'IMF Data'!N39-'IMF Data'!N40</f>
        <v>953593.62036742363</v>
      </c>
      <c r="O40" s="1321">
        <f>'IMF Data'!O39-'IMF Data'!O40</f>
        <v>1080728.5626913521</v>
      </c>
      <c r="P40" s="1321">
        <f>'IMF Data'!P39-'IMF Data'!P40</f>
        <v>1224806.1842757997</v>
      </c>
      <c r="Q40" s="1321">
        <f>'IMF Data'!Q39-'IMF Data'!Q40</f>
        <v>1388536.178090381</v>
      </c>
      <c r="R40" s="1321">
        <f>'IMF Data'!R39-'IMF Data'!R40</f>
        <v>1574681.7341737675</v>
      </c>
    </row>
    <row r="41" spans="1:18">
      <c r="A41" t="s">
        <v>1025</v>
      </c>
      <c r="C41" s="1321">
        <f>'IMF Data'!C41+'IMF Data'!C45</f>
        <v>106014.47999999998</v>
      </c>
      <c r="D41" s="1321">
        <f>'IMF Data'!D41+'IMF Data'!D45</f>
        <v>101397</v>
      </c>
      <c r="E41" s="1321">
        <f>'IMF Data'!E41+'IMF Data'!E45</f>
        <v>125112.5</v>
      </c>
      <c r="F41" s="1321">
        <f>'IMF Data'!F41+'IMF Data'!F45</f>
        <v>155916.78048000002</v>
      </c>
      <c r="G41" s="1321">
        <f>'IMF Data'!G41+'IMF Data'!G45</f>
        <v>244392.79905</v>
      </c>
      <c r="H41" s="1321">
        <f>'IMF Data'!H41+'IMF Data'!H45</f>
        <v>267982</v>
      </c>
      <c r="I41" s="1321">
        <f>'IMF Data'!I41+'IMF Data'!I45</f>
        <v>238286.9959687404</v>
      </c>
      <c r="J41" s="1321">
        <f>'IMF Data'!J41+'IMF Data'!J45</f>
        <v>270545.58456849086</v>
      </c>
      <c r="K41" s="1321">
        <f>'IMF Data'!K41+'IMF Data'!K45</f>
        <v>308972.9375277402</v>
      </c>
      <c r="L41" s="1321">
        <f>'IMF Data'!L41+'IMF Data'!L45</f>
        <v>351933.40718631895</v>
      </c>
      <c r="M41" s="1321">
        <f>'IMF Data'!M41+'IMF Data'!M45</f>
        <v>400480.89150630857</v>
      </c>
      <c r="N41" s="1321">
        <f>'IMF Data'!N41+'IMF Data'!N45</f>
        <v>450128.96061975107</v>
      </c>
      <c r="O41" s="1321">
        <f>'IMF Data'!O41+'IMF Data'!O45</f>
        <v>505039.61237115768</v>
      </c>
      <c r="P41" s="1321">
        <f>'IMF Data'!P41+'IMF Data'!P45</f>
        <v>560921.72322722722</v>
      </c>
      <c r="Q41" s="1321">
        <f>'IMF Data'!Q41+'IMF Data'!Q45</f>
        <v>623186.68329843599</v>
      </c>
      <c r="R41" s="1321">
        <f>'IMF Data'!R41+'IMF Data'!R45</f>
        <v>693531.9948827828</v>
      </c>
    </row>
    <row r="42" spans="1:18">
      <c r="A42" t="s">
        <v>1019</v>
      </c>
      <c r="C42" s="1321">
        <f>'IMF Data'!C40</f>
        <v>6621</v>
      </c>
      <c r="D42" s="1321">
        <f>'IMF Data'!D40</f>
        <v>7965</v>
      </c>
      <c r="E42" s="1321">
        <f>'IMF Data'!E40</f>
        <v>12660</v>
      </c>
      <c r="F42" s="1321">
        <f>'IMF Data'!F40</f>
        <v>16730</v>
      </c>
      <c r="G42" s="1321">
        <f>'IMF Data'!G40</f>
        <v>23880</v>
      </c>
      <c r="H42" s="1321">
        <f>'IMF Data'!H40</f>
        <v>25380</v>
      </c>
      <c r="I42" s="1321">
        <f>'IMF Data'!I40</f>
        <v>35760</v>
      </c>
      <c r="J42" s="1321">
        <f>'IMF Data'!J40</f>
        <v>46578.628489984629</v>
      </c>
      <c r="K42" s="1321">
        <f>'IMF Data'!K40</f>
        <v>50062.816399208808</v>
      </c>
      <c r="L42" s="1321">
        <f>'IMF Data'!L40</f>
        <v>55953.929990233548</v>
      </c>
      <c r="M42" s="1321">
        <f>'IMF Data'!M40</f>
        <v>60439.731675504081</v>
      </c>
      <c r="N42" s="1321">
        <f>'IMF Data'!N40</f>
        <v>66172.861289782988</v>
      </c>
      <c r="O42" s="1321">
        <f>'IMF Data'!O40</f>
        <v>75945.039338010349</v>
      </c>
      <c r="P42" s="1321">
        <f>'IMF Data'!P40</f>
        <v>88301.317971369383</v>
      </c>
      <c r="Q42" s="1321">
        <f>'IMF Data'!Q40</f>
        <v>102881.20551907032</v>
      </c>
      <c r="R42" s="1321">
        <f>'IMF Data'!R40</f>
        <v>118788.64973164929</v>
      </c>
    </row>
    <row r="44" spans="1:18">
      <c r="A44" t="s">
        <v>1020</v>
      </c>
      <c r="C44" s="1321">
        <f>'IMF Data'!C20</f>
        <v>228289</v>
      </c>
      <c r="D44" s="1321">
        <f>'IMF Data'!D20</f>
        <v>279472</v>
      </c>
      <c r="E44" s="1321">
        <f>'IMF Data'!E20</f>
        <v>327910.60000000003</v>
      </c>
      <c r="F44" s="1321">
        <f>'IMF Data'!F20</f>
        <v>430535</v>
      </c>
      <c r="G44" s="1321">
        <f>'IMF Data'!G20</f>
        <v>442341</v>
      </c>
      <c r="H44" s="1321">
        <f>'IMF Data'!H20</f>
        <v>557986.68145034462</v>
      </c>
      <c r="I44" s="1321">
        <f>'IMF Data'!I20</f>
        <v>669005.20687984279</v>
      </c>
      <c r="J44" s="1321">
        <f>'IMF Data'!J20</f>
        <v>773892.53863292478</v>
      </c>
      <c r="K44" s="1321">
        <f>'IMF Data'!K20</f>
        <v>889647.5186807951</v>
      </c>
      <c r="L44" s="1321">
        <f>'IMF Data'!L20</f>
        <v>1023344.1577558946</v>
      </c>
      <c r="M44" s="1321">
        <f>'IMF Data'!M20</f>
        <v>1175398.8332093288</v>
      </c>
      <c r="N44" s="1321">
        <f>'IMF Data'!N20</f>
        <v>1332120.7280891363</v>
      </c>
      <c r="O44" s="1321">
        <f>'IMF Data'!O20</f>
        <v>1500755.6114114083</v>
      </c>
      <c r="P44" s="1321">
        <f>'IMF Data'!P20</f>
        <v>1693975.9480717641</v>
      </c>
      <c r="Q44" s="1321">
        <f>'IMF Data'!Q20</f>
        <v>1911250.1531182036</v>
      </c>
      <c r="R44" s="1321">
        <f>'IMF Data'!R20</f>
        <v>2156631.7200761661</v>
      </c>
    </row>
    <row r="46" spans="1:18">
      <c r="A46" t="s">
        <v>329</v>
      </c>
      <c r="C46" s="1321">
        <f>C44-C39</f>
        <v>-20997.479999999981</v>
      </c>
      <c r="D46" s="1321">
        <f t="shared" ref="D46:R46" si="18">D44-D39</f>
        <v>5971</v>
      </c>
      <c r="E46" s="1321">
        <f t="shared" si="18"/>
        <v>-16360.578926999995</v>
      </c>
      <c r="F46" s="1321">
        <f t="shared" si="18"/>
        <v>-1021.7804800000158</v>
      </c>
      <c r="G46" s="1321">
        <f t="shared" si="18"/>
        <v>-125252.79905000003</v>
      </c>
      <c r="H46" s="1321">
        <f t="shared" si="18"/>
        <v>-101675.31854965538</v>
      </c>
      <c r="I46" s="1321">
        <f t="shared" si="18"/>
        <v>-59037.379413874587</v>
      </c>
      <c r="J46" s="1321">
        <f t="shared" si="18"/>
        <v>-56901.932588174823</v>
      </c>
      <c r="K46" s="1321">
        <f t="shared" si="18"/>
        <v>-62678.677802172489</v>
      </c>
      <c r="L46" s="1321">
        <f t="shared" si="18"/>
        <v>-65378.215150187258</v>
      </c>
      <c r="M46" s="1321">
        <f t="shared" si="18"/>
        <v>-65012.602794120088</v>
      </c>
      <c r="N46" s="1321">
        <f t="shared" si="18"/>
        <v>-71601.852898038458</v>
      </c>
      <c r="O46" s="1321">
        <f t="shared" si="18"/>
        <v>-85012.563651101431</v>
      </c>
      <c r="P46" s="1321">
        <f t="shared" si="18"/>
        <v>-91751.95943126292</v>
      </c>
      <c r="Q46" s="1321">
        <f t="shared" si="18"/>
        <v>-100472.70827061334</v>
      </c>
      <c r="R46" s="1321">
        <f t="shared" si="18"/>
        <v>-111582.0089803841</v>
      </c>
    </row>
    <row r="47" spans="1:18">
      <c r="A47" t="s">
        <v>1021</v>
      </c>
      <c r="C47" s="1321">
        <f>C44-C38</f>
        <v>-27618.479999999981</v>
      </c>
      <c r="D47" s="1321">
        <f t="shared" ref="D47:R47" si="19">D44-D38</f>
        <v>-1994</v>
      </c>
      <c r="E47" s="1321">
        <f t="shared" si="19"/>
        <v>-29020.578926999995</v>
      </c>
      <c r="F47" s="1321">
        <f t="shared" si="19"/>
        <v>-17751.780480000016</v>
      </c>
      <c r="G47" s="1321">
        <f t="shared" si="19"/>
        <v>-149132.79905000003</v>
      </c>
      <c r="H47" s="1321">
        <f t="shared" si="19"/>
        <v>-127055.31854965538</v>
      </c>
      <c r="I47" s="1321">
        <f t="shared" si="19"/>
        <v>-94797.379413874587</v>
      </c>
      <c r="J47" s="1321">
        <f t="shared" si="19"/>
        <v>-103480.56107815949</v>
      </c>
      <c r="K47" s="1321">
        <f t="shared" si="19"/>
        <v>-112741.49420138134</v>
      </c>
      <c r="L47" s="1321">
        <f t="shared" si="19"/>
        <v>-121332.14514042088</v>
      </c>
      <c r="M47" s="1321">
        <f t="shared" si="19"/>
        <v>-125452.3344696241</v>
      </c>
      <c r="N47" s="1321">
        <f t="shared" si="19"/>
        <v>-137774.71418782137</v>
      </c>
      <c r="O47" s="1321">
        <f t="shared" si="19"/>
        <v>-160957.60298911179</v>
      </c>
      <c r="P47" s="1321">
        <f t="shared" si="19"/>
        <v>-180053.2774026324</v>
      </c>
      <c r="Q47" s="1321">
        <f t="shared" si="19"/>
        <v>-203353.91378968372</v>
      </c>
      <c r="R47" s="1321">
        <f t="shared" si="19"/>
        <v>-230370.65871203318</v>
      </c>
    </row>
    <row r="49" spans="1:18">
      <c r="A49" t="s">
        <v>1022</v>
      </c>
      <c r="C49" s="1321">
        <f>-'IMF Data'!C214</f>
        <v>-345878.82363551157</v>
      </c>
      <c r="D49" s="1321">
        <f>-'IMF Data'!D214</f>
        <v>-407714.01370577491</v>
      </c>
      <c r="E49" s="1321">
        <f>-'IMF Data'!E214</f>
        <v>-509902.75805747678</v>
      </c>
      <c r="F49" s="1321">
        <f>-'IMF Data'!F214</f>
        <v>-637028.12202825083</v>
      </c>
      <c r="G49" s="1321">
        <f>-'IMF Data'!G214</f>
        <v>-848447.15393000003</v>
      </c>
      <c r="H49" s="1321">
        <f>-'IMF Data'!H214</f>
        <v>-1046862.7022571793</v>
      </c>
      <c r="I49" s="1321">
        <f>-'IMF Data'!I214</f>
        <v>-1240330.7598659135</v>
      </c>
      <c r="J49" s="1321">
        <f>-'IMF Data'!J214</f>
        <v>-1405290.2462683576</v>
      </c>
      <c r="K49" s="1321">
        <f>-'IMF Data'!K214</f>
        <v>-1585992.4291796985</v>
      </c>
      <c r="L49" s="1321">
        <f>-'IMF Data'!L214</f>
        <v>-1777821.5527251258</v>
      </c>
      <c r="M49" s="1321">
        <f>-'IMF Data'!M214</f>
        <v>-1977440.8290237843</v>
      </c>
      <c r="N49" s="1321">
        <f>-'IMF Data'!N214</f>
        <v>-2189348.5395960636</v>
      </c>
      <c r="O49" s="1321">
        <f>-'IMF Data'!O214</f>
        <v>-2424921.5677844044</v>
      </c>
      <c r="P49" s="1321">
        <f>-'IMF Data'!P214</f>
        <v>-2683906.6971380971</v>
      </c>
      <c r="Q49" s="1321">
        <f>-'IMF Data'!Q214</f>
        <v>-2971333.2477203575</v>
      </c>
      <c r="R49" s="1321">
        <f>-'IMF Data'!R214</f>
        <v>-3302872.0768610281</v>
      </c>
    </row>
    <row r="50" spans="1:18">
      <c r="D50" s="1321"/>
    </row>
    <row r="51" spans="1:18">
      <c r="A51" t="s">
        <v>1024</v>
      </c>
    </row>
    <row r="53" spans="1:18">
      <c r="A53" t="s">
        <v>876</v>
      </c>
      <c r="C53" s="1321">
        <f t="shared" ref="C53:R53" si="20">C54+C57</f>
        <v>255907.47999999998</v>
      </c>
      <c r="D53" s="1321">
        <f t="shared" si="20"/>
        <v>341307.19007026334</v>
      </c>
      <c r="E53" s="1321">
        <f t="shared" si="20"/>
        <v>430099.3443517019</v>
      </c>
      <c r="F53" s="1321">
        <f t="shared" si="20"/>
        <v>557660.36397077399</v>
      </c>
      <c r="G53" s="1321">
        <f t="shared" si="20"/>
        <v>653760.0319017492</v>
      </c>
      <c r="H53" s="1321">
        <f t="shared" si="20"/>
        <v>756402.2297775239</v>
      </c>
      <c r="I53" s="1321">
        <f t="shared" si="20"/>
        <v>862473.26448857703</v>
      </c>
      <c r="J53" s="1321">
        <f t="shared" si="20"/>
        <v>938852.02503536886</v>
      </c>
      <c r="K53" s="1321">
        <f t="shared" si="20"/>
        <v>1070349.7015921359</v>
      </c>
      <c r="L53" s="1321">
        <f t="shared" si="20"/>
        <v>1215173.2813013219</v>
      </c>
      <c r="M53" s="1321">
        <f t="shared" si="20"/>
        <v>1375018.1095079873</v>
      </c>
      <c r="N53" s="1321">
        <f t="shared" si="20"/>
        <v>1544028.4386614156</v>
      </c>
      <c r="O53" s="1321">
        <f t="shared" si="20"/>
        <v>1736328.6395997491</v>
      </c>
      <c r="P53" s="1321">
        <f t="shared" si="20"/>
        <v>1952961.0774254568</v>
      </c>
      <c r="Q53" s="1321">
        <f t="shared" si="20"/>
        <v>2198676.7037004642</v>
      </c>
      <c r="R53" s="1321">
        <f t="shared" si="20"/>
        <v>2488170.5492168367</v>
      </c>
    </row>
    <row r="54" spans="1:18">
      <c r="A54" t="s">
        <v>1017</v>
      </c>
      <c r="C54" s="1321">
        <f t="shared" ref="C54:R54" si="21">C55+C56</f>
        <v>249286.47999999998</v>
      </c>
      <c r="D54" s="1321">
        <f t="shared" si="21"/>
        <v>273501</v>
      </c>
      <c r="E54" s="1321">
        <f t="shared" si="21"/>
        <v>344271.17892700003</v>
      </c>
      <c r="F54" s="1321">
        <f t="shared" si="21"/>
        <v>431556.78048000002</v>
      </c>
      <c r="G54" s="1321">
        <f t="shared" si="21"/>
        <v>567593.79905000003</v>
      </c>
      <c r="H54" s="1321">
        <f t="shared" si="21"/>
        <v>659662</v>
      </c>
      <c r="I54" s="1321">
        <f t="shared" si="21"/>
        <v>728042.58629371738</v>
      </c>
      <c r="J54" s="1321">
        <f t="shared" si="21"/>
        <v>830794.47122109961</v>
      </c>
      <c r="K54" s="1321">
        <f t="shared" si="21"/>
        <v>952326.19648296759</v>
      </c>
      <c r="L54" s="1321">
        <f t="shared" si="21"/>
        <v>1088722.3729060818</v>
      </c>
      <c r="M54" s="1321">
        <f t="shared" si="21"/>
        <v>1240411.4360034489</v>
      </c>
      <c r="N54" s="1321">
        <f t="shared" si="21"/>
        <v>1403722.5809871748</v>
      </c>
      <c r="O54" s="1321">
        <f t="shared" si="21"/>
        <v>1585768.1750625097</v>
      </c>
      <c r="P54" s="1321">
        <f t="shared" si="21"/>
        <v>1785727.907503027</v>
      </c>
      <c r="Q54" s="1321">
        <f t="shared" si="21"/>
        <v>2011722.861388817</v>
      </c>
      <c r="R54" s="1321">
        <f t="shared" si="21"/>
        <v>2268213.7290565502</v>
      </c>
    </row>
    <row r="55" spans="1:18">
      <c r="A55" t="s">
        <v>1018</v>
      </c>
      <c r="C55" s="1321">
        <f>C40</f>
        <v>143272</v>
      </c>
      <c r="D55" s="1321">
        <f t="shared" ref="D55:R56" si="22">D40</f>
        <v>172104</v>
      </c>
      <c r="E55" s="1321">
        <f t="shared" si="22"/>
        <v>219158.678927</v>
      </c>
      <c r="F55" s="1321">
        <f t="shared" si="22"/>
        <v>275640</v>
      </c>
      <c r="G55" s="1321">
        <f t="shared" si="22"/>
        <v>323201</v>
      </c>
      <c r="H55" s="1321">
        <f t="shared" si="22"/>
        <v>391679.99999999994</v>
      </c>
      <c r="I55" s="1321">
        <f t="shared" si="22"/>
        <v>489755.59032497695</v>
      </c>
      <c r="J55" s="1321">
        <f t="shared" si="22"/>
        <v>560248.88665260875</v>
      </c>
      <c r="K55" s="1321">
        <f t="shared" si="22"/>
        <v>643353.25895522733</v>
      </c>
      <c r="L55" s="1321">
        <f t="shared" si="22"/>
        <v>736788.96571976284</v>
      </c>
      <c r="M55" s="1321">
        <f t="shared" si="22"/>
        <v>839930.54449714045</v>
      </c>
      <c r="N55" s="1321">
        <f t="shared" si="22"/>
        <v>953593.62036742363</v>
      </c>
      <c r="O55" s="1321">
        <f t="shared" si="22"/>
        <v>1080728.5626913521</v>
      </c>
      <c r="P55" s="1321">
        <f t="shared" si="22"/>
        <v>1224806.1842757997</v>
      </c>
      <c r="Q55" s="1321">
        <f t="shared" si="22"/>
        <v>1388536.178090381</v>
      </c>
      <c r="R55" s="1321">
        <f t="shared" si="22"/>
        <v>1574681.7341737675</v>
      </c>
    </row>
    <row r="56" spans="1:18">
      <c r="A56" t="s">
        <v>1025</v>
      </c>
      <c r="C56" s="1321">
        <f>C41</f>
        <v>106014.47999999998</v>
      </c>
      <c r="D56" s="1321">
        <f t="shared" si="22"/>
        <v>101397</v>
      </c>
      <c r="E56" s="1321">
        <f t="shared" si="22"/>
        <v>125112.5</v>
      </c>
      <c r="F56" s="1321">
        <f t="shared" si="22"/>
        <v>155916.78048000002</v>
      </c>
      <c r="G56" s="1321">
        <f t="shared" si="22"/>
        <v>244392.79905</v>
      </c>
      <c r="H56" s="1321">
        <f t="shared" si="22"/>
        <v>267982</v>
      </c>
      <c r="I56" s="1321">
        <f t="shared" si="22"/>
        <v>238286.9959687404</v>
      </c>
      <c r="J56" s="1321">
        <f t="shared" si="22"/>
        <v>270545.58456849086</v>
      </c>
      <c r="K56" s="1321">
        <f t="shared" si="22"/>
        <v>308972.9375277402</v>
      </c>
      <c r="L56" s="1321">
        <f t="shared" si="22"/>
        <v>351933.40718631895</v>
      </c>
      <c r="M56" s="1321">
        <f t="shared" si="22"/>
        <v>400480.89150630857</v>
      </c>
      <c r="N56" s="1321">
        <f t="shared" si="22"/>
        <v>450128.96061975107</v>
      </c>
      <c r="O56" s="1321">
        <f t="shared" si="22"/>
        <v>505039.61237115768</v>
      </c>
      <c r="P56" s="1321">
        <f t="shared" si="22"/>
        <v>560921.72322722722</v>
      </c>
      <c r="Q56" s="1321">
        <f t="shared" si="22"/>
        <v>623186.68329843599</v>
      </c>
      <c r="R56" s="1321">
        <f t="shared" si="22"/>
        <v>693531.9948827828</v>
      </c>
    </row>
    <row r="57" spans="1:18">
      <c r="A57" s="1322" t="s">
        <v>1019</v>
      </c>
      <c r="B57" s="1322"/>
      <c r="C57" s="1323">
        <f>C42</f>
        <v>6621</v>
      </c>
      <c r="D57" s="1323">
        <f>-(D49-C49)+D46</f>
        <v>67806.190070263343</v>
      </c>
      <c r="E57" s="1323">
        <f t="shared" ref="E57:R57" si="23">-(E49-D49)+E46</f>
        <v>85828.165424701874</v>
      </c>
      <c r="F57" s="1323">
        <f t="shared" si="23"/>
        <v>126103.58349077404</v>
      </c>
      <c r="G57" s="1323">
        <f t="shared" si="23"/>
        <v>86166.23285174917</v>
      </c>
      <c r="H57" s="1323">
        <f t="shared" si="23"/>
        <v>96740.229777523899</v>
      </c>
      <c r="I57" s="1323">
        <f t="shared" si="23"/>
        <v>134430.67819485965</v>
      </c>
      <c r="J57" s="1323">
        <f t="shared" si="23"/>
        <v>108057.55381426925</v>
      </c>
      <c r="K57" s="1323">
        <f t="shared" si="23"/>
        <v>118023.50510916836</v>
      </c>
      <c r="L57" s="1323">
        <f t="shared" si="23"/>
        <v>126450.90839524008</v>
      </c>
      <c r="M57" s="1323">
        <f t="shared" si="23"/>
        <v>134606.67350453837</v>
      </c>
      <c r="N57" s="1323">
        <f t="shared" si="23"/>
        <v>140305.85767424083</v>
      </c>
      <c r="O57" s="1323">
        <f t="shared" si="23"/>
        <v>150560.4645372394</v>
      </c>
      <c r="P57" s="1323">
        <f t="shared" si="23"/>
        <v>167233.16992242984</v>
      </c>
      <c r="Q57" s="1323">
        <f t="shared" si="23"/>
        <v>186953.84231164702</v>
      </c>
      <c r="R57" s="1323">
        <f t="shared" si="23"/>
        <v>219956.8201602865</v>
      </c>
    </row>
    <row r="59" spans="1:18">
      <c r="A59" t="s">
        <v>1020</v>
      </c>
      <c r="C59" s="1321">
        <f>C44</f>
        <v>228289</v>
      </c>
      <c r="D59" s="1321">
        <f>D44</f>
        <v>279472</v>
      </c>
      <c r="E59" s="1321">
        <f t="shared" ref="E59:R59" si="24">E44</f>
        <v>327910.60000000003</v>
      </c>
      <c r="F59" s="1321">
        <f t="shared" si="24"/>
        <v>430535</v>
      </c>
      <c r="G59" s="1321">
        <f t="shared" si="24"/>
        <v>442341</v>
      </c>
      <c r="H59" s="1321">
        <f t="shared" si="24"/>
        <v>557986.68145034462</v>
      </c>
      <c r="I59" s="1321">
        <f t="shared" si="24"/>
        <v>669005.20687984279</v>
      </c>
      <c r="J59" s="1321">
        <f t="shared" si="24"/>
        <v>773892.53863292478</v>
      </c>
      <c r="K59" s="1321">
        <f t="shared" si="24"/>
        <v>889647.5186807951</v>
      </c>
      <c r="L59" s="1321">
        <f t="shared" si="24"/>
        <v>1023344.1577558946</v>
      </c>
      <c r="M59" s="1321">
        <f t="shared" si="24"/>
        <v>1175398.8332093288</v>
      </c>
      <c r="N59" s="1321">
        <f t="shared" si="24"/>
        <v>1332120.7280891363</v>
      </c>
      <c r="O59" s="1321">
        <f t="shared" si="24"/>
        <v>1500755.6114114083</v>
      </c>
      <c r="P59" s="1321">
        <f t="shared" si="24"/>
        <v>1693975.9480717641</v>
      </c>
      <c r="Q59" s="1321">
        <f t="shared" si="24"/>
        <v>1911250.1531182036</v>
      </c>
      <c r="R59" s="1321">
        <f t="shared" si="24"/>
        <v>2156631.7200761661</v>
      </c>
    </row>
    <row r="61" spans="1:18">
      <c r="A61" t="s">
        <v>329</v>
      </c>
      <c r="C61" s="1321">
        <f>C59-C54</f>
        <v>-20997.479999999981</v>
      </c>
      <c r="D61" s="1321">
        <f t="shared" ref="D61:R61" si="25">D59-D54</f>
        <v>5971</v>
      </c>
      <c r="E61" s="1321">
        <f t="shared" si="25"/>
        <v>-16360.578926999995</v>
      </c>
      <c r="F61" s="1321">
        <f t="shared" si="25"/>
        <v>-1021.7804800000158</v>
      </c>
      <c r="G61" s="1321">
        <f t="shared" si="25"/>
        <v>-125252.79905000003</v>
      </c>
      <c r="H61" s="1321">
        <f t="shared" si="25"/>
        <v>-101675.31854965538</v>
      </c>
      <c r="I61" s="1321">
        <f t="shared" si="25"/>
        <v>-59037.379413874587</v>
      </c>
      <c r="J61" s="1321">
        <f t="shared" si="25"/>
        <v>-56901.932588174823</v>
      </c>
      <c r="K61" s="1321">
        <f t="shared" si="25"/>
        <v>-62678.677802172489</v>
      </c>
      <c r="L61" s="1321">
        <f t="shared" si="25"/>
        <v>-65378.215150187258</v>
      </c>
      <c r="M61" s="1321">
        <f t="shared" si="25"/>
        <v>-65012.602794120088</v>
      </c>
      <c r="N61" s="1321">
        <f t="shared" si="25"/>
        <v>-71601.852898038458</v>
      </c>
      <c r="O61" s="1321">
        <f t="shared" si="25"/>
        <v>-85012.563651101431</v>
      </c>
      <c r="P61" s="1321">
        <f t="shared" si="25"/>
        <v>-91751.95943126292</v>
      </c>
      <c r="Q61" s="1321">
        <f t="shared" si="25"/>
        <v>-100472.70827061334</v>
      </c>
      <c r="R61" s="1321">
        <f t="shared" si="25"/>
        <v>-111582.0089803841</v>
      </c>
    </row>
    <row r="62" spans="1:18">
      <c r="A62" t="s">
        <v>1021</v>
      </c>
      <c r="C62" s="1321">
        <f>C59-C53</f>
        <v>-27618.479999999981</v>
      </c>
      <c r="D62" s="1321">
        <f t="shared" ref="D62:R62" si="26">D59-D53</f>
        <v>-61835.190070263343</v>
      </c>
      <c r="E62" s="1321">
        <f t="shared" si="26"/>
        <v>-102188.74435170187</v>
      </c>
      <c r="F62" s="1321">
        <f t="shared" si="26"/>
        <v>-127125.36397077399</v>
      </c>
      <c r="G62" s="1321">
        <f t="shared" si="26"/>
        <v>-211419.0319017492</v>
      </c>
      <c r="H62" s="1321">
        <f t="shared" si="26"/>
        <v>-198415.54832717928</v>
      </c>
      <c r="I62" s="1321">
        <f t="shared" si="26"/>
        <v>-193468.05760873423</v>
      </c>
      <c r="J62" s="1321">
        <f t="shared" si="26"/>
        <v>-164959.48640244408</v>
      </c>
      <c r="K62" s="1321">
        <f t="shared" si="26"/>
        <v>-180702.18291134085</v>
      </c>
      <c r="L62" s="1321">
        <f t="shared" si="26"/>
        <v>-191829.12354542734</v>
      </c>
      <c r="M62" s="1321">
        <f t="shared" si="26"/>
        <v>-199619.27629865846</v>
      </c>
      <c r="N62" s="1321">
        <f t="shared" si="26"/>
        <v>-211907.71057227929</v>
      </c>
      <c r="O62" s="1321">
        <f t="shared" si="26"/>
        <v>-235573.02818834083</v>
      </c>
      <c r="P62" s="1321">
        <f t="shared" si="26"/>
        <v>-258985.12935369276</v>
      </c>
      <c r="Q62" s="1321">
        <f t="shared" si="26"/>
        <v>-287426.55058226059</v>
      </c>
      <c r="R62" s="1321">
        <f t="shared" si="26"/>
        <v>-331538.8291406706</v>
      </c>
    </row>
    <row r="63" spans="1:18">
      <c r="A63" t="s">
        <v>1035</v>
      </c>
      <c r="C63" s="1327">
        <f>C62/C70</f>
        <v>-3.2910044031340728E-2</v>
      </c>
      <c r="D63" s="1327">
        <f t="shared" ref="D63:R63" si="27">D62/D70</f>
        <v>-6.346855328915986E-2</v>
      </c>
      <c r="E63" s="1327">
        <f t="shared" si="27"/>
        <v>-8.9348056099212994E-2</v>
      </c>
      <c r="F63" s="1327">
        <f t="shared" si="27"/>
        <v>-8.5604115161210678E-2</v>
      </c>
      <c r="G63" s="1327">
        <f t="shared" si="27"/>
        <v>-0.12748458407632299</v>
      </c>
      <c r="H63" s="1327">
        <f t="shared" si="27"/>
        <v>-0.1001636559651967</v>
      </c>
      <c r="I63" s="1327">
        <f t="shared" si="27"/>
        <v>-8.0351864918292562E-2</v>
      </c>
      <c r="J63" s="1327">
        <f t="shared" si="27"/>
        <v>-5.9891113152702159E-2</v>
      </c>
      <c r="K63" s="1327">
        <f t="shared" si="27"/>
        <v>-5.7132073356627087E-2</v>
      </c>
      <c r="L63" s="1327">
        <f t="shared" si="27"/>
        <v>-5.2958725008166133E-2</v>
      </c>
      <c r="M63" s="1327">
        <f t="shared" si="27"/>
        <v>-4.8342064483966447E-2</v>
      </c>
      <c r="N63" s="1327">
        <f t="shared" si="27"/>
        <v>-4.5201153098246641E-2</v>
      </c>
      <c r="O63" s="1327">
        <f t="shared" si="27"/>
        <v>-4.433789049795632E-2</v>
      </c>
      <c r="P63" s="1327">
        <f t="shared" si="27"/>
        <v>-4.3010406681373951E-2</v>
      </c>
      <c r="Q63" s="1327">
        <f t="shared" si="27"/>
        <v>-4.2105203886615143E-2</v>
      </c>
      <c r="R63" s="1327">
        <f t="shared" si="27"/>
        <v>-4.2826018573742408E-2</v>
      </c>
    </row>
    <row r="64" spans="1:18">
      <c r="A64" t="s">
        <v>1022</v>
      </c>
      <c r="C64" s="1321">
        <f>C49</f>
        <v>-345878.82363551157</v>
      </c>
      <c r="D64" s="1321">
        <f>C64+D62</f>
        <v>-407714.01370577491</v>
      </c>
      <c r="E64" s="1321">
        <f t="shared" ref="E64:R64" si="28">D64+E62</f>
        <v>-509902.75805747678</v>
      </c>
      <c r="F64" s="1321">
        <f t="shared" si="28"/>
        <v>-637028.12202825071</v>
      </c>
      <c r="G64" s="1321">
        <f t="shared" si="28"/>
        <v>-848447.15392999991</v>
      </c>
      <c r="H64" s="1321">
        <f t="shared" si="28"/>
        <v>-1046862.7022571792</v>
      </c>
      <c r="I64" s="1321">
        <f t="shared" si="28"/>
        <v>-1240330.7598659135</v>
      </c>
      <c r="J64" s="1321">
        <f t="shared" si="28"/>
        <v>-1405290.2462683576</v>
      </c>
      <c r="K64" s="1321">
        <f t="shared" si="28"/>
        <v>-1585992.4291796985</v>
      </c>
      <c r="L64" s="1321">
        <f t="shared" si="28"/>
        <v>-1777821.5527251258</v>
      </c>
      <c r="M64" s="1321">
        <f t="shared" si="28"/>
        <v>-1977440.8290237843</v>
      </c>
      <c r="N64" s="1321">
        <f t="shared" si="28"/>
        <v>-2189348.5395960636</v>
      </c>
      <c r="O64" s="1321">
        <f t="shared" si="28"/>
        <v>-2424921.5677844044</v>
      </c>
      <c r="P64" s="1321">
        <f t="shared" si="28"/>
        <v>-2683906.6971380971</v>
      </c>
      <c r="Q64" s="1321">
        <f t="shared" si="28"/>
        <v>-2971333.247720358</v>
      </c>
      <c r="R64" s="1321">
        <f t="shared" si="28"/>
        <v>-3302872.0768610286</v>
      </c>
    </row>
    <row r="65" spans="1:18">
      <c r="A65" t="s">
        <v>1030</v>
      </c>
      <c r="C65" s="1327">
        <f>C64/C70</f>
        <v>-0.41214749382851729</v>
      </c>
      <c r="D65" s="1327">
        <f t="shared" ref="D65:R65" si="29">D64/D70</f>
        <v>-0.41848369150669978</v>
      </c>
      <c r="E65" s="1327">
        <f t="shared" si="29"/>
        <v>-0.44583012073485878</v>
      </c>
      <c r="F65" s="1327">
        <f t="shared" si="29"/>
        <v>-0.42896418948757586</v>
      </c>
      <c r="G65" s="1327">
        <f t="shared" si="29"/>
        <v>-0.51160925086333775</v>
      </c>
      <c r="H65" s="1327">
        <f t="shared" si="29"/>
        <v>-0.52847469079781129</v>
      </c>
      <c r="I65" s="1327">
        <f t="shared" si="29"/>
        <v>-0.51513873092324725</v>
      </c>
      <c r="J65" s="1327">
        <f t="shared" si="29"/>
        <v>-0.51021253149585399</v>
      </c>
      <c r="K65" s="1327">
        <f t="shared" si="29"/>
        <v>-0.50143852358112817</v>
      </c>
      <c r="L65" s="1327">
        <f t="shared" si="29"/>
        <v>-0.49080744875563587</v>
      </c>
      <c r="M65" s="1327">
        <f t="shared" si="29"/>
        <v>-0.47887946415993637</v>
      </c>
      <c r="N65" s="1327">
        <f t="shared" si="29"/>
        <v>-0.46700083850865765</v>
      </c>
      <c r="O65" s="1327">
        <f t="shared" si="29"/>
        <v>-0.45640159981557149</v>
      </c>
      <c r="P65" s="1327">
        <f t="shared" si="29"/>
        <v>-0.44572411870460454</v>
      </c>
      <c r="Q65" s="1327">
        <f t="shared" si="29"/>
        <v>-0.43527152226160931</v>
      </c>
      <c r="R65" s="1327">
        <f t="shared" si="29"/>
        <v>-0.42664342296488411</v>
      </c>
    </row>
    <row r="66" spans="1:18" ht="15.75">
      <c r="A66" t="s">
        <v>1028</v>
      </c>
      <c r="D66" s="1004">
        <f>((-D61-((D61)^2+4*C64*D64)^0.5)/(2*C64))^2-1</f>
        <v>0.19766962865321469</v>
      </c>
      <c r="E66" s="1004">
        <f t="shared" ref="E66:R66" si="30">((-E61-((E61)^2+4*D64*E64)^0.5)/(2*D64))^2-1</f>
        <v>0.20656072517660728</v>
      </c>
      <c r="F66" s="1004">
        <f t="shared" si="30"/>
        <v>0.24707518044444421</v>
      </c>
      <c r="G66" s="1004">
        <f t="shared" si="30"/>
        <v>0.12347701538480749</v>
      </c>
      <c r="H66" s="1004">
        <f t="shared" si="30"/>
        <v>0.10773036976982397</v>
      </c>
      <c r="I66" s="1004">
        <f t="shared" si="30"/>
        <v>0.12499220506497366</v>
      </c>
      <c r="J66" s="1004">
        <f t="shared" si="30"/>
        <v>8.5205438024780644E-2</v>
      </c>
      <c r="K66" s="1004">
        <f t="shared" si="30"/>
        <v>8.218845064580016E-2</v>
      </c>
      <c r="L66" s="1004">
        <f t="shared" si="30"/>
        <v>7.8149380446612904E-2</v>
      </c>
      <c r="M66" s="1004">
        <f t="shared" si="30"/>
        <v>7.4378811015981094E-2</v>
      </c>
      <c r="N66" s="1004">
        <f t="shared" si="30"/>
        <v>6.9712393287663543E-2</v>
      </c>
      <c r="O66" s="1004">
        <f t="shared" si="30"/>
        <v>6.7480772449220794E-2</v>
      </c>
      <c r="P66" s="1004">
        <f t="shared" si="30"/>
        <v>6.7704468530888073E-2</v>
      </c>
      <c r="Q66" s="1004">
        <f t="shared" si="30"/>
        <v>6.8398275763617011E-2</v>
      </c>
      <c r="R66" s="1004">
        <f t="shared" si="30"/>
        <v>7.2685469118822787E-2</v>
      </c>
    </row>
    <row r="67" spans="1:18">
      <c r="A67" t="s">
        <v>1026</v>
      </c>
      <c r="D67" s="1321">
        <f t="shared" ref="D67:R67" si="31">-(C64*D66+D61*((1+D66)^0.5-1))</f>
        <v>67806.190070263328</v>
      </c>
      <c r="E67" s="1321">
        <f t="shared" si="31"/>
        <v>85828.165424701874</v>
      </c>
      <c r="F67" s="1321">
        <f t="shared" si="31"/>
        <v>126103.58349077408</v>
      </c>
      <c r="G67" s="1321">
        <f t="shared" si="31"/>
        <v>86166.232851749053</v>
      </c>
      <c r="H67" s="1321">
        <f t="shared" si="31"/>
        <v>96740.229777524044</v>
      </c>
      <c r="I67" s="1321">
        <f t="shared" si="31"/>
        <v>134430.67819485994</v>
      </c>
      <c r="J67" s="1321">
        <f t="shared" si="31"/>
        <v>108057.55381426918</v>
      </c>
      <c r="K67" s="1321">
        <f t="shared" si="31"/>
        <v>118023.50510916857</v>
      </c>
      <c r="L67" s="1321">
        <f t="shared" si="31"/>
        <v>126450.90839524029</v>
      </c>
      <c r="M67" s="1321">
        <f t="shared" si="31"/>
        <v>134606.67350453796</v>
      </c>
      <c r="N67" s="1321">
        <f t="shared" si="31"/>
        <v>140305.85767424057</v>
      </c>
      <c r="O67" s="1321">
        <f t="shared" si="31"/>
        <v>150560.46453723917</v>
      </c>
      <c r="P67" s="1321">
        <f t="shared" si="31"/>
        <v>167233.16992243007</v>
      </c>
      <c r="Q67" s="1321">
        <f t="shared" si="31"/>
        <v>186953.84231164854</v>
      </c>
      <c r="R67" s="1321">
        <f t="shared" si="31"/>
        <v>219956.82016028761</v>
      </c>
    </row>
    <row r="69" spans="1:18">
      <c r="A69" t="s">
        <v>1029</v>
      </c>
    </row>
    <row r="70" spans="1:18">
      <c r="A70" t="s">
        <v>1031</v>
      </c>
      <c r="C70" s="1321">
        <f>'IMF Data'!C3</f>
        <v>839211.27464000008</v>
      </c>
      <c r="D70" s="1321">
        <f>'IMF Data'!D3</f>
        <v>974265.00000000012</v>
      </c>
      <c r="E70" s="1321">
        <f>'IMF Data'!E3</f>
        <v>1143715.3622931701</v>
      </c>
      <c r="F70" s="1321">
        <f>'IMF Data'!F3</f>
        <v>1485038</v>
      </c>
      <c r="G70" s="1321">
        <f>'IMF Data'!G3</f>
        <v>1658389</v>
      </c>
      <c r="H70" s="1321">
        <f>'IMF Data'!H3</f>
        <v>1980913.6</v>
      </c>
      <c r="I70" s="1321">
        <f>'IMF Data'!I3</f>
        <v>2407760.6388534503</v>
      </c>
      <c r="J70" s="1321">
        <f>'IMF Data'!J3</f>
        <v>2754323.2663225504</v>
      </c>
      <c r="K70" s="1321">
        <f>'IMF Data'!K3</f>
        <v>3162885.0887901504</v>
      </c>
      <c r="L70" s="1321">
        <f>'IMF Data'!L3</f>
        <v>3622238.3283556704</v>
      </c>
      <c r="M70" s="1321">
        <f>'IMF Data'!M3</f>
        <v>4129308.0556140901</v>
      </c>
      <c r="N70" s="1321">
        <f>'IMF Data'!N3</f>
        <v>4688104.0868955003</v>
      </c>
      <c r="O70" s="1321">
        <f>'IMF Data'!O3</f>
        <v>5313131.1738703307</v>
      </c>
      <c r="P70" s="1321">
        <f>'IMF Data'!P3</f>
        <v>6021452.6980013102</v>
      </c>
      <c r="Q70" s="1321">
        <f>'IMF Data'!Q3</f>
        <v>6826390.1857896205</v>
      </c>
      <c r="R70" s="1321">
        <f>'IMF Data'!R3</f>
        <v>7741528.1686713807</v>
      </c>
    </row>
    <row r="71" spans="1:18">
      <c r="A71" t="s">
        <v>1030</v>
      </c>
      <c r="C71" s="1325">
        <f>-C64/C70</f>
        <v>0.41214749382851729</v>
      </c>
      <c r="D71" s="1325">
        <f t="shared" ref="D71:R71" si="32">-D64/D70</f>
        <v>0.41848369150669978</v>
      </c>
      <c r="E71" s="1325">
        <f t="shared" si="32"/>
        <v>0.44583012073485878</v>
      </c>
      <c r="F71" s="1325">
        <f t="shared" si="32"/>
        <v>0.42896418948757586</v>
      </c>
      <c r="G71" s="1325">
        <f t="shared" si="32"/>
        <v>0.51160925086333775</v>
      </c>
      <c r="H71" s="1325">
        <f t="shared" si="32"/>
        <v>0.52847469079781129</v>
      </c>
      <c r="I71" s="1325">
        <f t="shared" si="32"/>
        <v>0.51513873092324725</v>
      </c>
      <c r="J71" s="1325">
        <f t="shared" si="32"/>
        <v>0.51021253149585399</v>
      </c>
      <c r="K71" s="1325">
        <f t="shared" si="32"/>
        <v>0.50143852358112817</v>
      </c>
      <c r="L71" s="1325">
        <f t="shared" si="32"/>
        <v>0.49080744875563587</v>
      </c>
      <c r="M71" s="1325">
        <f t="shared" si="32"/>
        <v>0.47887946415993637</v>
      </c>
      <c r="N71" s="1325">
        <f t="shared" si="32"/>
        <v>0.46700083850865765</v>
      </c>
      <c r="O71" s="1325">
        <f t="shared" si="32"/>
        <v>0.45640159981557149</v>
      </c>
      <c r="P71" s="1325">
        <f t="shared" si="32"/>
        <v>0.44572411870460454</v>
      </c>
      <c r="Q71" s="1325">
        <f t="shared" si="32"/>
        <v>0.43527152226160931</v>
      </c>
      <c r="R71" s="1325">
        <f t="shared" si="32"/>
        <v>0.42664342296488411</v>
      </c>
    </row>
    <row r="73" spans="1:18">
      <c r="A73" s="1326" t="s">
        <v>1032</v>
      </c>
    </row>
    <row r="75" spans="1:18">
      <c r="A75" t="s">
        <v>876</v>
      </c>
      <c r="C75" s="1321">
        <f>C76+C79</f>
        <v>255907.47999999998</v>
      </c>
      <c r="D75" s="1321">
        <f>D76+D79</f>
        <v>341307.19007026334</v>
      </c>
      <c r="E75" s="1321">
        <f t="shared" ref="E75:R75" si="33">E76+E79</f>
        <v>430099.3443517019</v>
      </c>
      <c r="F75" s="1321">
        <f t="shared" si="33"/>
        <v>557660.36397077411</v>
      </c>
      <c r="G75" s="1321">
        <f t="shared" si="33"/>
        <v>653760.03190174908</v>
      </c>
      <c r="H75" s="1321">
        <f t="shared" si="33"/>
        <v>756402.22977752401</v>
      </c>
      <c r="I75" s="1321">
        <f t="shared" si="33"/>
        <v>881293.53838582837</v>
      </c>
      <c r="J75" s="1321">
        <f t="shared" si="33"/>
        <v>983721.83180682082</v>
      </c>
      <c r="K75" s="1321">
        <f t="shared" si="33"/>
        <v>1133752.4967845953</v>
      </c>
      <c r="L75" s="1321">
        <f t="shared" si="33"/>
        <v>1300877.2073508292</v>
      </c>
      <c r="M75" s="1321">
        <f t="shared" si="33"/>
        <v>1483584.4702821209</v>
      </c>
      <c r="N75" s="1321">
        <f t="shared" si="33"/>
        <v>1679169.9240356614</v>
      </c>
      <c r="O75" s="1321">
        <f t="shared" si="33"/>
        <v>1894114.3176872046</v>
      </c>
      <c r="P75" s="1321">
        <f t="shared" si="33"/>
        <v>2137405.2155368631</v>
      </c>
      <c r="Q75" s="1321">
        <f t="shared" si="33"/>
        <v>2416388.5253694914</v>
      </c>
      <c r="R75" s="1321">
        <f t="shared" si="33"/>
        <v>2746588.6144281919</v>
      </c>
    </row>
    <row r="76" spans="1:18">
      <c r="A76" s="1322" t="s">
        <v>1017</v>
      </c>
      <c r="B76" s="1322"/>
      <c r="C76" s="1323">
        <f>C77+C78</f>
        <v>249286.47999999998</v>
      </c>
      <c r="D76" s="1323">
        <f>D77+D78</f>
        <v>273501</v>
      </c>
      <c r="E76" s="1323">
        <f t="shared" ref="E76:R76" si="34">E77+E78</f>
        <v>344271.17892700003</v>
      </c>
      <c r="F76" s="1323">
        <f t="shared" si="34"/>
        <v>431556.78048000002</v>
      </c>
      <c r="G76" s="1323">
        <f t="shared" si="34"/>
        <v>567593.79905000003</v>
      </c>
      <c r="H76" s="1323">
        <f t="shared" si="34"/>
        <v>659662</v>
      </c>
      <c r="I76" s="1323">
        <f t="shared" si="34"/>
        <v>745786.57216174388</v>
      </c>
      <c r="J76" s="1323">
        <f t="shared" si="34"/>
        <v>872327.43701105891</v>
      </c>
      <c r="K76" s="1323">
        <f t="shared" si="34"/>
        <v>1008241.9553506505</v>
      </c>
      <c r="L76" s="1323">
        <f t="shared" si="34"/>
        <v>1161696.2704276016</v>
      </c>
      <c r="M76" s="1323">
        <f t="shared" si="34"/>
        <v>1329882.5195531589</v>
      </c>
      <c r="N76" s="1323">
        <f t="shared" si="34"/>
        <v>1512725.6436958944</v>
      </c>
      <c r="O76" s="1323">
        <f t="shared" si="34"/>
        <v>1708669.5190633521</v>
      </c>
      <c r="P76" s="1323">
        <f t="shared" si="34"/>
        <v>1923978.3999464428</v>
      </c>
      <c r="Q76" s="1323">
        <f t="shared" si="34"/>
        <v>2169496.150159914</v>
      </c>
      <c r="R76" s="1323">
        <f t="shared" si="34"/>
        <v>2446389.1135283448</v>
      </c>
    </row>
    <row r="77" spans="1:18">
      <c r="A77" t="s">
        <v>1018</v>
      </c>
      <c r="C77" s="1321">
        <f t="shared" ref="C77:H77" si="35">C55</f>
        <v>143272</v>
      </c>
      <c r="D77" s="1321">
        <f t="shared" si="35"/>
        <v>172104</v>
      </c>
      <c r="E77" s="1321">
        <f t="shared" si="35"/>
        <v>219158.678927</v>
      </c>
      <c r="F77" s="1321">
        <f t="shared" si="35"/>
        <v>275640</v>
      </c>
      <c r="G77" s="1321">
        <f t="shared" si="35"/>
        <v>323201</v>
      </c>
      <c r="H77" s="1321">
        <f t="shared" si="35"/>
        <v>391679.99999999994</v>
      </c>
      <c r="I77" s="1321">
        <f t="shared" ref="I77:R77" si="36">I55+I94</f>
        <v>507499.57619300345</v>
      </c>
      <c r="J77" s="1321">
        <f t="shared" si="36"/>
        <v>601781.85244256805</v>
      </c>
      <c r="K77" s="1321">
        <f t="shared" si="36"/>
        <v>699269.01782291022</v>
      </c>
      <c r="L77" s="1321">
        <f t="shared" si="36"/>
        <v>809762.86324128264</v>
      </c>
      <c r="M77" s="1321">
        <f t="shared" si="36"/>
        <v>929401.62804685044</v>
      </c>
      <c r="N77" s="1321">
        <f t="shared" si="36"/>
        <v>1062596.6830761433</v>
      </c>
      <c r="O77" s="1321">
        <f t="shared" si="36"/>
        <v>1203629.9066921945</v>
      </c>
      <c r="P77" s="1321">
        <f t="shared" si="36"/>
        <v>1363056.6767192155</v>
      </c>
      <c r="Q77" s="1321">
        <f t="shared" si="36"/>
        <v>1546309.4668614783</v>
      </c>
      <c r="R77" s="1321">
        <f t="shared" si="36"/>
        <v>1752857.1186455621</v>
      </c>
    </row>
    <row r="78" spans="1:18">
      <c r="A78" t="s">
        <v>1025</v>
      </c>
      <c r="C78" s="1321">
        <f>C41</f>
        <v>106014.47999999998</v>
      </c>
      <c r="D78" s="1321">
        <f>D41</f>
        <v>101397</v>
      </c>
      <c r="E78" s="1321">
        <f t="shared" ref="E78:R78" si="37">E41</f>
        <v>125112.5</v>
      </c>
      <c r="F78" s="1321">
        <f t="shared" si="37"/>
        <v>155916.78048000002</v>
      </c>
      <c r="G78" s="1321">
        <f t="shared" si="37"/>
        <v>244392.79905</v>
      </c>
      <c r="H78" s="1321">
        <f t="shared" si="37"/>
        <v>267982</v>
      </c>
      <c r="I78" s="1321">
        <f t="shared" si="37"/>
        <v>238286.9959687404</v>
      </c>
      <c r="J78" s="1321">
        <f t="shared" si="37"/>
        <v>270545.58456849086</v>
      </c>
      <c r="K78" s="1321">
        <f t="shared" si="37"/>
        <v>308972.9375277402</v>
      </c>
      <c r="L78" s="1321">
        <f t="shared" si="37"/>
        <v>351933.40718631895</v>
      </c>
      <c r="M78" s="1321">
        <f t="shared" si="37"/>
        <v>400480.89150630857</v>
      </c>
      <c r="N78" s="1321">
        <f t="shared" si="37"/>
        <v>450128.96061975107</v>
      </c>
      <c r="O78" s="1321">
        <f t="shared" si="37"/>
        <v>505039.61237115768</v>
      </c>
      <c r="P78" s="1321">
        <f t="shared" si="37"/>
        <v>560921.72322722722</v>
      </c>
      <c r="Q78" s="1321">
        <f t="shared" si="37"/>
        <v>623186.68329843599</v>
      </c>
      <c r="R78" s="1321">
        <f t="shared" si="37"/>
        <v>693531.9948827828</v>
      </c>
    </row>
    <row r="79" spans="1:18">
      <c r="A79" s="1322" t="s">
        <v>1049</v>
      </c>
      <c r="B79" s="1322"/>
      <c r="C79" s="1323">
        <f>C57</f>
        <v>6621</v>
      </c>
      <c r="D79" s="1323">
        <f t="shared" ref="D79:R79" si="38">-(C86*D88+D83*((1+D88)^0.5-1))</f>
        <v>67806.190070263328</v>
      </c>
      <c r="E79" s="1323">
        <f t="shared" si="38"/>
        <v>85828.165424701874</v>
      </c>
      <c r="F79" s="1323">
        <f t="shared" si="38"/>
        <v>126103.58349077408</v>
      </c>
      <c r="G79" s="1323">
        <f t="shared" si="38"/>
        <v>86166.232851749082</v>
      </c>
      <c r="H79" s="1323">
        <f t="shared" si="38"/>
        <v>96740.229777524044</v>
      </c>
      <c r="I79" s="1323">
        <f t="shared" si="38"/>
        <v>135506.96622408446</v>
      </c>
      <c r="J79" s="1323">
        <f t="shared" si="38"/>
        <v>111394.39479576188</v>
      </c>
      <c r="K79" s="1323">
        <f t="shared" si="38"/>
        <v>125510.54143394485</v>
      </c>
      <c r="L79" s="1323">
        <f t="shared" si="38"/>
        <v>139180.93692322742</v>
      </c>
      <c r="M79" s="1323">
        <f t="shared" si="38"/>
        <v>153701.95072896194</v>
      </c>
      <c r="N79" s="1323">
        <f t="shared" si="38"/>
        <v>166444.28033976696</v>
      </c>
      <c r="O79" s="1323">
        <f t="shared" si="38"/>
        <v>185444.79862385255</v>
      </c>
      <c r="P79" s="1323">
        <f t="shared" si="38"/>
        <v>213426.81559042021</v>
      </c>
      <c r="Q79" s="1323">
        <f t="shared" si="38"/>
        <v>246892.37520957756</v>
      </c>
      <c r="R79" s="1323">
        <f t="shared" si="38"/>
        <v>300199.50089984696</v>
      </c>
    </row>
    <row r="80" spans="1:18">
      <c r="A80" s="1364" t="s">
        <v>1050</v>
      </c>
      <c r="B80" s="1364"/>
      <c r="C80" s="1364"/>
      <c r="D80" s="1364"/>
      <c r="E80" s="1364"/>
      <c r="F80" s="1364"/>
      <c r="G80" s="1364"/>
      <c r="H80" s="1364"/>
      <c r="I80" s="1365">
        <f>I79-I57</f>
        <v>1076.2880292248155</v>
      </c>
      <c r="J80" s="1365">
        <f t="shared" ref="J80:R80" si="39">J79-J57</f>
        <v>3336.8409814926272</v>
      </c>
      <c r="K80" s="1365">
        <f t="shared" si="39"/>
        <v>7487.0363247764908</v>
      </c>
      <c r="L80" s="1365">
        <f t="shared" si="39"/>
        <v>12730.028527987335</v>
      </c>
      <c r="M80" s="1365">
        <f t="shared" si="39"/>
        <v>19095.277224423568</v>
      </c>
      <c r="N80" s="1365">
        <f t="shared" si="39"/>
        <v>26138.42266552613</v>
      </c>
      <c r="O80" s="1365">
        <f t="shared" si="39"/>
        <v>34884.334086613148</v>
      </c>
      <c r="P80" s="1365">
        <f t="shared" si="39"/>
        <v>46193.645667990379</v>
      </c>
      <c r="Q80" s="1365">
        <f t="shared" si="39"/>
        <v>59938.532897930534</v>
      </c>
      <c r="R80" s="1365">
        <f t="shared" si="39"/>
        <v>80242.680739560456</v>
      </c>
    </row>
    <row r="81" spans="1:18">
      <c r="A81" t="s">
        <v>1020</v>
      </c>
      <c r="C81" s="1321">
        <f>C59</f>
        <v>228289</v>
      </c>
      <c r="D81" s="1321">
        <f>D59</f>
        <v>279472</v>
      </c>
      <c r="E81" s="1321">
        <f t="shared" ref="E81:R81" si="40">E59</f>
        <v>327910.60000000003</v>
      </c>
      <c r="F81" s="1321">
        <f t="shared" si="40"/>
        <v>430535</v>
      </c>
      <c r="G81" s="1321">
        <f t="shared" si="40"/>
        <v>442341</v>
      </c>
      <c r="H81" s="1321">
        <f t="shared" si="40"/>
        <v>557986.68145034462</v>
      </c>
      <c r="I81" s="1321">
        <f t="shared" si="40"/>
        <v>669005.20687984279</v>
      </c>
      <c r="J81" s="1321">
        <f t="shared" si="40"/>
        <v>773892.53863292478</v>
      </c>
      <c r="K81" s="1321">
        <f t="shared" si="40"/>
        <v>889647.5186807951</v>
      </c>
      <c r="L81" s="1321">
        <f t="shared" si="40"/>
        <v>1023344.1577558946</v>
      </c>
      <c r="M81" s="1321">
        <f t="shared" si="40"/>
        <v>1175398.8332093288</v>
      </c>
      <c r="N81" s="1321">
        <f t="shared" si="40"/>
        <v>1332120.7280891363</v>
      </c>
      <c r="O81" s="1321">
        <f t="shared" si="40"/>
        <v>1500755.6114114083</v>
      </c>
      <c r="P81" s="1321">
        <f t="shared" si="40"/>
        <v>1693975.9480717641</v>
      </c>
      <c r="Q81" s="1321">
        <f t="shared" si="40"/>
        <v>1911250.1531182036</v>
      </c>
      <c r="R81" s="1321">
        <f t="shared" si="40"/>
        <v>2156631.7200761661</v>
      </c>
    </row>
    <row r="82" spans="1:18">
      <c r="A82" s="1366" t="s">
        <v>1051</v>
      </c>
      <c r="B82" s="1366"/>
      <c r="C82" s="1366"/>
      <c r="D82" s="1366"/>
      <c r="E82" s="1366"/>
      <c r="F82" s="1366"/>
      <c r="G82" s="1367"/>
      <c r="H82" s="1367"/>
      <c r="I82" s="1367">
        <f>I80/I70*100</f>
        <v>4.4700790097529475E-2</v>
      </c>
      <c r="J82" s="1367">
        <f t="shared" ref="J82:R82" si="41">J80/J70*100</f>
        <v>0.12114921375760764</v>
      </c>
      <c r="K82" s="1367">
        <f t="shared" si="41"/>
        <v>0.23671540743961683</v>
      </c>
      <c r="L82" s="1367">
        <f t="shared" si="41"/>
        <v>0.3514409426992669</v>
      </c>
      <c r="M82" s="1367">
        <f t="shared" si="41"/>
        <v>0.46243285720623756</v>
      </c>
      <c r="N82" s="1367">
        <f t="shared" si="41"/>
        <v>0.55754783129901031</v>
      </c>
      <c r="O82" s="1367">
        <f t="shared" si="41"/>
        <v>0.65656828233739584</v>
      </c>
      <c r="P82" s="1367">
        <f t="shared" si="41"/>
        <v>0.76715118402114735</v>
      </c>
      <c r="Q82" s="1367">
        <f t="shared" si="41"/>
        <v>0.87804141378709288</v>
      </c>
      <c r="R82" s="1367">
        <f t="shared" si="41"/>
        <v>1.0365224926040912</v>
      </c>
    </row>
    <row r="83" spans="1:18">
      <c r="A83" t="s">
        <v>329</v>
      </c>
      <c r="C83" s="1321">
        <f>C81-C76</f>
        <v>-20997.479999999981</v>
      </c>
      <c r="D83" s="1321">
        <f>D81-D76</f>
        <v>5971</v>
      </c>
      <c r="E83" s="1321">
        <f t="shared" ref="E83:R83" si="42">E81-E76</f>
        <v>-16360.578926999995</v>
      </c>
      <c r="F83" s="1321">
        <f t="shared" si="42"/>
        <v>-1021.7804800000158</v>
      </c>
      <c r="G83" s="1321">
        <f t="shared" si="42"/>
        <v>-125252.79905000003</v>
      </c>
      <c r="H83" s="1321">
        <f t="shared" si="42"/>
        <v>-101675.31854965538</v>
      </c>
      <c r="I83" s="1321">
        <f t="shared" si="42"/>
        <v>-76781.365281901089</v>
      </c>
      <c r="J83" s="1321">
        <f t="shared" si="42"/>
        <v>-98434.898378134123</v>
      </c>
      <c r="K83" s="1321">
        <f t="shared" si="42"/>
        <v>-118594.43666985538</v>
      </c>
      <c r="L83" s="1321">
        <f t="shared" si="42"/>
        <v>-138352.11267170706</v>
      </c>
      <c r="M83" s="1321">
        <f t="shared" si="42"/>
        <v>-154483.68634383008</v>
      </c>
      <c r="N83" s="1321">
        <f t="shared" si="42"/>
        <v>-180604.91560675809</v>
      </c>
      <c r="O83" s="1321">
        <f t="shared" si="42"/>
        <v>-207913.90765194385</v>
      </c>
      <c r="P83" s="1321">
        <f t="shared" si="42"/>
        <v>-230002.45187467872</v>
      </c>
      <c r="Q83" s="1321">
        <f t="shared" si="42"/>
        <v>-258245.99704171042</v>
      </c>
      <c r="R83" s="1321">
        <f t="shared" si="42"/>
        <v>-289757.39345217869</v>
      </c>
    </row>
    <row r="84" spans="1:18">
      <c r="A84" t="s">
        <v>1021</v>
      </c>
      <c r="C84" s="1321">
        <f>C81-C75</f>
        <v>-27618.479999999981</v>
      </c>
      <c r="D84" s="1321">
        <f>D81-D75</f>
        <v>-61835.190070263343</v>
      </c>
      <c r="E84" s="1321">
        <f t="shared" ref="E84:R84" si="43">E81-E75</f>
        <v>-102188.74435170187</v>
      </c>
      <c r="F84" s="1321">
        <f t="shared" si="43"/>
        <v>-127125.36397077411</v>
      </c>
      <c r="G84" s="1321">
        <f t="shared" si="43"/>
        <v>-211419.03190174908</v>
      </c>
      <c r="H84" s="1321">
        <f t="shared" si="43"/>
        <v>-198415.54832717939</v>
      </c>
      <c r="I84" s="1321">
        <f t="shared" si="43"/>
        <v>-212288.33150598558</v>
      </c>
      <c r="J84" s="1321">
        <f t="shared" si="43"/>
        <v>-209829.29317389603</v>
      </c>
      <c r="K84" s="1321">
        <f t="shared" si="43"/>
        <v>-244104.97810380021</v>
      </c>
      <c r="L84" s="1321">
        <f t="shared" si="43"/>
        <v>-277533.04959493456</v>
      </c>
      <c r="M84" s="1321">
        <f t="shared" si="43"/>
        <v>-308185.63707279204</v>
      </c>
      <c r="N84" s="1321">
        <f t="shared" si="43"/>
        <v>-347049.19594652508</v>
      </c>
      <c r="O84" s="1321">
        <f t="shared" si="43"/>
        <v>-393358.70627579628</v>
      </c>
      <c r="P84" s="1321">
        <f t="shared" si="43"/>
        <v>-443429.26746509899</v>
      </c>
      <c r="Q84" s="1321">
        <f t="shared" si="43"/>
        <v>-505138.3722512878</v>
      </c>
      <c r="R84" s="1321">
        <f t="shared" si="43"/>
        <v>-589956.89435202582</v>
      </c>
    </row>
    <row r="85" spans="1:18">
      <c r="C85" s="1327">
        <f t="shared" ref="C85:R85" si="44">C84/C91</f>
        <v>-3.2910044031340728E-2</v>
      </c>
      <c r="D85" s="1327">
        <f t="shared" si="44"/>
        <v>-6.346855328915986E-2</v>
      </c>
      <c r="E85" s="1327">
        <f t="shared" si="44"/>
        <v>-8.9348056099212994E-2</v>
      </c>
      <c r="F85" s="1327">
        <f t="shared" si="44"/>
        <v>-8.5604115161210761E-2</v>
      </c>
      <c r="G85" s="1327">
        <f t="shared" si="44"/>
        <v>-0.1274845840763229</v>
      </c>
      <c r="H85" s="1327">
        <f t="shared" si="44"/>
        <v>-0.10016365596519676</v>
      </c>
      <c r="I85" s="1327">
        <f t="shared" si="44"/>
        <v>-8.8168370260872361E-2</v>
      </c>
      <c r="J85" s="1327">
        <f t="shared" si="44"/>
        <v>-7.6181795993050139E-2</v>
      </c>
      <c r="K85" s="1327">
        <f t="shared" si="44"/>
        <v>-7.7177947111943271E-2</v>
      </c>
      <c r="L85" s="1327">
        <f t="shared" si="44"/>
        <v>-7.6619212883466389E-2</v>
      </c>
      <c r="M85" s="1327">
        <f t="shared" si="44"/>
        <v>-7.4633723839952218E-2</v>
      </c>
      <c r="N85" s="1327">
        <f t="shared" si="44"/>
        <v>-7.4027621723805156E-2</v>
      </c>
      <c r="O85" s="1327">
        <f t="shared" si="44"/>
        <v>-7.4035195707252907E-2</v>
      </c>
      <c r="P85" s="1327">
        <f t="shared" si="44"/>
        <v>-7.3641576161892902E-2</v>
      </c>
      <c r="Q85" s="1327">
        <f t="shared" si="44"/>
        <v>-7.3997875671218696E-2</v>
      </c>
      <c r="R85" s="1327">
        <f t="shared" si="44"/>
        <v>-7.6206774876758684E-2</v>
      </c>
    </row>
    <row r="86" spans="1:18">
      <c r="A86" t="s">
        <v>1022</v>
      </c>
      <c r="C86" s="1321">
        <f>C64</f>
        <v>-345878.82363551157</v>
      </c>
      <c r="D86" s="1321">
        <f>C86+D84</f>
        <v>-407714.01370577491</v>
      </c>
      <c r="E86" s="1321">
        <f t="shared" ref="E86:R86" si="45">D86+E84</f>
        <v>-509902.75805747678</v>
      </c>
      <c r="F86" s="1321">
        <f t="shared" si="45"/>
        <v>-637028.12202825095</v>
      </c>
      <c r="G86" s="1321">
        <f t="shared" si="45"/>
        <v>-848447.15393000003</v>
      </c>
      <c r="H86" s="1321">
        <f t="shared" si="45"/>
        <v>-1046862.7022571794</v>
      </c>
      <c r="I86" s="1321">
        <f t="shared" si="45"/>
        <v>-1259151.0337631651</v>
      </c>
      <c r="J86" s="1321">
        <f t="shared" si="45"/>
        <v>-1468980.3269370613</v>
      </c>
      <c r="K86" s="1321">
        <f t="shared" si="45"/>
        <v>-1713085.3050408615</v>
      </c>
      <c r="L86" s="1321">
        <f t="shared" si="45"/>
        <v>-1990618.354635796</v>
      </c>
      <c r="M86" s="1321">
        <f t="shared" si="45"/>
        <v>-2298803.9917085879</v>
      </c>
      <c r="N86" s="1321">
        <f t="shared" si="45"/>
        <v>-2645853.1876551127</v>
      </c>
      <c r="O86" s="1321">
        <f t="shared" si="45"/>
        <v>-3039211.8939309092</v>
      </c>
      <c r="P86" s="1321">
        <f t="shared" si="45"/>
        <v>-3482641.161396008</v>
      </c>
      <c r="Q86" s="1321">
        <f t="shared" si="45"/>
        <v>-3987779.533647296</v>
      </c>
      <c r="R86" s="1321">
        <f t="shared" si="45"/>
        <v>-4577736.4279993214</v>
      </c>
    </row>
    <row r="87" spans="1:18">
      <c r="C87" s="1321"/>
      <c r="D87" s="1321"/>
      <c r="E87" s="1321"/>
      <c r="F87" s="1321"/>
      <c r="G87" s="1321"/>
      <c r="H87" s="1321"/>
      <c r="I87" s="1321"/>
      <c r="J87" s="1321"/>
      <c r="K87" s="1321"/>
      <c r="L87" s="1321"/>
      <c r="M87" s="1321"/>
      <c r="N87" s="1321"/>
      <c r="O87" s="1321"/>
      <c r="P87" s="1321"/>
      <c r="Q87" s="1321"/>
      <c r="R87" s="1321"/>
    </row>
    <row r="88" spans="1:18" ht="15.75">
      <c r="A88" t="s">
        <v>1028</v>
      </c>
      <c r="D88" s="1004">
        <f>D66</f>
        <v>0.19766962865321469</v>
      </c>
      <c r="E88" s="1004">
        <f t="shared" ref="E88:R88" si="46">E66</f>
        <v>0.20656072517660728</v>
      </c>
      <c r="F88" s="1004">
        <f t="shared" si="46"/>
        <v>0.24707518044444421</v>
      </c>
      <c r="G88" s="1004">
        <f t="shared" si="46"/>
        <v>0.12347701538480749</v>
      </c>
      <c r="H88" s="1004">
        <f t="shared" si="46"/>
        <v>0.10773036976982397</v>
      </c>
      <c r="I88" s="1004">
        <f t="shared" si="46"/>
        <v>0.12499220506497366</v>
      </c>
      <c r="J88" s="1004">
        <f t="shared" si="46"/>
        <v>8.5205438024780644E-2</v>
      </c>
      <c r="K88" s="1004">
        <f t="shared" si="46"/>
        <v>8.218845064580016E-2</v>
      </c>
      <c r="L88" s="1004">
        <f t="shared" si="46"/>
        <v>7.8149380446612904E-2</v>
      </c>
      <c r="M88" s="1004">
        <f t="shared" si="46"/>
        <v>7.4378811015981094E-2</v>
      </c>
      <c r="N88" s="1004">
        <f t="shared" si="46"/>
        <v>6.9712393287663543E-2</v>
      </c>
      <c r="O88" s="1004">
        <f t="shared" si="46"/>
        <v>6.7480772449220794E-2</v>
      </c>
      <c r="P88" s="1004">
        <f t="shared" si="46"/>
        <v>6.7704468530888073E-2</v>
      </c>
      <c r="Q88" s="1004">
        <f t="shared" si="46"/>
        <v>6.8398275763617011E-2</v>
      </c>
      <c r="R88" s="1004">
        <f t="shared" si="46"/>
        <v>7.2685469118822787E-2</v>
      </c>
    </row>
    <row r="89" spans="1:18" s="1109" customFormat="1" ht="15.75">
      <c r="D89" s="1363"/>
      <c r="E89" s="1363"/>
      <c r="F89" s="1363"/>
      <c r="G89" s="1363"/>
      <c r="H89" s="1363"/>
      <c r="I89" s="1363"/>
      <c r="J89" s="1363"/>
      <c r="K89" s="1363"/>
      <c r="L89" s="1363"/>
      <c r="M89" s="1363"/>
      <c r="N89" s="1363"/>
      <c r="O89" s="1363"/>
      <c r="P89" s="1363"/>
      <c r="Q89" s="1363"/>
      <c r="R89" s="1363"/>
    </row>
    <row r="90" spans="1:18">
      <c r="A90" t="s">
        <v>1029</v>
      </c>
    </row>
    <row r="91" spans="1:18">
      <c r="A91" t="s">
        <v>1031</v>
      </c>
      <c r="C91" s="1321">
        <f>C70</f>
        <v>839211.27464000008</v>
      </c>
      <c r="D91" s="1321">
        <f t="shared" ref="D91:R91" si="47">D70</f>
        <v>974265.00000000012</v>
      </c>
      <c r="E91" s="1321">
        <f t="shared" si="47"/>
        <v>1143715.3622931701</v>
      </c>
      <c r="F91" s="1321">
        <f t="shared" si="47"/>
        <v>1485038</v>
      </c>
      <c r="G91" s="1321">
        <f t="shared" si="47"/>
        <v>1658389</v>
      </c>
      <c r="H91" s="1321">
        <f t="shared" si="47"/>
        <v>1980913.6</v>
      </c>
      <c r="I91" s="1321">
        <f t="shared" si="47"/>
        <v>2407760.6388534503</v>
      </c>
      <c r="J91" s="1321">
        <f t="shared" si="47"/>
        <v>2754323.2663225504</v>
      </c>
      <c r="K91" s="1321">
        <f t="shared" si="47"/>
        <v>3162885.0887901504</v>
      </c>
      <c r="L91" s="1321">
        <f t="shared" si="47"/>
        <v>3622238.3283556704</v>
      </c>
      <c r="M91" s="1321">
        <f t="shared" si="47"/>
        <v>4129308.0556140901</v>
      </c>
      <c r="N91" s="1321">
        <f t="shared" si="47"/>
        <v>4688104.0868955003</v>
      </c>
      <c r="O91" s="1321">
        <f t="shared" si="47"/>
        <v>5313131.1738703307</v>
      </c>
      <c r="P91" s="1321">
        <f t="shared" si="47"/>
        <v>6021452.6980013102</v>
      </c>
      <c r="Q91" s="1321">
        <f t="shared" si="47"/>
        <v>6826390.1857896205</v>
      </c>
      <c r="R91" s="1321">
        <f t="shared" si="47"/>
        <v>7741528.1686713807</v>
      </c>
    </row>
    <row r="92" spans="1:18">
      <c r="A92" t="s">
        <v>1030</v>
      </c>
      <c r="C92" s="1325">
        <f t="shared" ref="C92:Q92" si="48">-C86/C91</f>
        <v>0.41214749382851729</v>
      </c>
      <c r="D92" s="1325">
        <f t="shared" si="48"/>
        <v>0.41848369150669978</v>
      </c>
      <c r="E92" s="1325">
        <f t="shared" si="48"/>
        <v>0.44583012073485878</v>
      </c>
      <c r="F92" s="1325">
        <f t="shared" si="48"/>
        <v>0.42896418948757603</v>
      </c>
      <c r="G92" s="1325">
        <f t="shared" si="48"/>
        <v>0.51160925086333786</v>
      </c>
      <c r="H92" s="1325">
        <f t="shared" si="48"/>
        <v>0.5284746907978114</v>
      </c>
      <c r="I92" s="1325">
        <f t="shared" si="48"/>
        <v>0.52295523626582718</v>
      </c>
      <c r="J92" s="1325">
        <f t="shared" si="48"/>
        <v>0.53333620817079264</v>
      </c>
      <c r="K92" s="1325">
        <f t="shared" si="48"/>
        <v>0.54162110128893159</v>
      </c>
      <c r="L92" s="1325">
        <f t="shared" si="48"/>
        <v>0.54955477088649907</v>
      </c>
      <c r="M92" s="1325">
        <f t="shared" si="48"/>
        <v>0.55670440682748268</v>
      </c>
      <c r="N92" s="1325">
        <f t="shared" si="48"/>
        <v>0.56437594784872147</v>
      </c>
      <c r="O92" s="1325">
        <f t="shared" si="48"/>
        <v>0.57201898362260961</v>
      </c>
      <c r="P92" s="1325">
        <f t="shared" si="48"/>
        <v>0.57837225268779324</v>
      </c>
      <c r="Q92" s="1325">
        <f t="shared" si="48"/>
        <v>0.58417105162675709</v>
      </c>
      <c r="R92" s="1325" t="s">
        <v>1037</v>
      </c>
    </row>
    <row r="94" spans="1:18">
      <c r="A94" t="s">
        <v>1033</v>
      </c>
      <c r="I94" s="1321">
        <f>SUM(I95:I97)</f>
        <v>17743.985868026481</v>
      </c>
      <c r="J94" s="1321">
        <f t="shared" ref="J94:R94" si="49">SUM(J95:J97)</f>
        <v>41532.965789959344</v>
      </c>
      <c r="K94" s="1321">
        <f t="shared" si="49"/>
        <v>55915.758867682918</v>
      </c>
      <c r="L94" s="1321">
        <f t="shared" si="49"/>
        <v>72973.897521519772</v>
      </c>
      <c r="M94" s="1321">
        <f t="shared" si="49"/>
        <v>89471.083549709991</v>
      </c>
      <c r="N94" s="1321">
        <f t="shared" si="49"/>
        <v>109003.06270871966</v>
      </c>
      <c r="O94" s="1321">
        <f t="shared" si="49"/>
        <v>122901.34400084251</v>
      </c>
      <c r="P94" s="1321">
        <f t="shared" si="49"/>
        <v>138250.49244341574</v>
      </c>
      <c r="Q94" s="1321">
        <f t="shared" si="49"/>
        <v>157773.28877109732</v>
      </c>
      <c r="R94" s="1321">
        <f t="shared" si="49"/>
        <v>178175.38447179465</v>
      </c>
    </row>
    <row r="95" spans="1:18">
      <c r="A95" t="s">
        <v>1103</v>
      </c>
      <c r="I95" s="1321">
        <f>'CHILD (Holistic benefit)'!C206/1000</f>
        <v>5695.8222187093543</v>
      </c>
      <c r="J95" s="1321">
        <f>'CHILD (Holistic benefit)'!D206/1000</f>
        <v>13032.860285815601</v>
      </c>
      <c r="K95" s="1321">
        <f>'CHILD (Holistic benefit)'!E206/1000</f>
        <v>17141.294636587903</v>
      </c>
      <c r="L95" s="1321">
        <f>'CHILD (Holistic benefit)'!F206/1000</f>
        <v>21718.229793124636</v>
      </c>
      <c r="M95" s="1321">
        <f>'CHILD (Holistic benefit)'!G206/1000</f>
        <v>30667.997975388869</v>
      </c>
      <c r="N95" s="1321">
        <f>'CHILD (Holistic benefit)'!H206/1000</f>
        <v>40746.339496381464</v>
      </c>
      <c r="O95" s="1321">
        <f>'CHILD (Holistic benefit)'!I206/1000</f>
        <v>43511.431125144925</v>
      </c>
      <c r="P95" s="1321">
        <f>'CHILD (Holistic benefit)'!J206/1000</f>
        <v>46684.111767532158</v>
      </c>
      <c r="Q95" s="1321">
        <f>'CHILD (Holistic benefit)'!K206/1000</f>
        <v>50331.528865611224</v>
      </c>
      <c r="R95" s="1321">
        <f>'CHILD (Holistic benefit)'!L206/1000</f>
        <v>54533.967739576634</v>
      </c>
    </row>
    <row r="96" spans="1:18">
      <c r="A96" t="s">
        <v>1104</v>
      </c>
      <c r="I96" s="1321">
        <f>'PENS (Universal)'!C144/1000</f>
        <v>1841.4976255015363</v>
      </c>
      <c r="J96" s="1321">
        <f>'PENS (Universal)'!D144/1000</f>
        <v>4744.8152147565279</v>
      </c>
      <c r="K96" s="1321">
        <f>'PENS (Universal)'!E144/1000</f>
        <v>6992.1055243119463</v>
      </c>
      <c r="L96" s="1321">
        <f>'PENS (Universal)'!F144/1000</f>
        <v>10035.108447804972</v>
      </c>
      <c r="M96" s="1321">
        <f>'PENS (Universal)'!G144/1000</f>
        <v>13277.472376117788</v>
      </c>
      <c r="N96" s="1321">
        <f>'PENS (Universal)'!H144/1000</f>
        <v>17780.996344951211</v>
      </c>
      <c r="O96" s="1321">
        <f>'PENS (Universal)'!I144/1000</f>
        <v>23389.747840026888</v>
      </c>
      <c r="P96" s="1321">
        <f>'PENS (Universal)'!J144/1000</f>
        <v>29392.157362494818</v>
      </c>
      <c r="Q96" s="1321">
        <f>'PENS (Universal)'!K144/1000</f>
        <v>38318.906057010317</v>
      </c>
      <c r="R96" s="1321">
        <f>'PENS (Universal)'!L144/1000</f>
        <v>46642.906694756392</v>
      </c>
    </row>
    <row r="97" spans="1:18">
      <c r="A97" t="s">
        <v>1034</v>
      </c>
      <c r="I97" s="1321">
        <f>'Working age (Holistic)'!C91/1000</f>
        <v>10206.666023815591</v>
      </c>
      <c r="J97" s="1321">
        <f>'Working age (Holistic)'!D91/1000</f>
        <v>23755.29028938722</v>
      </c>
      <c r="K97" s="1321">
        <f>'Working age (Holistic)'!E91/1000</f>
        <v>31782.358706783063</v>
      </c>
      <c r="L97" s="1321">
        <f>'Working age (Holistic)'!F91/1000</f>
        <v>41220.559280590162</v>
      </c>
      <c r="M97" s="1321">
        <f>'Working age (Holistic)'!G91/1000</f>
        <v>45525.613198203333</v>
      </c>
      <c r="N97" s="1321">
        <f>'Working age (Holistic)'!H91/1000</f>
        <v>50475.726867386977</v>
      </c>
      <c r="O97" s="1321">
        <f>'Working age (Holistic)'!I91/1000</f>
        <v>56000.165035670703</v>
      </c>
      <c r="P97" s="1321">
        <f>'Working age (Holistic)'!J91/1000</f>
        <v>62174.223313388749</v>
      </c>
      <c r="Q97" s="1321">
        <f>'Working age (Holistic)'!K91/1000</f>
        <v>69122.853848475788</v>
      </c>
      <c r="R97" s="1321">
        <f>'Working age (Holistic)'!L91/1000</f>
        <v>76998.510037461616</v>
      </c>
    </row>
    <row r="98" spans="1:18">
      <c r="A98" s="1326" t="s">
        <v>1036</v>
      </c>
      <c r="I98" s="1321">
        <f>I79-I57</f>
        <v>1076.2880292248155</v>
      </c>
      <c r="J98" s="1321">
        <f t="shared" ref="J98:R98" si="50">J79-J57</f>
        <v>3336.8409814926272</v>
      </c>
      <c r="K98" s="1321">
        <f t="shared" si="50"/>
        <v>7487.0363247764908</v>
      </c>
      <c r="L98" s="1321">
        <f t="shared" si="50"/>
        <v>12730.028527987335</v>
      </c>
      <c r="M98" s="1321">
        <f t="shared" si="50"/>
        <v>19095.277224423568</v>
      </c>
      <c r="N98" s="1321">
        <f t="shared" si="50"/>
        <v>26138.42266552613</v>
      </c>
      <c r="O98" s="1321">
        <f t="shared" si="50"/>
        <v>34884.334086613148</v>
      </c>
      <c r="P98" s="1321">
        <f t="shared" si="50"/>
        <v>46193.645667990379</v>
      </c>
      <c r="Q98" s="1321">
        <f t="shared" si="50"/>
        <v>59938.532897930534</v>
      </c>
      <c r="R98" s="1321">
        <f t="shared" si="50"/>
        <v>80242.680739560456</v>
      </c>
    </row>
    <row r="99" spans="1:18">
      <c r="A99" t="s">
        <v>1048</v>
      </c>
      <c r="I99" s="1327">
        <f>I94/I$91</f>
        <v>7.3694974416044839E-3</v>
      </c>
      <c r="J99" s="1327">
        <f t="shared" ref="J99:R99" si="51">J94/J$91</f>
        <v>1.5079190702771904E-2</v>
      </c>
      <c r="K99" s="1327">
        <f t="shared" si="51"/>
        <v>1.7678719680920028E-2</v>
      </c>
      <c r="L99" s="1327">
        <f t="shared" si="51"/>
        <v>2.0146078448307559E-2</v>
      </c>
      <c r="M99" s="1327">
        <f t="shared" si="51"/>
        <v>2.1667330783923387E-2</v>
      </c>
      <c r="N99" s="1327">
        <f t="shared" si="51"/>
        <v>2.3250990312568411E-2</v>
      </c>
      <c r="O99" s="1327">
        <f t="shared" si="51"/>
        <v>2.3131622385922666E-2</v>
      </c>
      <c r="P99" s="1327">
        <f t="shared" si="51"/>
        <v>2.2959657640307458E-2</v>
      </c>
      <c r="Q99" s="1327">
        <f t="shared" si="51"/>
        <v>2.3112257646732717E-2</v>
      </c>
      <c r="R99" s="1327">
        <f t="shared" si="51"/>
        <v>2.3015531376975346E-2</v>
      </c>
    </row>
    <row r="100" spans="1:18">
      <c r="I100" s="1327">
        <f t="shared" ref="I100:R102" si="52">I95/I$91</f>
        <v>2.3656098230020253E-3</v>
      </c>
      <c r="J100" s="1327">
        <f t="shared" si="52"/>
        <v>4.7317831008327847E-3</v>
      </c>
      <c r="K100" s="1327">
        <f t="shared" si="52"/>
        <v>5.4195122982304417E-3</v>
      </c>
      <c r="L100" s="1327">
        <f t="shared" si="52"/>
        <v>5.9958036507729495E-3</v>
      </c>
      <c r="M100" s="1327">
        <f t="shared" si="52"/>
        <v>7.4269096813190114E-3</v>
      </c>
      <c r="N100" s="1327">
        <f t="shared" si="52"/>
        <v>8.6914323447464265E-3</v>
      </c>
      <c r="O100" s="1327">
        <f t="shared" si="52"/>
        <v>8.1894140575959444E-3</v>
      </c>
      <c r="P100" s="1327">
        <f t="shared" si="52"/>
        <v>7.7529649586100596E-3</v>
      </c>
      <c r="Q100" s="1327">
        <f t="shared" si="52"/>
        <v>7.3730811594077215E-3</v>
      </c>
      <c r="R100" s="1327">
        <f t="shared" si="52"/>
        <v>7.0443414467270329E-3</v>
      </c>
    </row>
    <row r="101" spans="1:18">
      <c r="I101" s="1327">
        <f t="shared" si="52"/>
        <v>7.6481756358407686E-4</v>
      </c>
      <c r="J101" s="1327">
        <f t="shared" si="52"/>
        <v>1.7226791323923258E-3</v>
      </c>
      <c r="K101" s="1327">
        <f t="shared" si="52"/>
        <v>2.2106732707720747E-3</v>
      </c>
      <c r="L101" s="1327">
        <f t="shared" si="52"/>
        <v>2.7704163939870985E-3</v>
      </c>
      <c r="M101" s="1327">
        <f t="shared" si="52"/>
        <v>3.2154230678106258E-3</v>
      </c>
      <c r="N101" s="1327">
        <f t="shared" si="52"/>
        <v>3.7927904362562749E-3</v>
      </c>
      <c r="O101" s="1327">
        <f t="shared" si="52"/>
        <v>4.4022530358475438E-3</v>
      </c>
      <c r="P101" s="1327">
        <f t="shared" si="52"/>
        <v>4.8812402648701209E-3</v>
      </c>
      <c r="Q101" s="1327">
        <f t="shared" si="52"/>
        <v>5.6133483457740411E-3</v>
      </c>
      <c r="R101" s="1327">
        <f t="shared" si="52"/>
        <v>6.0250257673300379E-3</v>
      </c>
    </row>
    <row r="102" spans="1:18">
      <c r="I102" s="1327">
        <f t="shared" si="52"/>
        <v>4.2390700550183824E-3</v>
      </c>
      <c r="J102" s="1327">
        <f t="shared" si="52"/>
        <v>8.6247284695467955E-3</v>
      </c>
      <c r="K102" s="1327">
        <f t="shared" si="52"/>
        <v>1.0048534111917508E-2</v>
      </c>
      <c r="L102" s="1327">
        <f t="shared" si="52"/>
        <v>1.1379858403547509E-2</v>
      </c>
      <c r="M102" s="1327">
        <f t="shared" si="52"/>
        <v>1.1024998034793747E-2</v>
      </c>
      <c r="N102" s="1327">
        <f t="shared" si="52"/>
        <v>1.0766767531565708E-2</v>
      </c>
      <c r="O102" s="1327">
        <f t="shared" si="52"/>
        <v>1.0539955292479178E-2</v>
      </c>
      <c r="P102" s="1327">
        <f t="shared" si="52"/>
        <v>1.0325452416827276E-2</v>
      </c>
      <c r="Q102" s="1327">
        <f t="shared" si="52"/>
        <v>1.0125828141550955E-2</v>
      </c>
      <c r="R102" s="1327">
        <f t="shared" si="52"/>
        <v>9.946164162918273E-3</v>
      </c>
    </row>
    <row r="103" spans="1:18">
      <c r="A103" t="s">
        <v>1036</v>
      </c>
      <c r="I103" s="1327">
        <f>I98/I91</f>
        <v>4.4700790097529478E-4</v>
      </c>
      <c r="J103" s="1327">
        <f t="shared" ref="J103:R103" si="53">J98/J91</f>
        <v>1.2114921375760764E-3</v>
      </c>
      <c r="K103" s="1327">
        <f t="shared" si="53"/>
        <v>2.3671540743961683E-3</v>
      </c>
      <c r="L103" s="1327">
        <f t="shared" si="53"/>
        <v>3.5144094269926691E-3</v>
      </c>
      <c r="M103" s="1327">
        <f t="shared" si="53"/>
        <v>4.6243285720623754E-3</v>
      </c>
      <c r="N103" s="1327">
        <f t="shared" si="53"/>
        <v>5.5754783129901026E-3</v>
      </c>
      <c r="O103" s="1327">
        <f t="shared" si="53"/>
        <v>6.5656828233739582E-3</v>
      </c>
      <c r="P103" s="1327">
        <f t="shared" si="53"/>
        <v>7.671511840211474E-3</v>
      </c>
      <c r="Q103" s="1327">
        <f t="shared" si="53"/>
        <v>8.7804141378709285E-3</v>
      </c>
      <c r="R103" s="1327">
        <f t="shared" si="53"/>
        <v>1.0365224926040913E-2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17</vt:i4>
      </vt:variant>
      <vt:variant>
        <vt:lpstr>Charts</vt:lpstr>
      </vt:variant>
      <vt:variant>
        <vt:i4>3</vt:i4>
      </vt:variant>
      <vt:variant>
        <vt:lpstr>Named Ranges</vt:lpstr>
      </vt:variant>
      <vt:variant>
        <vt:i4>11</vt:i4>
      </vt:variant>
    </vt:vector>
  </HeadingPairs>
  <TitlesOfParts>
    <vt:vector size="31" baseType="lpstr">
      <vt:lpstr>README</vt:lpstr>
      <vt:lpstr>POP</vt:lpstr>
      <vt:lpstr>AR</vt:lpstr>
      <vt:lpstr>EAP</vt:lpstr>
      <vt:lpstr>ECO</vt:lpstr>
      <vt:lpstr>Social Budget</vt:lpstr>
      <vt:lpstr>MCFinance</vt:lpstr>
      <vt:lpstr>Budget modified</vt:lpstr>
      <vt:lpstr>GGO(SQ) (SQ and Post SPF)</vt:lpstr>
      <vt:lpstr>Basic set of graphs</vt:lpstr>
      <vt:lpstr>CHILD (Holistic benefit)</vt:lpstr>
      <vt:lpstr>PENS (Universal)</vt:lpstr>
      <vt:lpstr>Working age (Holistic)</vt:lpstr>
      <vt:lpstr>IMF Data</vt:lpstr>
      <vt:lpstr>Interest "modest scenario"</vt:lpstr>
      <vt:lpstr>Interest calculation expensive</vt:lpstr>
      <vt:lpstr>Interest calculation interm</vt:lpstr>
      <vt:lpstr>G_SP state budget (1)</vt:lpstr>
      <vt:lpstr>Graph Post_Deficit % of GDP</vt:lpstr>
      <vt:lpstr>Graph Post_Deficit % of Gov</vt:lpstr>
      <vt:lpstr>'Basic set of graphs'!Print_Area</vt:lpstr>
      <vt:lpstr>'Budget modified'!Print_Area</vt:lpstr>
      <vt:lpstr>ECO!Print_Area</vt:lpstr>
      <vt:lpstr>'GGO(SQ) (SQ and Post SPF)'!Print_Area</vt:lpstr>
      <vt:lpstr>'PENS (Universal)'!Print_Area</vt:lpstr>
      <vt:lpstr>'Working age (Holistic)'!Print_Area</vt:lpstr>
      <vt:lpstr>'Budget modified'!Print_Titles</vt:lpstr>
      <vt:lpstr>'CHILD (Holistic benefit)'!Print_Titles</vt:lpstr>
      <vt:lpstr>ECO!Print_Titles</vt:lpstr>
      <vt:lpstr>'GGO(SQ) (SQ and Post SPF)'!Print_Titles</vt:lpstr>
      <vt:lpstr>'PENS (Universal)'!Print_Titles</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arevalo</dc:creator>
  <cp:lastModifiedBy>Flobo</cp:lastModifiedBy>
  <cp:lastPrinted>2011-04-06T06:32:25Z</cp:lastPrinted>
  <dcterms:created xsi:type="dcterms:W3CDTF">2011-01-04T14:43:36Z</dcterms:created>
  <dcterms:modified xsi:type="dcterms:W3CDTF">2012-06-12T05:51:52Z</dcterms:modified>
</cp:coreProperties>
</file>