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antelic\Desktop\AnaPantelic\2-FUNDING OPPS\6-2019-EC Fund w ILO\-ProDoc-1mar2020\Re-submission-MOST RECENT - 12mar2020\"/>
    </mc:Choice>
  </mc:AlternateContent>
  <xr:revisionPtr revIDLastSave="0" documentId="13_ncr:1_{41B840DD-AE2F-4BFC-AD85-44768B9A39A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udge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4" l="1"/>
  <c r="E21" i="4"/>
  <c r="H21" i="4"/>
  <c r="D21" i="4"/>
  <c r="C21" i="4"/>
  <c r="B24" i="4"/>
  <c r="K24" i="4"/>
  <c r="H24" i="4"/>
  <c r="E24" i="4"/>
  <c r="C24" i="4"/>
  <c r="C19" i="4"/>
  <c r="C18" i="4"/>
  <c r="B17" i="4"/>
  <c r="B18" i="4"/>
  <c r="B19" i="4"/>
  <c r="B16" i="4"/>
  <c r="C16" i="4"/>
  <c r="C17" i="4"/>
  <c r="H16" i="4"/>
  <c r="K17" i="4"/>
  <c r="K16" i="4"/>
  <c r="E20" i="4"/>
  <c r="D16" i="4"/>
  <c r="H15" i="4"/>
  <c r="E16" i="4"/>
  <c r="E17" i="4"/>
  <c r="E18" i="4"/>
  <c r="E19" i="4"/>
  <c r="H19" i="4" l="1"/>
  <c r="H18" i="4"/>
  <c r="H17" i="4"/>
  <c r="K19" i="4"/>
  <c r="K18" i="4"/>
  <c r="L15" i="4"/>
  <c r="I15" i="4"/>
  <c r="F15" i="4"/>
  <c r="E15" i="4" s="1"/>
  <c r="M16" i="4" l="1"/>
  <c r="J16" i="4"/>
  <c r="G16" i="4"/>
  <c r="D12" i="4" l="1"/>
  <c r="H9" i="4"/>
  <c r="C14" i="4"/>
  <c r="L7" i="4" l="1"/>
  <c r="L6" i="4" s="1"/>
  <c r="I7" i="4"/>
  <c r="F7" i="4"/>
  <c r="E7" i="4" s="1"/>
  <c r="K7" i="4"/>
  <c r="H7" i="4"/>
  <c r="E13" i="4"/>
  <c r="L13" i="4"/>
  <c r="C11" i="4"/>
  <c r="C12" i="4"/>
  <c r="B12" i="4" s="1"/>
  <c r="C15" i="4"/>
  <c r="B15" i="4" s="1"/>
  <c r="I13" i="4"/>
  <c r="F8" i="4"/>
  <c r="C8" i="4" s="1"/>
  <c r="B8" i="4" s="1"/>
  <c r="L10" i="4"/>
  <c r="K10" i="4" s="1"/>
  <c r="I10" i="4"/>
  <c r="F10" i="4"/>
  <c r="C10" i="4" s="1"/>
  <c r="B10" i="4" s="1"/>
  <c r="I8" i="4"/>
  <c r="H8" i="4" s="1"/>
  <c r="L9" i="4"/>
  <c r="K9" i="4" s="1"/>
  <c r="L8" i="4"/>
  <c r="K8" i="4" s="1"/>
  <c r="I9" i="4"/>
  <c r="F9" i="4"/>
  <c r="E9" i="4" s="1"/>
  <c r="H10" i="4"/>
  <c r="D24" i="4"/>
  <c r="M13" i="4"/>
  <c r="M21" i="4" s="1"/>
  <c r="M22" i="4" s="1"/>
  <c r="M23" i="4" s="1"/>
  <c r="K15" i="4"/>
  <c r="K14" i="4"/>
  <c r="K12" i="4"/>
  <c r="J21" i="4"/>
  <c r="J22" i="4"/>
  <c r="J23" i="4" s="1"/>
  <c r="G21" i="4"/>
  <c r="G22" i="4" s="1"/>
  <c r="G23" i="4" s="1"/>
  <c r="K20" i="4"/>
  <c r="H20" i="4"/>
  <c r="D20" i="4"/>
  <c r="D15" i="4"/>
  <c r="H14" i="4"/>
  <c r="E14" i="4"/>
  <c r="D14" i="4"/>
  <c r="H13" i="4"/>
  <c r="H12" i="4"/>
  <c r="E12" i="4"/>
  <c r="K11" i="4"/>
  <c r="H11" i="4"/>
  <c r="E11" i="4"/>
  <c r="D11" i="4"/>
  <c r="B14" i="4"/>
  <c r="C13" i="4" l="1"/>
  <c r="E10" i="4"/>
  <c r="I6" i="4"/>
  <c r="L21" i="4"/>
  <c r="L22" i="4" s="1"/>
  <c r="L23" i="4" s="1"/>
  <c r="E8" i="4"/>
  <c r="K13" i="4"/>
  <c r="C7" i="4"/>
  <c r="B7" i="4" s="1"/>
  <c r="B11" i="4"/>
  <c r="I21" i="4"/>
  <c r="I22" i="4" s="1"/>
  <c r="I23" i="4" s="1"/>
  <c r="H6" i="4"/>
  <c r="H22" i="4" s="1"/>
  <c r="H23" i="4" s="1"/>
  <c r="K6" i="4"/>
  <c r="B20" i="4"/>
  <c r="C9" i="4"/>
  <c r="B9" i="4" s="1"/>
  <c r="F6" i="4"/>
  <c r="D13" i="4"/>
  <c r="B13" i="4" s="1"/>
  <c r="C6" i="4" l="1"/>
  <c r="K21" i="4"/>
  <c r="K22" i="4" s="1"/>
  <c r="K23" i="4" s="1"/>
  <c r="D22" i="4"/>
  <c r="E6" i="4"/>
  <c r="F21" i="4"/>
  <c r="F22" i="4" l="1"/>
  <c r="D23" i="4"/>
  <c r="B6" i="4"/>
  <c r="F23" i="4" l="1"/>
  <c r="E23" i="4" s="1"/>
  <c r="E22" i="4"/>
  <c r="C22" i="4"/>
  <c r="B22" i="4" s="1"/>
  <c r="C23" i="4" l="1"/>
  <c r="B23" i="4" s="1"/>
</calcChain>
</file>

<file path=xl/sharedStrings.xml><?xml version="1.0" encoding="utf-8"?>
<sst xmlns="http://schemas.openxmlformats.org/spreadsheetml/2006/main" count="37" uniqueCount="37">
  <si>
    <t>EU Joint Action Budget - UGANDA</t>
  </si>
  <si>
    <t>Duration of Implementation: October 1, 2019 - May 30, 2023 (44 months)</t>
  </si>
  <si>
    <t>TRANCHE 1 (Oct. 1, 2019 - Dec. 31, 2020) - EUR</t>
  </si>
  <si>
    <t>TRANCHE 2 (Jan. 1, 2021 - Dec. 31, 2021) - EUR</t>
  </si>
  <si>
    <t>Consolidated Expenses as Per Harmonized Categories
44 months Budget</t>
  </si>
  <si>
    <t>Total budget action</t>
  </si>
  <si>
    <t>Total budget of the Action - ILO</t>
  </si>
  <si>
    <t>Total budget of the Action - UNICEF</t>
  </si>
  <si>
    <t>Tranche 1 Total</t>
  </si>
  <si>
    <t>Tranche 1 ILO</t>
  </si>
  <si>
    <t>Tranche 1 UNICEF</t>
  </si>
  <si>
    <t>Tranche 2 Total</t>
  </si>
  <si>
    <t>Tranche 2 ILO</t>
  </si>
  <si>
    <t xml:space="preserve">Tranche 2 UNICEF </t>
  </si>
  <si>
    <t>Tranche 3 Total</t>
  </si>
  <si>
    <t>Tranche 3 ILO</t>
  </si>
  <si>
    <t xml:space="preserve">Tranche 3 UNICEF </t>
  </si>
  <si>
    <t>1. Human Resources</t>
  </si>
  <si>
    <t>2. Travel</t>
  </si>
  <si>
    <t>4. Local office</t>
  </si>
  <si>
    <t>5. Other costs, services</t>
  </si>
  <si>
    <t xml:space="preserve">5.1. Communication and Visibility </t>
  </si>
  <si>
    <t>5.2. Other services</t>
  </si>
  <si>
    <t>6. Other costs, subgrants to local NGOs</t>
  </si>
  <si>
    <t>8. Total direct eligible costs of the Action (1-7)</t>
  </si>
  <si>
    <t>9. Indirect costs (maximum 7% of  10, subtotal of direct eligible costs of the Action)</t>
  </si>
  <si>
    <t>10. Total eligible costs of the Action (8-9)</t>
  </si>
  <si>
    <t>TRANCHE 3 (Jan. 1, 2022-May 31, 2023) - EUR</t>
  </si>
  <si>
    <t>UN Agency Co-Financing</t>
  </si>
  <si>
    <t>1.1 Workmonths technical experts</t>
  </si>
  <si>
    <t>1.2 Project Driver G1</t>
  </si>
  <si>
    <t>1.3 Finance Administrative Assistant G3</t>
  </si>
  <si>
    <t>1.4 National Coordinator NoB</t>
  </si>
  <si>
    <t>5.2.1 Generating evidence and tools that support national evidence-based decision-making, to improve partner countries’ design and financing of social protection systems</t>
  </si>
  <si>
    <t>5.2.2 Implementation of ABND and coordination with key stakeholders, towards more comprehensive social protection</t>
  </si>
  <si>
    <t xml:space="preserve">5.2.3 Improving capacity of partner institutions towards planning, and implementation of social protection, including dialogue on expansion of the fiscal space </t>
  </si>
  <si>
    <t>5.2.4 Assessing innovative capacities of the informal economy, including review of NSSF for the effective  implementation of  social security schemes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</si>
</sst>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F_B_-;\-* #,##0.00\ _F_B_-;_-* &quot;-&quot;??\ _F_B_-;_-@_-"/>
    <numFmt numFmtId="166" formatCode="_-* #,##0_-;\-* #,##0_-;_-* &quot;-&quot;??_-;_-@_-"/>
    <numFmt numFmtId="167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1F497D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80808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4" fillId="3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left" vertical="center" wrapText="1"/>
    </xf>
    <xf numFmtId="166" fontId="9" fillId="5" borderId="1" xfId="5" applyNumberFormat="1" applyFont="1" applyFill="1" applyBorder="1" applyAlignment="1">
      <alignment vertical="center"/>
    </xf>
    <xf numFmtId="166" fontId="9" fillId="5" borderId="7" xfId="5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166" fontId="10" fillId="3" borderId="1" xfId="5" applyNumberFormat="1" applyFont="1" applyFill="1" applyBorder="1" applyAlignment="1">
      <alignment vertical="center"/>
    </xf>
    <xf numFmtId="166" fontId="10" fillId="3" borderId="7" xfId="5" applyNumberFormat="1" applyFont="1" applyFill="1" applyBorder="1" applyAlignment="1">
      <alignment vertical="center"/>
    </xf>
    <xf numFmtId="0" fontId="11" fillId="6" borderId="12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left" vertical="center" wrapText="1" indent="1"/>
    </xf>
    <xf numFmtId="166" fontId="12" fillId="2" borderId="1" xfId="5" applyNumberFormat="1" applyFont="1" applyFill="1" applyBorder="1" applyAlignment="1">
      <alignment vertical="center" wrapText="1"/>
    </xf>
    <xf numFmtId="166" fontId="13" fillId="3" borderId="7" xfId="5" applyNumberFormat="1" applyFont="1" applyFill="1" applyBorder="1" applyAlignment="1">
      <alignment vertical="center"/>
    </xf>
    <xf numFmtId="166" fontId="13" fillId="3" borderId="1" xfId="5" applyNumberFormat="1" applyFont="1" applyFill="1" applyBorder="1" applyAlignment="1">
      <alignment vertical="center"/>
    </xf>
    <xf numFmtId="0" fontId="14" fillId="0" borderId="0" xfId="0" applyFont="1"/>
    <xf numFmtId="166" fontId="12" fillId="2" borderId="7" xfId="5" applyNumberFormat="1" applyFont="1" applyFill="1" applyBorder="1" applyAlignment="1">
      <alignment vertical="center" wrapText="1"/>
    </xf>
    <xf numFmtId="3" fontId="0" fillId="0" borderId="0" xfId="0" applyNumberFormat="1"/>
    <xf numFmtId="0" fontId="0" fillId="0" borderId="0" xfId="0"/>
    <xf numFmtId="166" fontId="16" fillId="3" borderId="1" xfId="5" applyNumberFormat="1" applyFont="1" applyFill="1" applyBorder="1" applyAlignment="1">
      <alignment horizontal="right" vertical="center"/>
    </xf>
    <xf numFmtId="166" fontId="16" fillId="3" borderId="7" xfId="5" applyNumberFormat="1" applyFont="1" applyFill="1" applyBorder="1" applyAlignment="1">
      <alignment horizontal="right" vertical="center"/>
    </xf>
    <xf numFmtId="43" fontId="0" fillId="0" borderId="0" xfId="7" applyFont="1"/>
    <xf numFmtId="166" fontId="16" fillId="8" borderId="5" xfId="5" applyNumberFormat="1" applyFont="1" applyFill="1" applyBorder="1" applyAlignment="1">
      <alignment horizontal="right" vertical="center"/>
    </xf>
    <xf numFmtId="166" fontId="13" fillId="8" borderId="5" xfId="5" applyNumberFormat="1" applyFont="1" applyFill="1" applyBorder="1" applyAlignment="1">
      <alignment vertical="center"/>
    </xf>
    <xf numFmtId="166" fontId="10" fillId="8" borderId="5" xfId="5" applyNumberFormat="1" applyFont="1" applyFill="1" applyBorder="1" applyAlignment="1">
      <alignment vertical="center"/>
    </xf>
    <xf numFmtId="166" fontId="7" fillId="7" borderId="5" xfId="5" applyNumberFormat="1" applyFont="1" applyFill="1" applyBorder="1" applyAlignment="1">
      <alignment vertical="center" wrapText="1"/>
    </xf>
    <xf numFmtId="166" fontId="16" fillId="7" borderId="5" xfId="5" applyNumberFormat="1" applyFont="1" applyFill="1" applyBorder="1" applyAlignment="1">
      <alignment horizontal="right" vertical="center" wrapText="1"/>
    </xf>
    <xf numFmtId="166" fontId="12" fillId="7" borderId="5" xfId="5" applyNumberFormat="1" applyFont="1" applyFill="1" applyBorder="1" applyAlignment="1">
      <alignment vertical="center" wrapText="1"/>
    </xf>
    <xf numFmtId="0" fontId="18" fillId="2" borderId="6" xfId="0" applyFont="1" applyFill="1" applyBorder="1" applyAlignment="1">
      <alignment horizontal="left" vertical="center" wrapText="1" indent="2"/>
    </xf>
    <xf numFmtId="167" fontId="15" fillId="0" borderId="0" xfId="7" applyNumberFormat="1" applyFont="1" applyBorder="1"/>
    <xf numFmtId="166" fontId="7" fillId="0" borderId="1" xfId="5" applyNumberFormat="1" applyFont="1" applyFill="1" applyBorder="1" applyAlignment="1">
      <alignment vertical="center" wrapText="1"/>
    </xf>
    <xf numFmtId="166" fontId="7" fillId="2" borderId="1" xfId="5" applyNumberFormat="1" applyFont="1" applyFill="1" applyBorder="1" applyAlignment="1">
      <alignment horizontal="center" vertical="center" wrapText="1"/>
    </xf>
    <xf numFmtId="166" fontId="16" fillId="0" borderId="1" xfId="5" applyNumberFormat="1" applyFont="1" applyFill="1" applyBorder="1" applyAlignment="1">
      <alignment horizontal="right" vertical="center" wrapText="1"/>
    </xf>
    <xf numFmtId="166" fontId="11" fillId="6" borderId="1" xfId="5" applyNumberFormat="1" applyFont="1" applyFill="1" applyBorder="1" applyAlignment="1">
      <alignment vertical="center" wrapText="1"/>
    </xf>
    <xf numFmtId="166" fontId="16" fillId="8" borderId="5" xfId="5" applyNumberFormat="1" applyFont="1" applyFill="1" applyBorder="1" applyAlignment="1">
      <alignment vertical="center"/>
    </xf>
    <xf numFmtId="166" fontId="9" fillId="5" borderId="5" xfId="5" applyNumberFormat="1" applyFont="1" applyFill="1" applyBorder="1" applyAlignment="1">
      <alignment vertical="center"/>
    </xf>
    <xf numFmtId="166" fontId="11" fillId="6" borderId="5" xfId="5" applyNumberFormat="1" applyFont="1" applyFill="1" applyBorder="1" applyAlignment="1">
      <alignment vertical="center" wrapText="1"/>
    </xf>
    <xf numFmtId="166" fontId="11" fillId="6" borderId="7" xfId="5" applyNumberFormat="1" applyFont="1" applyFill="1" applyBorder="1" applyAlignment="1">
      <alignment vertical="center" wrapText="1"/>
    </xf>
    <xf numFmtId="166" fontId="7" fillId="2" borderId="7" xfId="5" applyNumberFormat="1" applyFont="1" applyFill="1" applyBorder="1" applyAlignment="1">
      <alignment horizontal="center" vertical="center" wrapText="1"/>
    </xf>
    <xf numFmtId="166" fontId="16" fillId="2" borderId="7" xfId="5" applyNumberFormat="1" applyFont="1" applyFill="1" applyBorder="1" applyAlignment="1">
      <alignment horizontal="right" vertical="center" wrapText="1"/>
    </xf>
    <xf numFmtId="166" fontId="12" fillId="2" borderId="7" xfId="5" applyNumberFormat="1" applyFont="1" applyFill="1" applyBorder="1" applyAlignment="1">
      <alignment horizontal="center" vertical="center" wrapText="1"/>
    </xf>
    <xf numFmtId="166" fontId="19" fillId="8" borderId="5" xfId="5" applyNumberFormat="1" applyFont="1" applyFill="1" applyBorder="1" applyAlignment="1">
      <alignment vertical="center"/>
    </xf>
    <xf numFmtId="166" fontId="19" fillId="3" borderId="1" xfId="5" applyNumberFormat="1" applyFont="1" applyFill="1" applyBorder="1" applyAlignment="1">
      <alignment vertical="center"/>
    </xf>
    <xf numFmtId="166" fontId="19" fillId="3" borderId="7" xfId="5" applyNumberFormat="1" applyFont="1" applyFill="1" applyBorder="1" applyAlignment="1">
      <alignment vertical="center"/>
    </xf>
    <xf numFmtId="0" fontId="17" fillId="0" borderId="0" xfId="0" applyFont="1"/>
    <xf numFmtId="0" fontId="3" fillId="2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6" fontId="18" fillId="7" borderId="5" xfId="5" applyNumberFormat="1" applyFont="1" applyFill="1" applyBorder="1" applyAlignment="1">
      <alignment horizontal="right" vertical="center" wrapText="1"/>
    </xf>
    <xf numFmtId="166" fontId="18" fillId="2" borderId="7" xfId="5" applyNumberFormat="1" applyFont="1" applyFill="1" applyBorder="1" applyAlignment="1">
      <alignment horizontal="right" vertical="center" wrapText="1"/>
    </xf>
    <xf numFmtId="166" fontId="18" fillId="8" borderId="5" xfId="5" applyNumberFormat="1" applyFont="1" applyFill="1" applyBorder="1" applyAlignment="1">
      <alignment horizontal="right" vertical="center"/>
    </xf>
    <xf numFmtId="166" fontId="18" fillId="2" borderId="1" xfId="5" applyNumberFormat="1" applyFont="1" applyFill="1" applyBorder="1" applyAlignment="1">
      <alignment horizontal="right" vertical="center" wrapText="1"/>
    </xf>
    <xf numFmtId="0" fontId="20" fillId="2" borderId="12" xfId="0" applyFont="1" applyFill="1" applyBorder="1" applyAlignment="1">
      <alignment vertical="center" wrapText="1"/>
    </xf>
    <xf numFmtId="167" fontId="21" fillId="7" borderId="13" xfId="7" applyNumberFormat="1" applyFont="1" applyFill="1" applyBorder="1"/>
    <xf numFmtId="167" fontId="21" fillId="0" borderId="9" xfId="7" applyNumberFormat="1" applyFont="1" applyBorder="1"/>
    <xf numFmtId="3" fontId="21" fillId="0" borderId="8" xfId="0" applyNumberFormat="1" applyFont="1" applyBorder="1"/>
    <xf numFmtId="3" fontId="21" fillId="7" borderId="13" xfId="0" applyNumberFormat="1" applyFont="1" applyFill="1" applyBorder="1"/>
    <xf numFmtId="166" fontId="18" fillId="0" borderId="1" xfId="5" applyNumberFormat="1" applyFont="1" applyFill="1" applyBorder="1" applyAlignment="1">
      <alignment horizontal="right" vertical="center" wrapText="1"/>
    </xf>
    <xf numFmtId="166" fontId="7" fillId="7" borderId="7" xfId="5" applyNumberFormat="1" applyFont="1" applyFill="1" applyBorder="1" applyAlignment="1">
      <alignment horizontal="center" vertical="center" wrapText="1"/>
    </xf>
    <xf numFmtId="166" fontId="10" fillId="8" borderId="1" xfId="5" applyNumberFormat="1" applyFont="1" applyFill="1" applyBorder="1" applyAlignment="1">
      <alignment vertical="center"/>
    </xf>
    <xf numFmtId="167" fontId="21" fillId="7" borderId="9" xfId="7" applyNumberFormat="1" applyFont="1" applyFill="1" applyBorder="1"/>
  </cellXfs>
  <cellStyles count="8">
    <cellStyle name="Comma" xfId="7" builtinId="3"/>
    <cellStyle name="Comma 2" xfId="1" xr:uid="{00000000-0005-0000-0000-000001000000}"/>
    <cellStyle name="Comma 2 2" xfId="6" xr:uid="{00000000-0005-0000-0000-000002000000}"/>
    <cellStyle name="Comma 3" xfId="5" xr:uid="{00000000-0005-0000-0000-000003000000}"/>
    <cellStyle name="Comma 4 2 2 3" xfId="3" xr:uid="{00000000-0005-0000-0000-000004000000}"/>
    <cellStyle name="Normal" xfId="0" builtinId="0"/>
    <cellStyle name="Normal 3 2 2" xfId="2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zoomScaleNormal="100" workbookViewId="0">
      <selection activeCell="P16" sqref="P16"/>
    </sheetView>
  </sheetViews>
  <sheetFormatPr defaultRowHeight="14.5" x14ac:dyDescent="0.35"/>
  <cols>
    <col min="1" max="1" width="48.453125" customWidth="1"/>
    <col min="2" max="2" width="11.81640625" customWidth="1"/>
    <col min="3" max="3" width="12.7265625" customWidth="1"/>
    <col min="4" max="5" width="12.1796875" customWidth="1"/>
    <col min="6" max="6" width="11.453125" customWidth="1"/>
    <col min="7" max="7" width="12.81640625" customWidth="1"/>
    <col min="8" max="8" width="13.1796875" customWidth="1"/>
    <col min="9" max="9" width="12.54296875" customWidth="1"/>
    <col min="10" max="10" width="11.81640625" customWidth="1"/>
    <col min="11" max="11" width="12.453125" customWidth="1"/>
    <col min="12" max="12" width="11.453125" customWidth="1"/>
    <col min="13" max="13" width="11.81640625" customWidth="1"/>
  </cols>
  <sheetData>
    <row r="1" spans="1:13" ht="15.5" x14ac:dyDescent="0.35">
      <c r="A1" s="3" t="s">
        <v>0</v>
      </c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1.5" customHeight="1" thickBot="1" x14ac:dyDescent="0.4">
      <c r="A2" s="47" t="s">
        <v>1</v>
      </c>
      <c r="B2" s="47"/>
      <c r="C2" s="47"/>
      <c r="D2" s="47"/>
      <c r="E2" s="56" t="s">
        <v>2</v>
      </c>
      <c r="F2" s="56"/>
      <c r="G2" s="56"/>
      <c r="H2" s="56" t="s">
        <v>3</v>
      </c>
      <c r="I2" s="56"/>
      <c r="J2" s="56"/>
      <c r="K2" s="56" t="s">
        <v>27</v>
      </c>
      <c r="L2" s="56"/>
      <c r="M2" s="56"/>
    </row>
    <row r="3" spans="1:13" ht="14.75" customHeight="1" x14ac:dyDescent="0.35">
      <c r="A3" s="50" t="s">
        <v>4</v>
      </c>
      <c r="B3" s="52" t="s">
        <v>5</v>
      </c>
      <c r="C3" s="48" t="s">
        <v>6</v>
      </c>
      <c r="D3" s="54" t="s">
        <v>7</v>
      </c>
      <c r="E3" s="52" t="s">
        <v>8</v>
      </c>
      <c r="F3" s="48" t="s">
        <v>9</v>
      </c>
      <c r="G3" s="54" t="s">
        <v>10</v>
      </c>
      <c r="H3" s="52" t="s">
        <v>11</v>
      </c>
      <c r="I3" s="48" t="s">
        <v>12</v>
      </c>
      <c r="J3" s="54" t="s">
        <v>13</v>
      </c>
      <c r="K3" s="52" t="s">
        <v>14</v>
      </c>
      <c r="L3" s="48" t="s">
        <v>15</v>
      </c>
      <c r="M3" s="54" t="s">
        <v>16</v>
      </c>
    </row>
    <row r="4" spans="1:13" x14ac:dyDescent="0.35">
      <c r="A4" s="51"/>
      <c r="B4" s="53"/>
      <c r="C4" s="49"/>
      <c r="D4" s="55"/>
      <c r="E4" s="53"/>
      <c r="F4" s="49"/>
      <c r="G4" s="55"/>
      <c r="H4" s="53"/>
      <c r="I4" s="49"/>
      <c r="J4" s="55"/>
      <c r="K4" s="53"/>
      <c r="L4" s="49"/>
      <c r="M4" s="55"/>
    </row>
    <row r="5" spans="1:13" x14ac:dyDescent="0.35">
      <c r="A5" s="51"/>
      <c r="B5" s="53"/>
      <c r="C5" s="49"/>
      <c r="D5" s="55"/>
      <c r="E5" s="53"/>
      <c r="F5" s="49"/>
      <c r="G5" s="55"/>
      <c r="H5" s="53"/>
      <c r="I5" s="49"/>
      <c r="J5" s="55"/>
      <c r="K5" s="53"/>
      <c r="L5" s="49"/>
      <c r="M5" s="55"/>
    </row>
    <row r="6" spans="1:13" s="46" customFormat="1" x14ac:dyDescent="0.35">
      <c r="A6" s="4" t="s">
        <v>17</v>
      </c>
      <c r="B6" s="27">
        <f t="shared" ref="B6:B20" si="0">C6+D6</f>
        <v>360250</v>
      </c>
      <c r="C6" s="32">
        <f>+F6+I6+L6</f>
        <v>360250</v>
      </c>
      <c r="D6" s="40">
        <v>0</v>
      </c>
      <c r="E6" s="43">
        <f t="shared" ref="E6:E7" si="1">F6+G6</f>
        <v>72546</v>
      </c>
      <c r="F6" s="44">
        <f>SUM(F7:F10)</f>
        <v>72546</v>
      </c>
      <c r="G6" s="45">
        <v>0</v>
      </c>
      <c r="H6" s="43">
        <f t="shared" ref="H6:H7" si="2">+I6+J6</f>
        <v>122912</v>
      </c>
      <c r="I6" s="44">
        <f>SUM(I7:I10)</f>
        <v>122912</v>
      </c>
      <c r="J6" s="45">
        <v>0</v>
      </c>
      <c r="K6" s="43">
        <f t="shared" ref="K6:K10" si="3">L6+M6</f>
        <v>164792</v>
      </c>
      <c r="L6" s="44">
        <f>SUM(L7:L10)</f>
        <v>164792</v>
      </c>
      <c r="M6" s="45">
        <v>0</v>
      </c>
    </row>
    <row r="7" spans="1:13" x14ac:dyDescent="0.35">
      <c r="A7" s="13" t="s">
        <v>29</v>
      </c>
      <c r="B7" s="28">
        <f>+C7+D7</f>
        <v>168000</v>
      </c>
      <c r="C7" s="34">
        <f t="shared" ref="C7" si="4">+F7+I7+L7</f>
        <v>168000</v>
      </c>
      <c r="D7" s="41">
        <v>0</v>
      </c>
      <c r="E7" s="24">
        <f t="shared" si="1"/>
        <v>42000</v>
      </c>
      <c r="F7" s="21">
        <f>3*14000</f>
        <v>42000</v>
      </c>
      <c r="G7" s="22">
        <v>0</v>
      </c>
      <c r="H7" s="24">
        <f t="shared" si="2"/>
        <v>56000</v>
      </c>
      <c r="I7" s="21">
        <f>4*14000</f>
        <v>56000</v>
      </c>
      <c r="J7" s="22">
        <v>0</v>
      </c>
      <c r="K7" s="36">
        <f t="shared" si="3"/>
        <v>70000</v>
      </c>
      <c r="L7" s="21">
        <f>5*14000</f>
        <v>70000</v>
      </c>
      <c r="M7" s="22">
        <v>0</v>
      </c>
    </row>
    <row r="8" spans="1:13" s="20" customFormat="1" x14ac:dyDescent="0.35">
      <c r="A8" s="13" t="s">
        <v>30</v>
      </c>
      <c r="B8" s="28">
        <f>+C8+D8</f>
        <v>19296</v>
      </c>
      <c r="C8" s="34">
        <f>+F8+I8+L8</f>
        <v>19296</v>
      </c>
      <c r="D8" s="41">
        <v>0</v>
      </c>
      <c r="E8" s="24">
        <f>F8+G8</f>
        <v>3752</v>
      </c>
      <c r="F8" s="21">
        <f>536*7</f>
        <v>3752</v>
      </c>
      <c r="G8" s="22">
        <v>0</v>
      </c>
      <c r="H8" s="24">
        <f>+I8+J8</f>
        <v>6432</v>
      </c>
      <c r="I8" s="21">
        <f>536*12</f>
        <v>6432</v>
      </c>
      <c r="J8" s="22">
        <v>0</v>
      </c>
      <c r="K8" s="36">
        <f t="shared" si="3"/>
        <v>9112</v>
      </c>
      <c r="L8" s="21">
        <f>536*17</f>
        <v>9112</v>
      </c>
      <c r="M8" s="22">
        <v>0</v>
      </c>
    </row>
    <row r="9" spans="1:13" s="20" customFormat="1" x14ac:dyDescent="0.35">
      <c r="A9" s="13" t="s">
        <v>31</v>
      </c>
      <c r="B9" s="28">
        <f>+C9+D9</f>
        <v>28692</v>
      </c>
      <c r="C9" s="34">
        <f>+F9+I9+L9</f>
        <v>28692</v>
      </c>
      <c r="D9" s="41">
        <v>0</v>
      </c>
      <c r="E9" s="24">
        <f>+F9+G9</f>
        <v>5579</v>
      </c>
      <c r="F9" s="21">
        <f>797*7</f>
        <v>5579</v>
      </c>
      <c r="G9" s="22">
        <v>0</v>
      </c>
      <c r="H9" s="24">
        <f>536*12</f>
        <v>6432</v>
      </c>
      <c r="I9" s="21">
        <f>797*12</f>
        <v>9564</v>
      </c>
      <c r="J9" s="22">
        <v>0</v>
      </c>
      <c r="K9" s="36">
        <f t="shared" si="3"/>
        <v>13549</v>
      </c>
      <c r="L9" s="21">
        <f>797*17</f>
        <v>13549</v>
      </c>
      <c r="M9" s="22">
        <v>0</v>
      </c>
    </row>
    <row r="10" spans="1:13" s="20" customFormat="1" x14ac:dyDescent="0.35">
      <c r="A10" s="13" t="s">
        <v>32</v>
      </c>
      <c r="B10" s="28">
        <f>+C10+D10</f>
        <v>144262</v>
      </c>
      <c r="C10" s="34">
        <f>+F10+I10+L10</f>
        <v>144262</v>
      </c>
      <c r="D10" s="41">
        <v>0</v>
      </c>
      <c r="E10" s="24">
        <f>+F10+G10</f>
        <v>21215</v>
      </c>
      <c r="F10" s="21">
        <f>4243*5</f>
        <v>21215</v>
      </c>
      <c r="G10" s="22">
        <v>0</v>
      </c>
      <c r="H10" s="24">
        <f>+I10+J10</f>
        <v>50916</v>
      </c>
      <c r="I10" s="21">
        <f>4243*12</f>
        <v>50916</v>
      </c>
      <c r="J10" s="22">
        <v>0</v>
      </c>
      <c r="K10" s="36">
        <f t="shared" si="3"/>
        <v>72131</v>
      </c>
      <c r="L10" s="21">
        <f>4243*17</f>
        <v>72131</v>
      </c>
      <c r="M10" s="22">
        <v>0</v>
      </c>
    </row>
    <row r="11" spans="1:13" s="46" customFormat="1" x14ac:dyDescent="0.35">
      <c r="A11" s="4" t="s">
        <v>18</v>
      </c>
      <c r="B11" s="27">
        <f t="shared" si="0"/>
        <v>19000</v>
      </c>
      <c r="C11" s="32">
        <f t="shared" ref="C11:C15" si="5">+F11+I11+L11</f>
        <v>12000</v>
      </c>
      <c r="D11" s="40">
        <f t="shared" ref="D11:D20" si="6">G11+J11+M11</f>
        <v>7000</v>
      </c>
      <c r="E11" s="43">
        <f>F11+G11</f>
        <v>5000</v>
      </c>
      <c r="F11" s="44">
        <v>3000</v>
      </c>
      <c r="G11" s="45">
        <v>2000</v>
      </c>
      <c r="H11" s="43">
        <f>I11+J11</f>
        <v>6000</v>
      </c>
      <c r="I11" s="44">
        <v>4000</v>
      </c>
      <c r="J11" s="45">
        <v>2000</v>
      </c>
      <c r="K11" s="43">
        <f t="shared" ref="K11:K16" si="7">L11+M11</f>
        <v>8000</v>
      </c>
      <c r="L11" s="44">
        <v>5000</v>
      </c>
      <c r="M11" s="45">
        <v>3000</v>
      </c>
    </row>
    <row r="12" spans="1:13" s="46" customFormat="1" x14ac:dyDescent="0.35">
      <c r="A12" s="5" t="s">
        <v>19</v>
      </c>
      <c r="B12" s="27">
        <f t="shared" si="0"/>
        <v>97893.700000000012</v>
      </c>
      <c r="C12" s="32">
        <f t="shared" si="5"/>
        <v>13768</v>
      </c>
      <c r="D12" s="40">
        <f>G12+J12+M12</f>
        <v>84125.700000000012</v>
      </c>
      <c r="E12" s="43">
        <f t="shared" ref="E12:E24" si="8">F12+G12</f>
        <v>33679.215909090912</v>
      </c>
      <c r="F12" s="44">
        <v>5000</v>
      </c>
      <c r="G12" s="45">
        <v>28679.215909090912</v>
      </c>
      <c r="H12" s="43">
        <f t="shared" ref="H12:H20" si="9">I12+J12</f>
        <v>26711.37272727273</v>
      </c>
      <c r="I12" s="44">
        <v>3768</v>
      </c>
      <c r="J12" s="45">
        <v>22943.37272727273</v>
      </c>
      <c r="K12" s="43">
        <f t="shared" si="7"/>
        <v>37503.111363636366</v>
      </c>
      <c r="L12" s="44">
        <v>5000</v>
      </c>
      <c r="M12" s="45">
        <v>32503.111363636366</v>
      </c>
    </row>
    <row r="13" spans="1:13" s="46" customFormat="1" x14ac:dyDescent="0.35">
      <c r="A13" s="4" t="s">
        <v>20</v>
      </c>
      <c r="B13" s="27">
        <f t="shared" si="0"/>
        <v>781988.56</v>
      </c>
      <c r="C13" s="32">
        <f>+F13+I13+L13</f>
        <v>501215</v>
      </c>
      <c r="D13" s="40">
        <f t="shared" si="6"/>
        <v>280773.56</v>
      </c>
      <c r="E13" s="43">
        <f t="shared" si="8"/>
        <v>300023</v>
      </c>
      <c r="F13" s="44">
        <v>148023</v>
      </c>
      <c r="G13" s="45">
        <v>152000</v>
      </c>
      <c r="H13" s="43">
        <f t="shared" si="9"/>
        <v>247008.57</v>
      </c>
      <c r="I13" s="44">
        <f>SUM(I14:I15)</f>
        <v>191596</v>
      </c>
      <c r="J13" s="45">
        <v>55412.57</v>
      </c>
      <c r="K13" s="43">
        <f t="shared" si="7"/>
        <v>234956.99</v>
      </c>
      <c r="L13" s="44">
        <f>SUM(L14:L15)</f>
        <v>161596</v>
      </c>
      <c r="M13" s="45">
        <f>M14+M15</f>
        <v>73360.990000000005</v>
      </c>
    </row>
    <row r="14" spans="1:13" s="17" customFormat="1" ht="13" x14ac:dyDescent="0.3">
      <c r="A14" s="13" t="s">
        <v>21</v>
      </c>
      <c r="B14" s="29">
        <f t="shared" si="0"/>
        <v>38552.99</v>
      </c>
      <c r="C14" s="34">
        <f>+F14+I14+L14</f>
        <v>31192</v>
      </c>
      <c r="D14" s="42">
        <f t="shared" si="6"/>
        <v>7360.99</v>
      </c>
      <c r="E14" s="25">
        <f t="shared" si="8"/>
        <v>10000</v>
      </c>
      <c r="F14" s="14">
        <v>8000</v>
      </c>
      <c r="G14" s="15">
        <v>2000</v>
      </c>
      <c r="H14" s="25">
        <f t="shared" si="9"/>
        <v>13596</v>
      </c>
      <c r="I14" s="16">
        <v>11596</v>
      </c>
      <c r="J14" s="15">
        <v>2000</v>
      </c>
      <c r="K14" s="25">
        <f t="shared" si="7"/>
        <v>14956.99</v>
      </c>
      <c r="L14" s="16">
        <v>11596</v>
      </c>
      <c r="M14" s="15">
        <v>3360.99</v>
      </c>
    </row>
    <row r="15" spans="1:13" s="17" customFormat="1" ht="13" x14ac:dyDescent="0.3">
      <c r="A15" s="13" t="s">
        <v>22</v>
      </c>
      <c r="B15" s="29">
        <f>C15+D15</f>
        <v>743735.57000000007</v>
      </c>
      <c r="C15" s="34">
        <f t="shared" si="5"/>
        <v>470323</v>
      </c>
      <c r="D15" s="42">
        <f t="shared" si="6"/>
        <v>273412.57</v>
      </c>
      <c r="E15" s="25">
        <f>F15+G15</f>
        <v>290323</v>
      </c>
      <c r="F15" s="14">
        <f>+F16+F17+F18+F19</f>
        <v>140323</v>
      </c>
      <c r="G15" s="18">
        <v>150000</v>
      </c>
      <c r="H15" s="25">
        <f>I15+J15</f>
        <v>233412.57</v>
      </c>
      <c r="I15" s="14">
        <f>+I16+I17+I18+I19</f>
        <v>180000</v>
      </c>
      <c r="J15" s="18">
        <v>53412.57</v>
      </c>
      <c r="K15" s="25">
        <f t="shared" si="7"/>
        <v>220000</v>
      </c>
      <c r="L15" s="14">
        <f>+L16+L17+L18+L19</f>
        <v>150000</v>
      </c>
      <c r="M15" s="18">
        <v>70000</v>
      </c>
    </row>
    <row r="16" spans="1:13" s="17" customFormat="1" ht="36" x14ac:dyDescent="0.3">
      <c r="A16" s="30" t="s">
        <v>33</v>
      </c>
      <c r="B16" s="57">
        <f>C16+D16</f>
        <v>376935.57</v>
      </c>
      <c r="C16" s="66">
        <f>F16+I16+L16</f>
        <v>103523</v>
      </c>
      <c r="D16" s="58">
        <f>G16+J16+M16</f>
        <v>273412.57</v>
      </c>
      <c r="E16" s="59">
        <f t="shared" si="8"/>
        <v>191023</v>
      </c>
      <c r="F16" s="60">
        <v>41023</v>
      </c>
      <c r="G16" s="58">
        <f>G15</f>
        <v>150000</v>
      </c>
      <c r="H16" s="59">
        <f>I16+J16</f>
        <v>91912.57</v>
      </c>
      <c r="I16" s="60">
        <v>38500</v>
      </c>
      <c r="J16" s="58">
        <f>J15</f>
        <v>53412.57</v>
      </c>
      <c r="K16" s="59">
        <f>L16+M16</f>
        <v>94000</v>
      </c>
      <c r="L16" s="60">
        <v>24000</v>
      </c>
      <c r="M16" s="58">
        <f>M15</f>
        <v>70000</v>
      </c>
    </row>
    <row r="17" spans="1:13" s="17" customFormat="1" ht="24" x14ac:dyDescent="0.3">
      <c r="A17" s="30" t="s">
        <v>34</v>
      </c>
      <c r="B17" s="57">
        <f t="shared" ref="B17:B19" si="10">C17+D17</f>
        <v>137300</v>
      </c>
      <c r="C17" s="66">
        <f>F17+I17+L17</f>
        <v>137300</v>
      </c>
      <c r="D17" s="58">
        <v>0</v>
      </c>
      <c r="E17" s="59">
        <f t="shared" si="8"/>
        <v>65300</v>
      </c>
      <c r="F17" s="60">
        <v>65300</v>
      </c>
      <c r="G17" s="58">
        <v>0</v>
      </c>
      <c r="H17" s="59">
        <f>+J17+I17</f>
        <v>31500</v>
      </c>
      <c r="I17" s="60">
        <v>31500</v>
      </c>
      <c r="J17" s="58">
        <v>0</v>
      </c>
      <c r="K17" s="59">
        <f>+M17+L17</f>
        <v>40500</v>
      </c>
      <c r="L17" s="60">
        <v>40500</v>
      </c>
      <c r="M17" s="58">
        <v>0</v>
      </c>
    </row>
    <row r="18" spans="1:13" s="17" customFormat="1" ht="36" x14ac:dyDescent="0.3">
      <c r="A18" s="30" t="s">
        <v>35</v>
      </c>
      <c r="B18" s="57">
        <f t="shared" si="10"/>
        <v>106000</v>
      </c>
      <c r="C18" s="66">
        <f>F18+I18+L18</f>
        <v>106000</v>
      </c>
      <c r="D18" s="58">
        <v>0</v>
      </c>
      <c r="E18" s="59">
        <f t="shared" si="8"/>
        <v>34000</v>
      </c>
      <c r="F18" s="60">
        <v>34000</v>
      </c>
      <c r="G18" s="58">
        <v>0</v>
      </c>
      <c r="H18" s="59">
        <f>+J18+I18</f>
        <v>34000</v>
      </c>
      <c r="I18" s="60">
        <v>34000</v>
      </c>
      <c r="J18" s="58">
        <v>0</v>
      </c>
      <c r="K18" s="59">
        <f>+M18+L18</f>
        <v>38000</v>
      </c>
      <c r="L18" s="60">
        <v>38000</v>
      </c>
      <c r="M18" s="58">
        <v>0</v>
      </c>
    </row>
    <row r="19" spans="1:13" s="17" customFormat="1" ht="36" x14ac:dyDescent="0.3">
      <c r="A19" s="30" t="s">
        <v>36</v>
      </c>
      <c r="B19" s="57">
        <f t="shared" si="10"/>
        <v>123500</v>
      </c>
      <c r="C19" s="66">
        <f>F19+I19+L19</f>
        <v>123500</v>
      </c>
      <c r="D19" s="58">
        <v>0</v>
      </c>
      <c r="E19" s="59">
        <f t="shared" si="8"/>
        <v>0</v>
      </c>
      <c r="F19" s="60">
        <v>0</v>
      </c>
      <c r="G19" s="58">
        <v>0</v>
      </c>
      <c r="H19" s="59">
        <f>+J19+I19</f>
        <v>76000</v>
      </c>
      <c r="I19" s="60">
        <v>76000</v>
      </c>
      <c r="J19" s="58">
        <v>0</v>
      </c>
      <c r="K19" s="59">
        <f>+M19+L19</f>
        <v>47500</v>
      </c>
      <c r="L19" s="60">
        <v>47500</v>
      </c>
      <c r="M19" s="58">
        <v>0</v>
      </c>
    </row>
    <row r="20" spans="1:13" s="46" customFormat="1" x14ac:dyDescent="0.35">
      <c r="A20" s="4" t="s">
        <v>23</v>
      </c>
      <c r="B20" s="27">
        <f t="shared" si="0"/>
        <v>469358</v>
      </c>
      <c r="C20" s="33">
        <v>0</v>
      </c>
      <c r="D20" s="40">
        <f t="shared" si="6"/>
        <v>469358</v>
      </c>
      <c r="E20" s="67">
        <f>F20+G20</f>
        <v>112275</v>
      </c>
      <c r="F20" s="44">
        <v>0</v>
      </c>
      <c r="G20" s="45">
        <v>112275</v>
      </c>
      <c r="H20" s="43">
        <f t="shared" si="9"/>
        <v>183430</v>
      </c>
      <c r="I20" s="44">
        <v>0</v>
      </c>
      <c r="J20" s="45">
        <v>183430</v>
      </c>
      <c r="K20" s="43">
        <f t="shared" ref="K20" si="11">L20+M20</f>
        <v>173653</v>
      </c>
      <c r="L20" s="44">
        <v>0</v>
      </c>
      <c r="M20" s="45">
        <v>173653</v>
      </c>
    </row>
    <row r="21" spans="1:13" s="46" customFormat="1" x14ac:dyDescent="0.35">
      <c r="A21" s="6" t="s">
        <v>24</v>
      </c>
      <c r="B21" s="37">
        <f>B6+B11+B12+B13+B20</f>
        <v>1728490.26</v>
      </c>
      <c r="C21" s="7">
        <f>C6+C11+C12+C13+C20</f>
        <v>887233</v>
      </c>
      <c r="D21" s="8">
        <f>D6+D11+D12+D13+D20</f>
        <v>841257.26</v>
      </c>
      <c r="E21" s="7">
        <f>E6+E11+E12+E13+E20</f>
        <v>523523.21590909094</v>
      </c>
      <c r="F21" s="7">
        <f t="shared" ref="E21:M21" si="12">F6+F11+F12+F13+F20</f>
        <v>228569</v>
      </c>
      <c r="G21" s="8">
        <f t="shared" si="12"/>
        <v>294954.21590909094</v>
      </c>
      <c r="H21" s="37">
        <f>H6+H11+H12+H13+H20</f>
        <v>586061.94272727275</v>
      </c>
      <c r="I21" s="7">
        <f t="shared" si="12"/>
        <v>322276</v>
      </c>
      <c r="J21" s="8">
        <f t="shared" si="12"/>
        <v>263785.94272727275</v>
      </c>
      <c r="K21" s="37">
        <f t="shared" si="12"/>
        <v>618905.10136363632</v>
      </c>
      <c r="L21" s="7">
        <f t="shared" si="12"/>
        <v>336388</v>
      </c>
      <c r="M21" s="8">
        <f t="shared" si="12"/>
        <v>282517.10136363638</v>
      </c>
    </row>
    <row r="22" spans="1:13" ht="26" x14ac:dyDescent="0.35">
      <c r="A22" s="9" t="s">
        <v>25</v>
      </c>
      <c r="B22" s="26">
        <f>C22+D22</f>
        <v>120994</v>
      </c>
      <c r="C22" s="10">
        <f>ROUND(C21*0.07,0)</f>
        <v>62106</v>
      </c>
      <c r="D22" s="11">
        <f>ROUND(D21*0.07,0)</f>
        <v>58888</v>
      </c>
      <c r="E22" s="68">
        <f t="shared" si="8"/>
        <v>36646.625113636372</v>
      </c>
      <c r="F22" s="10">
        <f t="shared" ref="F22:G22" si="13">F21*0.07</f>
        <v>15999.830000000002</v>
      </c>
      <c r="G22" s="11">
        <f t="shared" si="13"/>
        <v>20646.795113636366</v>
      </c>
      <c r="H22" s="26">
        <f>H21*0.07</f>
        <v>41024.335990909094</v>
      </c>
      <c r="I22" s="10">
        <f t="shared" ref="I22:J22" si="14">I21*0.07</f>
        <v>22559.320000000003</v>
      </c>
      <c r="J22" s="11">
        <f t="shared" si="14"/>
        <v>18465.015990909094</v>
      </c>
      <c r="K22" s="26">
        <f>K21*0.07</f>
        <v>43323.357095454543</v>
      </c>
      <c r="L22" s="10">
        <f t="shared" ref="L22:M22" si="15">L21*0.07</f>
        <v>23547.160000000003</v>
      </c>
      <c r="M22" s="11">
        <f t="shared" si="15"/>
        <v>19776.197095454547</v>
      </c>
    </row>
    <row r="23" spans="1:13" ht="15" thickBot="1" x14ac:dyDescent="0.4">
      <c r="A23" s="12" t="s">
        <v>26</v>
      </c>
      <c r="B23" s="38">
        <f>C23+D23</f>
        <v>1849484.26</v>
      </c>
      <c r="C23" s="35">
        <f>SUM(C21:C22)</f>
        <v>949339</v>
      </c>
      <c r="D23" s="39">
        <f>SUM(D21:D22)</f>
        <v>900145.26</v>
      </c>
      <c r="E23" s="35">
        <f t="shared" si="8"/>
        <v>560169.84102272731</v>
      </c>
      <c r="F23" s="35">
        <f t="shared" ref="F23:G23" si="16">F22+F21</f>
        <v>244568.83000000002</v>
      </c>
      <c r="G23" s="39">
        <f t="shared" si="16"/>
        <v>315601.0110227273</v>
      </c>
      <c r="H23" s="38">
        <f>H22+H21</f>
        <v>627086.27871818189</v>
      </c>
      <c r="I23" s="35">
        <f t="shared" ref="I23:J23" si="17">I22+I21</f>
        <v>344835.32</v>
      </c>
      <c r="J23" s="39">
        <f t="shared" si="17"/>
        <v>282250.95871818182</v>
      </c>
      <c r="K23" s="38">
        <f>K22+K21</f>
        <v>662228.45845909091</v>
      </c>
      <c r="L23" s="35">
        <f t="shared" ref="L23:M23" si="18">L22+L21</f>
        <v>359935.16000000003</v>
      </c>
      <c r="M23" s="39">
        <f t="shared" si="18"/>
        <v>302293.29845909093</v>
      </c>
    </row>
    <row r="24" spans="1:13" ht="15" thickBot="1" x14ac:dyDescent="0.4">
      <c r="A24" s="61" t="s">
        <v>28</v>
      </c>
      <c r="B24" s="62">
        <f>E24+H24+K24</f>
        <v>234823</v>
      </c>
      <c r="C24" s="63">
        <f>F24+I24+L24</f>
        <v>129666</v>
      </c>
      <c r="D24" s="64">
        <f>G24+J24+M24</f>
        <v>105157</v>
      </c>
      <c r="E24" s="69">
        <f>F24+G24</f>
        <v>78357</v>
      </c>
      <c r="F24" s="63">
        <v>43200</v>
      </c>
      <c r="G24" s="64">
        <v>35157</v>
      </c>
      <c r="H24" s="65">
        <f>I24+J24</f>
        <v>78200</v>
      </c>
      <c r="I24" s="63">
        <v>43200</v>
      </c>
      <c r="J24" s="64">
        <v>35000</v>
      </c>
      <c r="K24" s="65">
        <f>L24+M24</f>
        <v>78266</v>
      </c>
      <c r="L24" s="63">
        <v>43266</v>
      </c>
      <c r="M24" s="64">
        <v>35000</v>
      </c>
    </row>
    <row r="25" spans="1:13" x14ac:dyDescent="0.35">
      <c r="C25" s="31"/>
    </row>
    <row r="26" spans="1:13" x14ac:dyDescent="0.35">
      <c r="C26" s="23"/>
      <c r="D26" s="23"/>
    </row>
    <row r="28" spans="1:13" x14ac:dyDescent="0.35">
      <c r="G28" s="19"/>
      <c r="L28" s="19"/>
    </row>
    <row r="30" spans="1:13" x14ac:dyDescent="0.35">
      <c r="J30" s="20"/>
    </row>
  </sheetData>
  <mergeCells count="17">
    <mergeCell ref="M3:M5"/>
    <mergeCell ref="E2:G2"/>
    <mergeCell ref="H2:J2"/>
    <mergeCell ref="K2:M2"/>
    <mergeCell ref="F3:F5"/>
    <mergeCell ref="G3:G5"/>
    <mergeCell ref="H3:H5"/>
    <mergeCell ref="I3:I5"/>
    <mergeCell ref="J3:J5"/>
    <mergeCell ref="K3:K5"/>
    <mergeCell ref="E3:E5"/>
    <mergeCell ref="A2:D2"/>
    <mergeCell ref="L3:L5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  <ignoredErrors>
    <ignoredError sqref="H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Pantelic</dc:creator>
  <cp:keywords/>
  <dc:description/>
  <cp:lastModifiedBy>Administrator</cp:lastModifiedBy>
  <cp:revision/>
  <dcterms:created xsi:type="dcterms:W3CDTF">2019-08-09T19:58:39Z</dcterms:created>
  <dcterms:modified xsi:type="dcterms:W3CDTF">2020-03-12T09:05:33Z</dcterms:modified>
  <cp:category/>
  <cp:contentStatus/>
</cp:coreProperties>
</file>