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LAGSHIP PROGRAMME - SPFs for All\02 - Fund raising and partnerships\01 - Donor countries\18- EC\01 GLO1919EUR\Reporting\Progress report 2020\final package\"/>
    </mc:Choice>
  </mc:AlternateContent>
  <bookViews>
    <workbookView xWindow="0" yWindow="0" windowWidth="24000" windowHeight="9000"/>
  </bookViews>
  <sheets>
    <sheet name="Budget Annex I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6" i="1"/>
  <c r="H6" i="1"/>
  <c r="H15" i="1" s="1"/>
  <c r="H16" i="1" s="1"/>
  <c r="D7" i="1"/>
  <c r="H7" i="1"/>
  <c r="C8" i="1"/>
  <c r="F8" i="1" s="1"/>
  <c r="D8" i="1"/>
  <c r="G8" i="1" s="1"/>
  <c r="H8" i="1"/>
  <c r="C9" i="1"/>
  <c r="F9" i="1" s="1"/>
  <c r="E9" i="1" s="1"/>
  <c r="D9" i="1"/>
  <c r="G9" i="1" s="1"/>
  <c r="H9" i="1"/>
  <c r="H10" i="1"/>
  <c r="H11" i="1" s="1"/>
  <c r="H12" i="1" s="1"/>
  <c r="I10" i="1"/>
  <c r="J10" i="1"/>
  <c r="C13" i="1"/>
  <c r="B13" i="1" s="1"/>
  <c r="D13" i="1"/>
  <c r="G13" i="1" s="1"/>
  <c r="F13" i="1"/>
  <c r="H13" i="1"/>
  <c r="B14" i="1"/>
  <c r="F14" i="1"/>
  <c r="E14" i="1" s="1"/>
  <c r="H14" i="1"/>
  <c r="I15" i="1"/>
  <c r="J15" i="1"/>
  <c r="J16" i="1" s="1"/>
  <c r="B16" i="1"/>
  <c r="B24" i="1"/>
  <c r="B32" i="1" s="1"/>
  <c r="D24" i="1"/>
  <c r="D32" i="1" s="1"/>
  <c r="F24" i="1"/>
  <c r="F32" i="1" s="1"/>
  <c r="H24" i="1"/>
  <c r="J24" i="1"/>
  <c r="J32" i="1" s="1"/>
  <c r="L24" i="1"/>
  <c r="N24" i="1"/>
  <c r="P24" i="1"/>
  <c r="T24" i="1"/>
  <c r="R25" i="1"/>
  <c r="S25" i="1"/>
  <c r="T25" i="1"/>
  <c r="R26" i="1"/>
  <c r="S26" i="1"/>
  <c r="T26" i="1"/>
  <c r="R27" i="1"/>
  <c r="S27" i="1"/>
  <c r="T27" i="1"/>
  <c r="B28" i="1"/>
  <c r="R28" i="1" s="1"/>
  <c r="C28" i="1"/>
  <c r="D28" i="1"/>
  <c r="E28" i="1"/>
  <c r="F28" i="1"/>
  <c r="F30" i="1" s="1"/>
  <c r="G28" i="1"/>
  <c r="G29" i="1" s="1"/>
  <c r="H28" i="1"/>
  <c r="H29" i="1" s="1"/>
  <c r="J28" i="1"/>
  <c r="J29" i="1" s="1"/>
  <c r="K28" i="1"/>
  <c r="K29" i="1" s="1"/>
  <c r="K30" i="1" s="1"/>
  <c r="L28" i="1"/>
  <c r="M28" i="1"/>
  <c r="N28" i="1"/>
  <c r="O28" i="1"/>
  <c r="O29" i="1" s="1"/>
  <c r="P28" i="1"/>
  <c r="S28" i="1" s="1"/>
  <c r="Q28" i="1"/>
  <c r="T28" i="1" s="1"/>
  <c r="C29" i="1"/>
  <c r="D29" i="1"/>
  <c r="E29" i="1"/>
  <c r="F29" i="1"/>
  <c r="I29" i="1"/>
  <c r="L29" i="1"/>
  <c r="M29" i="1"/>
  <c r="N29" i="1"/>
  <c r="N30" i="1" s="1"/>
  <c r="C30" i="1"/>
  <c r="D30" i="1"/>
  <c r="E30" i="1"/>
  <c r="I30" i="1"/>
  <c r="L30" i="1"/>
  <c r="M30" i="1"/>
  <c r="R31" i="1"/>
  <c r="S31" i="1"/>
  <c r="T31" i="1"/>
  <c r="C32" i="1"/>
  <c r="C33" i="1" s="1"/>
  <c r="C34" i="1" s="1"/>
  <c r="E32" i="1"/>
  <c r="I32" i="1"/>
  <c r="I33" i="1" s="1"/>
  <c r="K32" i="1"/>
  <c r="K33" i="1" s="1"/>
  <c r="K34" i="1" s="1"/>
  <c r="L32" i="1"/>
  <c r="M32" i="1"/>
  <c r="N32" i="1"/>
  <c r="O32" i="1"/>
  <c r="O33" i="1" s="1"/>
  <c r="P32" i="1"/>
  <c r="Q32" i="1"/>
  <c r="E33" i="1"/>
  <c r="E34" i="1" s="1"/>
  <c r="L33" i="1"/>
  <c r="L34" i="1" s="1"/>
  <c r="M33" i="1"/>
  <c r="M34" i="1" s="1"/>
  <c r="N33" i="1"/>
  <c r="N34" i="1" s="1"/>
  <c r="B38" i="1"/>
  <c r="B39" i="1"/>
  <c r="A46" i="1"/>
  <c r="B46" i="1"/>
  <c r="C46" i="1"/>
  <c r="D46" i="1"/>
  <c r="G46" i="1"/>
  <c r="G59" i="1" s="1"/>
  <c r="A47" i="1"/>
  <c r="B47" i="1"/>
  <c r="C47" i="1"/>
  <c r="D47" i="1"/>
  <c r="G47" i="1"/>
  <c r="B48" i="1"/>
  <c r="C48" i="1"/>
  <c r="D48" i="1"/>
  <c r="G48" i="1"/>
  <c r="B49" i="1"/>
  <c r="C49" i="1"/>
  <c r="D49" i="1"/>
  <c r="G49" i="1"/>
  <c r="B50" i="1"/>
  <c r="C50" i="1"/>
  <c r="D50" i="1"/>
  <c r="G50" i="1"/>
  <c r="G51" i="1"/>
  <c r="G52" i="1"/>
  <c r="G53" i="1"/>
  <c r="E54" i="1"/>
  <c r="E56" i="1" s="1"/>
  <c r="G56" i="1" s="1"/>
  <c r="G54" i="1"/>
  <c r="E55" i="1"/>
  <c r="G55" i="1"/>
  <c r="G57" i="1"/>
  <c r="E59" i="1"/>
  <c r="E60" i="1"/>
  <c r="G60" i="1"/>
  <c r="E61" i="1"/>
  <c r="G61" i="1" s="1"/>
  <c r="A69" i="1"/>
  <c r="B69" i="1"/>
  <c r="C69" i="1"/>
  <c r="D69" i="1"/>
  <c r="E69" i="1"/>
  <c r="F69" i="1"/>
  <c r="A70" i="1"/>
  <c r="B70" i="1"/>
  <c r="C70" i="1"/>
  <c r="D70" i="1"/>
  <c r="E70" i="1"/>
  <c r="F70" i="1" s="1"/>
  <c r="A71" i="1"/>
  <c r="B71" i="1"/>
  <c r="C71" i="1"/>
  <c r="D71" i="1"/>
  <c r="E71" i="1"/>
  <c r="F71" i="1" s="1"/>
  <c r="A72" i="1"/>
  <c r="B72" i="1"/>
  <c r="C72" i="1"/>
  <c r="D72" i="1"/>
  <c r="E72" i="1"/>
  <c r="F72" i="1" s="1"/>
  <c r="E73" i="1"/>
  <c r="C7" i="1" s="1"/>
  <c r="E74" i="1"/>
  <c r="F74" i="1" s="1"/>
  <c r="E75" i="1"/>
  <c r="F75" i="1"/>
  <c r="E76" i="1"/>
  <c r="F76" i="1" s="1"/>
  <c r="F79" i="1"/>
  <c r="N35" i="1" l="1"/>
  <c r="N36" i="1" s="1"/>
  <c r="L35" i="1"/>
  <c r="L36" i="1"/>
  <c r="K35" i="1"/>
  <c r="K36" i="1" s="1"/>
  <c r="E8" i="1"/>
  <c r="M35" i="1"/>
  <c r="M36" i="1" s="1"/>
  <c r="F80" i="1"/>
  <c r="C35" i="1"/>
  <c r="C36" i="1" s="1"/>
  <c r="F33" i="1"/>
  <c r="F34" i="1" s="1"/>
  <c r="E35" i="1"/>
  <c r="E36" i="1" s="1"/>
  <c r="J33" i="1"/>
  <c r="J34" i="1"/>
  <c r="S32" i="1"/>
  <c r="D33" i="1"/>
  <c r="D34" i="1" s="1"/>
  <c r="F7" i="1"/>
  <c r="B7" i="1"/>
  <c r="B33" i="1"/>
  <c r="B34" i="1"/>
  <c r="E13" i="1"/>
  <c r="E80" i="1"/>
  <c r="D10" i="1"/>
  <c r="S24" i="1"/>
  <c r="I34" i="1"/>
  <c r="R24" i="1"/>
  <c r="C10" i="1"/>
  <c r="B9" i="1"/>
  <c r="J30" i="1"/>
  <c r="B30" i="1"/>
  <c r="R30" i="1" s="1"/>
  <c r="J17" i="1"/>
  <c r="H17" i="1" s="1"/>
  <c r="G7" i="1"/>
  <c r="H32" i="1"/>
  <c r="B8" i="1"/>
  <c r="G32" i="1"/>
  <c r="R32" i="1" s="1"/>
  <c r="E78" i="1"/>
  <c r="F78" i="1" s="1"/>
  <c r="O34" i="1"/>
  <c r="Q30" i="1"/>
  <c r="B29" i="1"/>
  <c r="F73" i="1"/>
  <c r="Q33" i="1"/>
  <c r="P30" i="1"/>
  <c r="H30" i="1"/>
  <c r="Q29" i="1"/>
  <c r="P33" i="1"/>
  <c r="P34" i="1" s="1"/>
  <c r="G30" i="1"/>
  <c r="C6" i="1"/>
  <c r="E77" i="1"/>
  <c r="F77" i="1" s="1"/>
  <c r="O30" i="1"/>
  <c r="P29" i="1"/>
  <c r="D35" i="1" l="1"/>
  <c r="D36" i="1"/>
  <c r="P35" i="1"/>
  <c r="P36" i="1"/>
  <c r="F35" i="1"/>
  <c r="F36" i="1" s="1"/>
  <c r="E81" i="1"/>
  <c r="E82" i="1" s="1"/>
  <c r="G10" i="1"/>
  <c r="D11" i="1"/>
  <c r="D12" i="1" s="1"/>
  <c r="F10" i="1"/>
  <c r="C11" i="1"/>
  <c r="C12" i="1" s="1"/>
  <c r="B10" i="1"/>
  <c r="F81" i="1"/>
  <c r="F82" i="1" s="1"/>
  <c r="B35" i="1"/>
  <c r="B36" i="1" s="1"/>
  <c r="J35" i="1"/>
  <c r="J36" i="1"/>
  <c r="H33" i="1"/>
  <c r="S33" i="1" s="1"/>
  <c r="H34" i="1"/>
  <c r="S34" i="1" s="1"/>
  <c r="D15" i="1"/>
  <c r="D17" i="1" s="1"/>
  <c r="G33" i="1"/>
  <c r="R33" i="1" s="1"/>
  <c r="R34" i="1" s="1"/>
  <c r="T33" i="1"/>
  <c r="B6" i="1"/>
  <c r="B15" i="1" s="1"/>
  <c r="F6" i="1"/>
  <c r="C15" i="1"/>
  <c r="C17" i="1" s="1"/>
  <c r="B17" i="1" s="1"/>
  <c r="Q34" i="1"/>
  <c r="I35" i="1"/>
  <c r="I36" i="1"/>
  <c r="T32" i="1"/>
  <c r="O35" i="1"/>
  <c r="O36" i="1"/>
  <c r="R29" i="1"/>
  <c r="E7" i="1"/>
  <c r="G34" i="1" l="1"/>
  <c r="F11" i="1"/>
  <c r="F12" i="1" s="1"/>
  <c r="E10" i="1"/>
  <c r="T34" i="1"/>
  <c r="Q35" i="1"/>
  <c r="Q36" i="1"/>
  <c r="G12" i="1"/>
  <c r="G11" i="1"/>
  <c r="G15" i="1"/>
  <c r="G16" i="1" s="1"/>
  <c r="G17" i="1" s="1"/>
  <c r="B11" i="1"/>
  <c r="B12" i="1"/>
  <c r="H35" i="1"/>
  <c r="H36" i="1" s="1"/>
  <c r="F15" i="1"/>
  <c r="F16" i="1" s="1"/>
  <c r="F17" i="1" s="1"/>
  <c r="E6" i="1"/>
  <c r="E15" i="1" s="1"/>
  <c r="E16" i="1" s="1"/>
  <c r="E17" i="1" s="1"/>
  <c r="E11" i="1" l="1"/>
  <c r="E12" i="1"/>
  <c r="G35" i="1"/>
  <c r="G36" i="1"/>
</calcChain>
</file>

<file path=xl/sharedStrings.xml><?xml version="1.0" encoding="utf-8"?>
<sst xmlns="http://schemas.openxmlformats.org/spreadsheetml/2006/main" count="105" uniqueCount="59">
  <si>
    <t>9. Total eligible costs of the Action per Agency (7-8)</t>
  </si>
  <si>
    <t>8. Indirect costs (maximum 7% of  7, subtotal of direct eligible costs of the Action)</t>
  </si>
  <si>
    <t>7. Total direct eligible costs of the Action (1-6)</t>
  </si>
  <si>
    <t>6. Other</t>
  </si>
  <si>
    <t>5.2. Other services</t>
  </si>
  <si>
    <t xml:space="preserve">5.1. Communication and Visibility </t>
  </si>
  <si>
    <t>5. Services</t>
  </si>
  <si>
    <t>4. Local Office costs</t>
  </si>
  <si>
    <t>3. Equipment and supplies</t>
  </si>
  <si>
    <t>2. Travel</t>
  </si>
  <si>
    <t>1. Human Resources</t>
  </si>
  <si>
    <t>ILO</t>
  </si>
  <si>
    <t>Unit value</t>
  </si>
  <si>
    <t># Units</t>
  </si>
  <si>
    <t>Units</t>
  </si>
  <si>
    <t>Total budget Approach 2</t>
  </si>
  <si>
    <r>
      <t>Approach 2 - 44 months
(in EUR)</t>
    </r>
    <r>
      <rPr>
        <b/>
        <sz val="10"/>
        <color indexed="9"/>
        <rFont val="Arial"/>
        <family val="2"/>
      </rPr>
      <t xml:space="preserve">
</t>
    </r>
  </si>
  <si>
    <t>10. Total eligible costs of the Action per Agency (8-9)</t>
  </si>
  <si>
    <t>9. Indirect costs (maximum 7% of  7, subtotal of direct eligible costs of the Action)</t>
  </si>
  <si>
    <t>8. Total direct eligible costs of the Action (1-7)</t>
  </si>
  <si>
    <t>7. Grant to GCSPF</t>
  </si>
  <si>
    <t>1.5 20% of a consultant's time (Visibility and Knowledge management)</t>
  </si>
  <si>
    <t>1.4 15% of the time of a P4 (Public finance for children)</t>
  </si>
  <si>
    <t>1.3 80% of the time of a P3 (coorodnator)</t>
  </si>
  <si>
    <t>UNICEF</t>
  </si>
  <si>
    <t>Total budget 
Cross - country</t>
  </si>
  <si>
    <r>
      <t>Cross - Country - 44 months
(in EUR)</t>
    </r>
    <r>
      <rPr>
        <b/>
        <sz val="10"/>
        <color indexed="9"/>
        <rFont val="Arial"/>
        <family val="2"/>
      </rPr>
      <t xml:space="preserve">
</t>
    </r>
  </si>
  <si>
    <t>UNICEF contribution share</t>
  </si>
  <si>
    <t>ILO contribution share</t>
  </si>
  <si>
    <t>ILO contribution</t>
  </si>
  <si>
    <t>ILO Budget exlcuding ILO contribution</t>
  </si>
  <si>
    <t>6. Other costs, subgrants to local NGOs</t>
  </si>
  <si>
    <t>5. Other costs, services</t>
  </si>
  <si>
    <t>Total budget</t>
  </si>
  <si>
    <t>Ethiopia
Costs
(in EUR)</t>
  </si>
  <si>
    <t>Angola
Costs
(in EUR)</t>
  </si>
  <si>
    <t>Burkina Faso
Costs
(in EUR)</t>
  </si>
  <si>
    <t>Senegal
Costs
(in EUR)</t>
  </si>
  <si>
    <t>Uganda
Costs
(in EUR)</t>
  </si>
  <si>
    <t>Nepal
Costs
(in EUR)</t>
  </si>
  <si>
    <t>Paraguay
Costs
(in EUR)</t>
  </si>
  <si>
    <r>
      <t>Cambodia
Costs 
(in EUR)</t>
    </r>
    <r>
      <rPr>
        <b/>
        <sz val="10"/>
        <color indexed="9"/>
        <rFont val="Arial"/>
        <family val="2"/>
      </rPr>
      <t xml:space="preserve">
</t>
    </r>
  </si>
  <si>
    <t xml:space="preserve">Consolidated Expenses Per Country Offices
</t>
  </si>
  <si>
    <t>Summary Budget :</t>
  </si>
  <si>
    <t>10. Total eligible costs of the Action (8-9)</t>
  </si>
  <si>
    <t>9. Indirect costs (maximum 7% of  10, subtotal of direct eligible costs of the Action)</t>
  </si>
  <si>
    <t>4. Local office</t>
  </si>
  <si>
    <t>Year 2 UNICEF</t>
  </si>
  <si>
    <t>Year 2 ILO</t>
  </si>
  <si>
    <t>Year 2 Total (no contribution)</t>
  </si>
  <si>
    <t>Year 1 UNICEF</t>
  </si>
  <si>
    <t>Year 1 ILO</t>
  </si>
  <si>
    <t>Year 1 Total (no contribution)</t>
  </si>
  <si>
    <t>Total budget of the Action - UNICEF</t>
  </si>
  <si>
    <t>Total budget of the Action - ILO</t>
  </si>
  <si>
    <t>Total budget action (C+D)</t>
  </si>
  <si>
    <t>Consolidated Expenses as Per Harmonized Categories
44 months Budget</t>
  </si>
  <si>
    <r>
      <t>*</t>
    </r>
    <r>
      <rPr>
        <sz val="8"/>
        <rFont val="Arial"/>
        <family val="2"/>
      </rPr>
      <t>indicative budget may be revised/updated after the inception phase is carried out.</t>
    </r>
    <r>
      <rPr>
        <b/>
        <sz val="12"/>
        <rFont val="Arial"/>
        <family val="2"/>
      </rPr>
      <t xml:space="preserve"> </t>
    </r>
  </si>
  <si>
    <t>Annex III*: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</si>
</sst>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\-#,##0.00\ "/>
    <numFmt numFmtId="165" formatCode="_-* #,##0.00\ _F_B_-;\-* #,##0.00\ _F_B_-;_-* &quot;-&quot;??\ _F_B_-;_-@_-"/>
    <numFmt numFmtId="166" formatCode="_-* #,##0\ _F_B_-;\-* #,##0\ _F_B_-;_-* &quot;-&quot;??\ _F_B_-;_-@_-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b/>
      <i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rgb="FF80808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93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3" borderId="1" xfId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164" fontId="6" fillId="5" borderId="5" xfId="1" applyNumberFormat="1" applyFont="1" applyFill="1" applyBorder="1" applyAlignment="1">
      <alignment horizontal="right" vertical="center"/>
    </xf>
    <xf numFmtId="166" fontId="6" fillId="5" borderId="5" xfId="3" applyNumberFormat="1" applyFont="1" applyFill="1" applyBorder="1" applyAlignment="1">
      <alignment vertical="center"/>
    </xf>
    <xf numFmtId="0" fontId="9" fillId="6" borderId="6" xfId="0" applyFont="1" applyFill="1" applyBorder="1" applyAlignment="1">
      <alignment horizontal="left" vertical="center" wrapText="1"/>
    </xf>
    <xf numFmtId="164" fontId="10" fillId="7" borderId="7" xfId="1" applyNumberFormat="1" applyFont="1" applyFill="1" applyBorder="1" applyAlignment="1">
      <alignment horizontal="right" vertical="center" wrapText="1"/>
    </xf>
    <xf numFmtId="164" fontId="10" fillId="7" borderId="8" xfId="1" applyNumberFormat="1" applyFont="1" applyFill="1" applyBorder="1" applyAlignment="1">
      <alignment horizontal="right" vertical="center" wrapText="1"/>
    </xf>
    <xf numFmtId="166" fontId="10" fillId="7" borderId="8" xfId="3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10" fillId="8" borderId="9" xfId="0" applyFont="1" applyFill="1" applyBorder="1" applyAlignment="1">
      <alignment vertical="center" wrapText="1"/>
    </xf>
    <xf numFmtId="166" fontId="10" fillId="7" borderId="7" xfId="3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166" fontId="4" fillId="0" borderId="0" xfId="0" applyNumberFormat="1" applyFont="1" applyAlignment="1">
      <alignment vertical="center"/>
    </xf>
    <xf numFmtId="166" fontId="10" fillId="7" borderId="10" xfId="3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Alignment="1">
      <alignment vertical="center"/>
    </xf>
    <xf numFmtId="164" fontId="9" fillId="2" borderId="0" xfId="1" applyNumberFormat="1" applyFont="1" applyFill="1" applyBorder="1" applyAlignment="1">
      <alignment horizontal="right" vertical="center"/>
    </xf>
    <xf numFmtId="166" fontId="9" fillId="2" borderId="0" xfId="3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164" fontId="9" fillId="10" borderId="5" xfId="1" applyNumberFormat="1" applyFont="1" applyFill="1" applyBorder="1" applyAlignment="1">
      <alignment horizontal="right" vertical="center"/>
    </xf>
    <xf numFmtId="166" fontId="9" fillId="10" borderId="5" xfId="3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horizontal="right" vertical="center"/>
    </xf>
    <xf numFmtId="164" fontId="5" fillId="11" borderId="1" xfId="1" applyNumberFormat="1" applyFont="1" applyFill="1" applyBorder="1" applyAlignment="1">
      <alignment horizontal="right" vertical="center" wrapText="1"/>
    </xf>
    <xf numFmtId="0" fontId="5" fillId="11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12" borderId="4" xfId="0" applyFont="1" applyFill="1" applyBorder="1" applyAlignment="1">
      <alignment horizontal="left" vertical="center" wrapText="1" inden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vertical="center"/>
    </xf>
    <xf numFmtId="43" fontId="15" fillId="2" borderId="0" xfId="3" applyNumberFormat="1" applyFont="1" applyFill="1" applyBorder="1" applyAlignment="1">
      <alignment vertical="center"/>
    </xf>
    <xf numFmtId="10" fontId="2" fillId="13" borderId="4" xfId="2" applyNumberFormat="1" applyFont="1" applyFill="1" applyBorder="1"/>
    <xf numFmtId="0" fontId="2" fillId="13" borderId="4" xfId="0" applyFont="1" applyFill="1" applyBorder="1"/>
    <xf numFmtId="167" fontId="2" fillId="13" borderId="4" xfId="1" applyNumberFormat="1" applyFont="1" applyFill="1" applyBorder="1"/>
    <xf numFmtId="0" fontId="3" fillId="4" borderId="0" xfId="0" applyFont="1" applyFill="1"/>
    <xf numFmtId="43" fontId="16" fillId="2" borderId="0" xfId="0" applyNumberFormat="1" applyFont="1" applyFill="1" applyAlignment="1">
      <alignment vertical="center"/>
    </xf>
    <xf numFmtId="43" fontId="12" fillId="12" borderId="2" xfId="1" applyFont="1" applyFill="1" applyBorder="1" applyAlignment="1">
      <alignment vertical="center" wrapText="1"/>
    </xf>
    <xf numFmtId="43" fontId="5" fillId="3" borderId="1" xfId="1" applyFont="1" applyFill="1" applyBorder="1" applyAlignment="1">
      <alignment vertical="center" wrapText="1"/>
    </xf>
    <xf numFmtId="43" fontId="6" fillId="2" borderId="5" xfId="1" applyFont="1" applyFill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3" fontId="15" fillId="5" borderId="6" xfId="1" applyFont="1" applyFill="1" applyBorder="1" applyAlignment="1">
      <alignment vertical="center"/>
    </xf>
    <xf numFmtId="43" fontId="6" fillId="5" borderId="5" xfId="1" applyFont="1" applyFill="1" applyBorder="1" applyAlignment="1">
      <alignment vertical="center"/>
    </xf>
    <xf numFmtId="43" fontId="10" fillId="7" borderId="10" xfId="1" applyFont="1" applyFill="1" applyBorder="1" applyAlignment="1">
      <alignment horizontal="center" vertical="center" wrapText="1"/>
    </xf>
    <xf numFmtId="43" fontId="10" fillId="7" borderId="8" xfId="1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3" applyNumberFormat="1" applyFont="1" applyFill="1" applyAlignment="1">
      <alignment horizontal="right" vertical="center"/>
    </xf>
    <xf numFmtId="43" fontId="5" fillId="3" borderId="4" xfId="1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43" fontId="4" fillId="2" borderId="4" xfId="1" applyFont="1" applyFill="1" applyBorder="1" applyAlignment="1">
      <alignment vertical="center"/>
    </xf>
    <xf numFmtId="43" fontId="9" fillId="6" borderId="4" xfId="1" applyFont="1" applyFill="1" applyBorder="1" applyAlignment="1">
      <alignment vertical="center"/>
    </xf>
    <xf numFmtId="0" fontId="9" fillId="6" borderId="4" xfId="0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right" vertical="center"/>
    </xf>
    <xf numFmtId="43" fontId="0" fillId="2" borderId="4" xfId="1" applyFont="1" applyFill="1" applyBorder="1" applyAlignment="1">
      <alignment vertical="center"/>
    </xf>
    <xf numFmtId="43" fontId="0" fillId="2" borderId="4" xfId="1" applyFont="1" applyFill="1" applyBorder="1" applyAlignment="1">
      <alignment horizontal="right" vertical="center"/>
    </xf>
    <xf numFmtId="43" fontId="4" fillId="4" borderId="4" xfId="1" applyFont="1" applyFill="1" applyBorder="1" applyAlignment="1">
      <alignment vertical="center" wrapText="1"/>
    </xf>
    <xf numFmtId="43" fontId="10" fillId="7" borderId="4" xfId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_EC%20PRODOC_06%20July_CLEAN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s"/>
      <sheetName val="Description"/>
      <sheetName val="1. Summary - Budget"/>
      <sheetName val="1. Total Budget"/>
      <sheetName val="1.1. Total budget inception A 1"/>
      <sheetName val="1.2.Total budget A1(impl+incep)"/>
      <sheetName val="1.3. Inception cross-country"/>
      <sheetName val="1.1. Cross-country Total (A1+2)"/>
      <sheetName val="1.2. Approach 2 Total"/>
      <sheetName val="2. Inception Cambodia (A1)"/>
      <sheetName val=" 2. Cambodia - Total (A1)"/>
      <sheetName val="3. Inception Paraguay (A1)"/>
      <sheetName val="3. Paraguay - Total (A1)"/>
      <sheetName val="4. Inception Nepal (A1)"/>
      <sheetName val="4. Nepal - Total (A1)"/>
      <sheetName val="5. Inception Uganda (A1)"/>
      <sheetName val="5. Uganda - Total (A1)"/>
      <sheetName val="6. Inception Senegal (A1)"/>
      <sheetName val="6. Senegal - Total (A1)"/>
      <sheetName val="7. Inception Burkina Faso (A1)"/>
      <sheetName val="7. Burkina Faso - Total (A1)"/>
      <sheetName val="8. Inception Angola (A1)"/>
      <sheetName val="8. Angola - Total (A1)"/>
      <sheetName val="9. Inception Ethiopia (A1)"/>
      <sheetName val="9. Ethiopia - Total (A1)"/>
      <sheetName val="Budget Annex ÎII"/>
      <sheetName val="1st Instalment (basic)"/>
      <sheetName val="1st Instalment (Approach 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1.1 Project Manager (P5 step 3) 50%</v>
          </cell>
          <cell r="B4" t="str">
            <v>Per month</v>
          </cell>
          <cell r="C4">
            <v>44</v>
          </cell>
          <cell r="D4">
            <v>19235.903000000002</v>
          </cell>
        </row>
        <row r="5">
          <cell r="A5" t="str">
            <v>1.2 Administrative support (G5 step 8) 50%</v>
          </cell>
          <cell r="B5" t="str">
            <v>Per month</v>
          </cell>
          <cell r="C5">
            <v>44</v>
          </cell>
          <cell r="D5">
            <v>10707.989</v>
          </cell>
        </row>
        <row r="6">
          <cell r="B6" t="str">
            <v xml:space="preserve">Per Month </v>
          </cell>
          <cell r="C6">
            <v>36</v>
          </cell>
          <cell r="D6">
            <v>11489.18</v>
          </cell>
        </row>
        <row r="7">
          <cell r="B7" t="str">
            <v xml:space="preserve">Per Month </v>
          </cell>
          <cell r="C7">
            <v>36</v>
          </cell>
          <cell r="D7">
            <v>4206</v>
          </cell>
        </row>
        <row r="8">
          <cell r="B8" t="str">
            <v>Per month</v>
          </cell>
          <cell r="C8">
            <v>3</v>
          </cell>
        </row>
      </sheetData>
      <sheetData sheetId="8">
        <row r="4">
          <cell r="A4" t="str">
            <v>1.1 Project Manager (P5 step 3) 50%</v>
          </cell>
          <cell r="B4" t="str">
            <v>Per month</v>
          </cell>
          <cell r="C4">
            <v>44</v>
          </cell>
          <cell r="D4">
            <v>19235.903000000002</v>
          </cell>
          <cell r="E4">
            <v>423189.86600000004</v>
          </cell>
        </row>
        <row r="5">
          <cell r="A5" t="str">
            <v>1.2 Administrative support staff (G5 step 8) 50%</v>
          </cell>
          <cell r="B5" t="str">
            <v>Per month</v>
          </cell>
          <cell r="C5">
            <v>44</v>
          </cell>
          <cell r="D5">
            <v>10707.989</v>
          </cell>
          <cell r="E5">
            <v>235575.758</v>
          </cell>
        </row>
        <row r="6">
          <cell r="A6" t="str">
            <v>1.3 Workmonths technical experts (Actuarial, Statistical, Public Finance) - P3</v>
          </cell>
          <cell r="B6" t="str">
            <v>Per month</v>
          </cell>
          <cell r="C6">
            <v>25</v>
          </cell>
          <cell r="D6">
            <v>14655.07</v>
          </cell>
          <cell r="E6">
            <v>366376.75</v>
          </cell>
        </row>
        <row r="7">
          <cell r="A7" t="str">
            <v>1.4 Workmonths technical experts (Legal, Policy, Communication) - P3</v>
          </cell>
          <cell r="B7" t="str">
            <v>Per month</v>
          </cell>
          <cell r="C7">
            <v>26</v>
          </cell>
          <cell r="D7">
            <v>14656.07</v>
          </cell>
          <cell r="E7">
            <v>381057.82</v>
          </cell>
        </row>
        <row r="10">
          <cell r="E10">
            <v>170000</v>
          </cell>
        </row>
        <row r="12">
          <cell r="E12">
            <v>20000</v>
          </cell>
        </row>
        <row r="14">
          <cell r="E14">
            <v>0</v>
          </cell>
        </row>
        <row r="16">
          <cell r="E16">
            <v>2297881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8">
          <cell r="A18"/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tabSelected="1" zoomScale="85" zoomScaleNormal="85" workbookViewId="0">
      <selection activeCell="A20" sqref="A20:A22"/>
    </sheetView>
  </sheetViews>
  <sheetFormatPr defaultRowHeight="15" x14ac:dyDescent="0.25"/>
  <cols>
    <col min="1" max="1" width="57.140625" customWidth="1"/>
    <col min="2" max="3" width="20.85546875" customWidth="1"/>
    <col min="4" max="4" width="20.42578125" customWidth="1"/>
    <col min="5" max="7" width="16.42578125" customWidth="1"/>
    <col min="8" max="8" width="17.42578125" customWidth="1"/>
    <col min="9" max="9" width="17.28515625" customWidth="1"/>
    <col min="10" max="17" width="16.42578125" customWidth="1"/>
    <col min="18" max="19" width="19.28515625" customWidth="1"/>
    <col min="20" max="20" width="12.85546875" bestFit="1" customWidth="1"/>
  </cols>
  <sheetData>
    <row r="1" spans="1:19" ht="15.75" x14ac:dyDescent="0.25">
      <c r="A1" s="92" t="s">
        <v>58</v>
      </c>
      <c r="B1" s="90"/>
      <c r="C1" s="9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91" t="s">
        <v>57</v>
      </c>
      <c r="B2" s="90"/>
      <c r="C2" s="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89" t="s">
        <v>56</v>
      </c>
      <c r="B3" s="88" t="s">
        <v>55</v>
      </c>
      <c r="C3" s="88" t="s">
        <v>54</v>
      </c>
      <c r="D3" s="88" t="s">
        <v>53</v>
      </c>
      <c r="E3" s="88" t="s">
        <v>52</v>
      </c>
      <c r="F3" s="88" t="s">
        <v>51</v>
      </c>
      <c r="G3" s="88" t="s">
        <v>50</v>
      </c>
      <c r="H3" s="88" t="s">
        <v>49</v>
      </c>
      <c r="I3" s="88" t="s">
        <v>48</v>
      </c>
      <c r="J3" s="88" t="s">
        <v>47</v>
      </c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89"/>
      <c r="B4" s="88"/>
      <c r="C4" s="88"/>
      <c r="D4" s="88"/>
      <c r="E4" s="88"/>
      <c r="F4" s="88"/>
      <c r="G4" s="88"/>
      <c r="H4" s="88"/>
      <c r="I4" s="88"/>
      <c r="J4" s="88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89"/>
      <c r="B5" s="88"/>
      <c r="C5" s="88"/>
      <c r="D5" s="88"/>
      <c r="E5" s="88"/>
      <c r="F5" s="88"/>
      <c r="G5" s="88"/>
      <c r="H5" s="88"/>
      <c r="I5" s="88"/>
      <c r="J5" s="88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86" t="s">
        <v>10</v>
      </c>
      <c r="B6" s="85">
        <f>C6+D6</f>
        <v>8573598.0523076914</v>
      </c>
      <c r="C6" s="84">
        <f>SUM(B24,D24,F24,H24,J24,L24,N24,P24,E46,E47,E69,E70,E71,E72)</f>
        <v>5786695</v>
      </c>
      <c r="D6" s="82">
        <f>+C24+E24+G24+I24+K24+M24+O24+Q24+F46+F47+F48+F49+F50</f>
        <v>2786903.0523076924</v>
      </c>
      <c r="E6" s="82">
        <f>F6+G6</f>
        <v>3000759.3183076927</v>
      </c>
      <c r="F6" s="82">
        <f>C6/36*12+(C6/36*12*0.05)</f>
        <v>2025343.2500000002</v>
      </c>
      <c r="G6" s="82">
        <f>D6/36*12+(D6/36*12*0.05)</f>
        <v>975416.0683076923</v>
      </c>
      <c r="H6" s="82">
        <f>I6+J6</f>
        <v>2357976.4352953108</v>
      </c>
      <c r="I6" s="82">
        <v>1564238.3955967617</v>
      </c>
      <c r="J6" s="82">
        <v>793738.03969854896</v>
      </c>
      <c r="K6" s="77"/>
      <c r="L6" s="77"/>
      <c r="M6" s="77"/>
      <c r="N6" s="77"/>
      <c r="O6" s="77"/>
      <c r="P6" s="77"/>
      <c r="Q6" s="77"/>
      <c r="R6" s="1"/>
      <c r="S6" s="1"/>
    </row>
    <row r="7" spans="1:19" x14ac:dyDescent="0.25">
      <c r="A7" s="86" t="s">
        <v>9</v>
      </c>
      <c r="B7" s="85">
        <f>C7+D7</f>
        <v>601936</v>
      </c>
      <c r="C7" s="84">
        <f>SUM(B25,D25,F25,H25,J25,L25,N25,P25,E51,E73)</f>
        <v>455306</v>
      </c>
      <c r="D7" s="82">
        <f>+C25+E25+G25+I25+K25+M25+O25+Q25+F51</f>
        <v>146630</v>
      </c>
      <c r="E7" s="82">
        <f>F7+G7</f>
        <v>210677.59999999998</v>
      </c>
      <c r="F7" s="82">
        <f>C7/36*12+(C7/36*12*0.05)</f>
        <v>159357.09999999998</v>
      </c>
      <c r="G7" s="82">
        <f>D7/36*12+(D7/36*12*0.05)</f>
        <v>51320.500000000007</v>
      </c>
      <c r="H7" s="82">
        <f>I7+J7</f>
        <v>96011.237831999999</v>
      </c>
      <c r="I7" s="82">
        <v>73813.495999999999</v>
      </c>
      <c r="J7" s="82">
        <v>22197.741832</v>
      </c>
      <c r="K7" s="81"/>
      <c r="L7" s="81"/>
      <c r="M7" s="81"/>
      <c r="N7" s="81"/>
      <c r="O7" s="81"/>
      <c r="P7" s="81"/>
      <c r="Q7" s="81"/>
      <c r="R7" s="1"/>
      <c r="S7" s="1"/>
    </row>
    <row r="8" spans="1:19" x14ac:dyDescent="0.25">
      <c r="A8" s="86" t="s">
        <v>8</v>
      </c>
      <c r="B8" s="85">
        <f>C8+D8</f>
        <v>253565</v>
      </c>
      <c r="C8" s="84">
        <f>SUM(B26,D26,F26,H26,J26,L26,N26,P26,E52,E74)</f>
        <v>151198</v>
      </c>
      <c r="D8" s="82">
        <f>SUM(C26,E26,G26,I26,K26,M26,O26,Q26,F52)</f>
        <v>102367</v>
      </c>
      <c r="E8" s="82">
        <f>F8+G8</f>
        <v>88747.75</v>
      </c>
      <c r="F8" s="82">
        <f>C8/36*12+(C8/36*12*0.05)</f>
        <v>52919.299999999996</v>
      </c>
      <c r="G8" s="82">
        <f>D8/36*12+(D8/36*12*0.05)</f>
        <v>35828.450000000004</v>
      </c>
      <c r="H8" s="82">
        <f>I8+J8</f>
        <v>38727.21909438596</v>
      </c>
      <c r="I8" s="82">
        <v>29583.88366105263</v>
      </c>
      <c r="J8" s="82">
        <v>9143.3354333333336</v>
      </c>
      <c r="K8" s="81"/>
      <c r="L8" s="81"/>
      <c r="M8" s="81"/>
      <c r="N8" s="81"/>
      <c r="O8" s="81"/>
      <c r="P8" s="81"/>
      <c r="Q8" s="81"/>
      <c r="R8" s="1"/>
      <c r="S8" s="1"/>
    </row>
    <row r="9" spans="1:19" x14ac:dyDescent="0.25">
      <c r="A9" s="87" t="s">
        <v>46</v>
      </c>
      <c r="B9" s="85">
        <f>C9+D9</f>
        <v>342784</v>
      </c>
      <c r="C9" s="84">
        <f>SUM(B27,D27,F27,H27,J27,L27,N27,P27,E53,E75)</f>
        <v>210095</v>
      </c>
      <c r="D9" s="82">
        <f>SUM(C27,E27,G27,I27,K27,M27,O27,Q27,F53)</f>
        <v>132689</v>
      </c>
      <c r="E9" s="82">
        <f>F9+G9</f>
        <v>119974.40000000001</v>
      </c>
      <c r="F9" s="82">
        <f>C9/36*12+(C9/36*12*0.05)</f>
        <v>73533.25</v>
      </c>
      <c r="G9" s="82">
        <f>D9/36*12+(D9/36*12*0.05)</f>
        <v>46441.150000000009</v>
      </c>
      <c r="H9" s="82">
        <f>I9+J9</f>
        <v>145108.84957206063</v>
      </c>
      <c r="I9" s="82">
        <v>121232.59930969698</v>
      </c>
      <c r="J9" s="82">
        <v>23876.250262363639</v>
      </c>
      <c r="K9" s="81"/>
      <c r="L9" s="81"/>
      <c r="M9" s="81"/>
      <c r="N9" s="81"/>
      <c r="O9" s="81"/>
      <c r="P9" s="81"/>
      <c r="Q9" s="81"/>
      <c r="R9" s="1"/>
      <c r="S9" s="1"/>
    </row>
    <row r="10" spans="1:19" x14ac:dyDescent="0.25">
      <c r="A10" s="86" t="s">
        <v>32</v>
      </c>
      <c r="B10" s="85">
        <f>C10+D10</f>
        <v>9962985.9476923086</v>
      </c>
      <c r="C10" s="84">
        <f>SUM(B28,D28,F28,H28,J28,L28,N28,P28,E54,E76)</f>
        <v>6405685</v>
      </c>
      <c r="D10" s="82">
        <f>SUM(C28,E28,G28,I28,K28,M28,O28,Q28,F54)</f>
        <v>3557300.9476923076</v>
      </c>
      <c r="E10" s="82">
        <f>F10+G10</f>
        <v>3487045.0816923073</v>
      </c>
      <c r="F10" s="82">
        <f>C10/36*12+(C10/36*12*0.05)</f>
        <v>2241989.7499999995</v>
      </c>
      <c r="G10" s="82">
        <f>D10/36*12+(D10/36*12*0.05)</f>
        <v>1245055.3316923075</v>
      </c>
      <c r="H10" s="82">
        <f>I10+J10</f>
        <v>3657305.8401387199</v>
      </c>
      <c r="I10" s="82">
        <f>+I11+I12</f>
        <v>1941374.212512</v>
      </c>
      <c r="J10" s="82">
        <f>+J11+J12</f>
        <v>1715931.6276267199</v>
      </c>
      <c r="K10" s="81"/>
      <c r="L10" s="81"/>
      <c r="M10" s="81"/>
      <c r="N10" s="81"/>
      <c r="O10" s="81"/>
      <c r="P10" s="81"/>
      <c r="Q10" s="81"/>
      <c r="R10" s="1"/>
      <c r="S10" s="1"/>
    </row>
    <row r="11" spans="1:19" x14ac:dyDescent="0.25">
      <c r="A11" s="17" t="s">
        <v>5</v>
      </c>
      <c r="B11" s="85">
        <f>B10*0.07</f>
        <v>697409.01633846166</v>
      </c>
      <c r="C11" s="84">
        <f>C10*0.07</f>
        <v>448397.95000000007</v>
      </c>
      <c r="D11" s="84">
        <f>D10*0.07</f>
        <v>249011.06633846156</v>
      </c>
      <c r="E11" s="84">
        <f>E10*0.07</f>
        <v>244093.15571846152</v>
      </c>
      <c r="F11" s="84">
        <f>F10*0.07</f>
        <v>156939.28249999997</v>
      </c>
      <c r="G11" s="84">
        <f>G10*0.07</f>
        <v>87153.873218461536</v>
      </c>
      <c r="H11" s="84">
        <f>H10*0.07</f>
        <v>256011.40880971041</v>
      </c>
      <c r="I11" s="84">
        <v>190906.09617199999</v>
      </c>
      <c r="J11" s="82">
        <v>92910.269809999998</v>
      </c>
      <c r="K11" s="81"/>
      <c r="L11" s="81"/>
      <c r="M11" s="81"/>
      <c r="N11" s="81"/>
      <c r="O11" s="81"/>
      <c r="P11" s="81"/>
      <c r="Q11" s="81"/>
      <c r="R11" s="1"/>
      <c r="S11" s="1"/>
    </row>
    <row r="12" spans="1:19" x14ac:dyDescent="0.25">
      <c r="A12" s="17" t="s">
        <v>4</v>
      </c>
      <c r="B12" s="85">
        <f>B10-B11</f>
        <v>9265576.9313538466</v>
      </c>
      <c r="C12" s="84">
        <f>C10-C11</f>
        <v>5957287.0499999998</v>
      </c>
      <c r="D12" s="84">
        <f>D10-D11</f>
        <v>3308289.8813538463</v>
      </c>
      <c r="E12" s="84">
        <f>E10-E11</f>
        <v>3242951.9259738456</v>
      </c>
      <c r="F12" s="84">
        <f>F10-F11</f>
        <v>2085050.4674999996</v>
      </c>
      <c r="G12" s="84">
        <f>G10-G11</f>
        <v>1157901.4584738459</v>
      </c>
      <c r="H12" s="84">
        <f>H10-H11</f>
        <v>3401294.4313290096</v>
      </c>
      <c r="I12" s="84">
        <v>1750468.1163399999</v>
      </c>
      <c r="J12" s="82">
        <v>1623021.3578167199</v>
      </c>
      <c r="K12" s="81"/>
      <c r="L12" s="81"/>
      <c r="M12" s="81"/>
      <c r="N12" s="81"/>
      <c r="O12" s="81"/>
      <c r="P12" s="81"/>
      <c r="Q12" s="81"/>
      <c r="R12" s="1"/>
      <c r="S12" s="1"/>
    </row>
    <row r="13" spans="1:19" x14ac:dyDescent="0.25">
      <c r="A13" s="86" t="s">
        <v>31</v>
      </c>
      <c r="B13" s="85">
        <f>C13+D13</f>
        <v>750745</v>
      </c>
      <c r="C13" s="84">
        <f>SUM(B31,D31,F31,H31,J31,L31,N31,P31,E57,E79)</f>
        <v>0</v>
      </c>
      <c r="D13" s="82">
        <f>SUM(C31,E31,G31,I31,K31,M31,O31,Q31,F57)</f>
        <v>750745</v>
      </c>
      <c r="E13" s="82">
        <f>F13+G13</f>
        <v>262760.75</v>
      </c>
      <c r="F13" s="82">
        <f>C13/36*12+(C13/36*12*0.05)</f>
        <v>0</v>
      </c>
      <c r="G13" s="82">
        <f>D13/36*12+(D13/36*12*0.05)</f>
        <v>262760.75</v>
      </c>
      <c r="H13" s="82">
        <f>I13+J13</f>
        <v>271373.42165000003</v>
      </c>
      <c r="I13" s="82">
        <v>19787</v>
      </c>
      <c r="J13" s="82">
        <v>251586.42165000003</v>
      </c>
      <c r="K13" s="81"/>
      <c r="L13" s="81"/>
      <c r="M13" s="81"/>
      <c r="N13" s="81"/>
      <c r="O13" s="81"/>
      <c r="P13" s="81"/>
      <c r="Q13" s="81"/>
      <c r="R13" s="1"/>
      <c r="S13" s="77"/>
    </row>
    <row r="14" spans="1:19" x14ac:dyDescent="0.25">
      <c r="A14" s="86" t="s">
        <v>20</v>
      </c>
      <c r="B14" s="85">
        <f>C14+D14</f>
        <v>916254</v>
      </c>
      <c r="C14" s="84">
        <v>916254</v>
      </c>
      <c r="D14" s="83"/>
      <c r="E14" s="82">
        <f>F14+G14</f>
        <v>320688.90000000002</v>
      </c>
      <c r="F14" s="82">
        <f>C14/36*12+(C14/36*12*0.05)</f>
        <v>320688.90000000002</v>
      </c>
      <c r="G14" s="82"/>
      <c r="H14" s="82">
        <f>I14+J14</f>
        <v>274533</v>
      </c>
      <c r="I14" s="82">
        <v>274533</v>
      </c>
      <c r="J14" s="82">
        <v>0</v>
      </c>
      <c r="K14" s="81"/>
      <c r="L14" s="81"/>
      <c r="M14" s="81"/>
      <c r="N14" s="81"/>
      <c r="O14" s="81"/>
      <c r="P14" s="81"/>
      <c r="Q14" s="81"/>
      <c r="R14" s="1"/>
      <c r="S14" s="77"/>
    </row>
    <row r="15" spans="1:19" x14ac:dyDescent="0.25">
      <c r="A15" s="80" t="s">
        <v>19</v>
      </c>
      <c r="B15" s="79">
        <f>B6+B7+B8+B9+B10+B13+B14</f>
        <v>21401868</v>
      </c>
      <c r="C15" s="79">
        <f>C6+C7+C8+C9+C10+C13+C14</f>
        <v>13925233</v>
      </c>
      <c r="D15" s="79">
        <f>D6+D7+D8+D9+D10+D13+D14</f>
        <v>7476635</v>
      </c>
      <c r="E15" s="79">
        <f>E6+E7+E8+E9+E10+E13+E14</f>
        <v>7490653.8000000007</v>
      </c>
      <c r="F15" s="79">
        <f>F6+F7+F8+F9+F10+F13+F14</f>
        <v>4873831.55</v>
      </c>
      <c r="G15" s="79">
        <f>G6+G7+G8+G9+G10+G13+G14</f>
        <v>2616822.25</v>
      </c>
      <c r="H15" s="79">
        <f>H6+H7+H8+H9+H10+H13+H14</f>
        <v>6841036.0035824776</v>
      </c>
      <c r="I15" s="79">
        <f>+I6+I7+I8+I9+I10+I13+I14</f>
        <v>4024562.5870795115</v>
      </c>
      <c r="J15" s="79">
        <f>+J6+J7+J8+J9+J10+J13</f>
        <v>2816473.4165029656</v>
      </c>
      <c r="K15" s="77"/>
      <c r="L15" s="77"/>
      <c r="M15" s="77"/>
      <c r="N15" s="77"/>
      <c r="O15" s="77"/>
      <c r="P15" s="77"/>
      <c r="Q15" s="77"/>
      <c r="R15" s="1"/>
      <c r="S15" s="1"/>
    </row>
    <row r="16" spans="1:19" ht="25.5" x14ac:dyDescent="0.25">
      <c r="A16" s="9" t="s">
        <v>45</v>
      </c>
      <c r="B16" s="78">
        <f>C16+D16</f>
        <v>1498132</v>
      </c>
      <c r="C16" s="78">
        <v>974767</v>
      </c>
      <c r="D16" s="78">
        <v>523365</v>
      </c>
      <c r="E16" s="78">
        <f>E15*0.07</f>
        <v>524345.76600000006</v>
      </c>
      <c r="F16" s="78">
        <f>F15*0.07</f>
        <v>341168.20850000001</v>
      </c>
      <c r="G16" s="78">
        <f>G15*0.07</f>
        <v>183177.55750000002</v>
      </c>
      <c r="H16" s="78">
        <f>H15*0.07</f>
        <v>478872.52025077346</v>
      </c>
      <c r="I16" s="78">
        <v>281719.3810955658</v>
      </c>
      <c r="J16" s="78">
        <f>+J15*0.07</f>
        <v>197153.13915520761</v>
      </c>
      <c r="K16" s="77"/>
      <c r="L16" s="77"/>
      <c r="M16" s="77"/>
      <c r="N16" s="77"/>
      <c r="O16" s="77"/>
      <c r="P16" s="77"/>
      <c r="Q16" s="77"/>
      <c r="R16" s="1"/>
      <c r="S16" s="1"/>
    </row>
    <row r="17" spans="1:21" x14ac:dyDescent="0.25">
      <c r="A17" s="76" t="s">
        <v>44</v>
      </c>
      <c r="B17" s="75">
        <f>C17+D17</f>
        <v>22900000</v>
      </c>
      <c r="C17" s="75">
        <f>C15+C16</f>
        <v>14900000</v>
      </c>
      <c r="D17" s="75">
        <f>D15+D16</f>
        <v>8000000</v>
      </c>
      <c r="E17" s="75">
        <f>E16+E15</f>
        <v>8014999.5660000006</v>
      </c>
      <c r="F17" s="75">
        <f>F16+F15</f>
        <v>5214999.7584999995</v>
      </c>
      <c r="G17" s="75">
        <f>G16+G15</f>
        <v>2799999.8075000001</v>
      </c>
      <c r="H17" s="75">
        <f>I17+J17</f>
        <v>7319908.5238332506</v>
      </c>
      <c r="I17" s="75">
        <v>4306281.9681750769</v>
      </c>
      <c r="J17" s="75">
        <f>+J15+J16</f>
        <v>3013626.5556581733</v>
      </c>
      <c r="L17" s="74"/>
      <c r="M17" s="74"/>
      <c r="N17" s="74"/>
      <c r="O17" s="74"/>
      <c r="P17" s="74"/>
      <c r="Q17" s="74"/>
      <c r="R17" s="1"/>
      <c r="S17" s="1"/>
    </row>
    <row r="18" spans="1:21" x14ac:dyDescent="0.25">
      <c r="A18" s="73"/>
      <c r="B18" s="72"/>
      <c r="C18" s="72"/>
      <c r="D18" s="1"/>
      <c r="E18" s="7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1" ht="15.75" thickBot="1" x14ac:dyDescent="0.3">
      <c r="A19" s="70" t="s">
        <v>43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1" ht="18.75" customHeight="1" x14ac:dyDescent="0.25">
      <c r="A20" s="69" t="s">
        <v>42</v>
      </c>
      <c r="B20" s="35" t="s">
        <v>41</v>
      </c>
      <c r="C20" s="50"/>
      <c r="D20" s="35" t="s">
        <v>40</v>
      </c>
      <c r="E20" s="50"/>
      <c r="F20" s="35" t="s">
        <v>39</v>
      </c>
      <c r="G20" s="50"/>
      <c r="H20" s="35" t="s">
        <v>38</v>
      </c>
      <c r="I20" s="50"/>
      <c r="J20" s="35" t="s">
        <v>37</v>
      </c>
      <c r="K20" s="50"/>
      <c r="L20" s="35" t="s">
        <v>36</v>
      </c>
      <c r="M20" s="50"/>
      <c r="N20" s="35" t="s">
        <v>35</v>
      </c>
      <c r="O20" s="50"/>
      <c r="P20" s="35" t="s">
        <v>34</v>
      </c>
      <c r="Q20" s="50"/>
      <c r="R20" s="33" t="s">
        <v>33</v>
      </c>
      <c r="S20" s="1"/>
    </row>
    <row r="21" spans="1:21" ht="19.5" customHeight="1" x14ac:dyDescent="0.25">
      <c r="A21" s="68"/>
      <c r="B21" s="32"/>
      <c r="C21" s="49"/>
      <c r="D21" s="32"/>
      <c r="E21" s="49"/>
      <c r="F21" s="32"/>
      <c r="G21" s="49"/>
      <c r="H21" s="32"/>
      <c r="I21" s="49"/>
      <c r="J21" s="32"/>
      <c r="K21" s="49"/>
      <c r="L21" s="32"/>
      <c r="M21" s="49"/>
      <c r="N21" s="32"/>
      <c r="O21" s="49"/>
      <c r="P21" s="32"/>
      <c r="Q21" s="49"/>
      <c r="R21" s="30"/>
      <c r="S21" s="1"/>
    </row>
    <row r="22" spans="1:21" ht="18" customHeight="1" thickBot="1" x14ac:dyDescent="0.3">
      <c r="A22" s="67"/>
      <c r="B22" s="29"/>
      <c r="C22" s="48"/>
      <c r="D22" s="29"/>
      <c r="E22" s="48"/>
      <c r="F22" s="29"/>
      <c r="G22" s="48"/>
      <c r="H22" s="29"/>
      <c r="I22" s="48"/>
      <c r="J22" s="29"/>
      <c r="K22" s="48"/>
      <c r="L22" s="29"/>
      <c r="M22" s="48"/>
      <c r="N22" s="29"/>
      <c r="O22" s="48"/>
      <c r="P22" s="29"/>
      <c r="Q22" s="48"/>
      <c r="R22" s="27"/>
      <c r="S22" s="1"/>
    </row>
    <row r="23" spans="1:21" ht="15.75" thickBot="1" x14ac:dyDescent="0.3">
      <c r="A23" s="26"/>
      <c r="B23" s="25" t="s">
        <v>11</v>
      </c>
      <c r="C23" s="26" t="s">
        <v>24</v>
      </c>
      <c r="D23" s="26" t="s">
        <v>11</v>
      </c>
      <c r="E23" s="26" t="s">
        <v>24</v>
      </c>
      <c r="F23" s="26" t="s">
        <v>11</v>
      </c>
      <c r="G23" s="26" t="s">
        <v>24</v>
      </c>
      <c r="H23" s="26" t="s">
        <v>11</v>
      </c>
      <c r="I23" s="26" t="s">
        <v>24</v>
      </c>
      <c r="J23" s="26" t="s">
        <v>11</v>
      </c>
      <c r="K23" s="26" t="s">
        <v>24</v>
      </c>
      <c r="L23" s="26" t="s">
        <v>11</v>
      </c>
      <c r="M23" s="26" t="s">
        <v>24</v>
      </c>
      <c r="N23" s="26" t="s">
        <v>11</v>
      </c>
      <c r="O23" s="26" t="s">
        <v>24</v>
      </c>
      <c r="P23" s="66" t="s">
        <v>11</v>
      </c>
      <c r="Q23" s="66" t="s">
        <v>24</v>
      </c>
      <c r="R23" s="24"/>
      <c r="S23" s="1"/>
    </row>
    <row r="24" spans="1:21" ht="15.75" thickBot="1" x14ac:dyDescent="0.3">
      <c r="A24" s="23" t="s">
        <v>10</v>
      </c>
      <c r="B24" s="64">
        <f>321103+90770</f>
        <v>411873</v>
      </c>
      <c r="C24" s="64">
        <v>0</v>
      </c>
      <c r="D24" s="64">
        <f>512833+90765</f>
        <v>603598</v>
      </c>
      <c r="E24" s="64">
        <v>580292</v>
      </c>
      <c r="F24" s="64">
        <f>235648+90819</f>
        <v>326467</v>
      </c>
      <c r="G24" s="64">
        <v>194169</v>
      </c>
      <c r="H24" s="64">
        <f>325350+90510</f>
        <v>415860</v>
      </c>
      <c r="I24" s="64">
        <v>0</v>
      </c>
      <c r="J24" s="64">
        <f>353132+90795</f>
        <v>443927</v>
      </c>
      <c r="K24" s="64">
        <v>276450</v>
      </c>
      <c r="L24" s="64">
        <f>597347+90763</f>
        <v>688110</v>
      </c>
      <c r="M24" s="64">
        <v>286400</v>
      </c>
      <c r="N24" s="64">
        <f>355434+90750</f>
        <v>446184</v>
      </c>
      <c r="O24" s="64">
        <v>555575</v>
      </c>
      <c r="P24" s="64">
        <f>295049+90660</f>
        <v>385709</v>
      </c>
      <c r="Q24" s="64">
        <v>264556</v>
      </c>
      <c r="R24" s="64">
        <f>SUM(B24:Q24)</f>
        <v>5879170</v>
      </c>
      <c r="S24" s="57">
        <f>+P24+N24+L24+J24+H24+F24+D24+B24</f>
        <v>3721728</v>
      </c>
      <c r="T24" s="57">
        <f>+Q24+O24+M24+K24+I24+G24+E24+C24</f>
        <v>2157442</v>
      </c>
      <c r="U24" s="56"/>
    </row>
    <row r="25" spans="1:21" ht="15.75" thickBot="1" x14ac:dyDescent="0.3">
      <c r="A25" s="16" t="s">
        <v>9</v>
      </c>
      <c r="B25" s="65">
        <v>18000</v>
      </c>
      <c r="C25" s="65">
        <v>18960</v>
      </c>
      <c r="D25" s="65">
        <v>87731</v>
      </c>
      <c r="E25" s="65">
        <v>33405</v>
      </c>
      <c r="F25" s="65">
        <v>23879</v>
      </c>
      <c r="G25" s="65">
        <v>14889</v>
      </c>
      <c r="H25" s="65">
        <v>12000</v>
      </c>
      <c r="I25" s="65">
        <v>5000</v>
      </c>
      <c r="J25" s="65">
        <v>10500</v>
      </c>
      <c r="K25" s="65">
        <v>7000</v>
      </c>
      <c r="L25" s="65">
        <v>7000</v>
      </c>
      <c r="M25" s="65">
        <v>5000</v>
      </c>
      <c r="N25" s="65">
        <v>50000</v>
      </c>
      <c r="O25" s="65">
        <v>22000</v>
      </c>
      <c r="P25" s="65">
        <v>26196</v>
      </c>
      <c r="Q25" s="65">
        <v>32376</v>
      </c>
      <c r="R25" s="64">
        <f>SUM(B25:Q25)</f>
        <v>373936</v>
      </c>
      <c r="S25" s="57">
        <f>+P25+N25+L25+J25+H25+F25+D25+B25</f>
        <v>235306</v>
      </c>
      <c r="T25" s="57">
        <f>+Q25+O25+M25+K25+I25+G25+E25+C25</f>
        <v>138630</v>
      </c>
      <c r="U25" s="56"/>
    </row>
    <row r="26" spans="1:21" ht="15.75" thickBot="1" x14ac:dyDescent="0.3">
      <c r="A26" s="16" t="s">
        <v>8</v>
      </c>
      <c r="B26" s="65">
        <v>4000</v>
      </c>
      <c r="C26" s="65">
        <v>0</v>
      </c>
      <c r="D26" s="65">
        <v>4495</v>
      </c>
      <c r="E26" s="65">
        <v>3950</v>
      </c>
      <c r="F26" s="65">
        <v>35679</v>
      </c>
      <c r="G26" s="65">
        <v>35680</v>
      </c>
      <c r="H26" s="65">
        <v>0</v>
      </c>
      <c r="I26" s="65">
        <v>0</v>
      </c>
      <c r="J26" s="65">
        <v>5000</v>
      </c>
      <c r="K26" s="65">
        <v>5000</v>
      </c>
      <c r="L26" s="65">
        <v>10000</v>
      </c>
      <c r="M26" s="65">
        <v>0</v>
      </c>
      <c r="N26" s="65">
        <v>7800</v>
      </c>
      <c r="O26" s="65">
        <v>0</v>
      </c>
      <c r="P26" s="65">
        <v>59424</v>
      </c>
      <c r="Q26" s="65">
        <v>53422</v>
      </c>
      <c r="R26" s="64">
        <f>SUM(B26:Q26)</f>
        <v>224450</v>
      </c>
      <c r="S26" s="57">
        <f>+P26+N26+L26+J26+H26+F26+D26+B26</f>
        <v>126398</v>
      </c>
      <c r="T26" s="57">
        <f>+Q26+O26+M26+K26+I26+G26+E26+C26</f>
        <v>98052</v>
      </c>
      <c r="U26" s="56"/>
    </row>
    <row r="27" spans="1:21" ht="15.75" thickBot="1" x14ac:dyDescent="0.3">
      <c r="A27" s="18" t="s">
        <v>7</v>
      </c>
      <c r="B27" s="65">
        <v>22000</v>
      </c>
      <c r="C27" s="65">
        <v>0</v>
      </c>
      <c r="D27" s="65">
        <v>42235</v>
      </c>
      <c r="E27" s="65">
        <v>42235</v>
      </c>
      <c r="F27" s="65">
        <v>6473</v>
      </c>
      <c r="G27" s="65">
        <v>6473</v>
      </c>
      <c r="H27" s="65">
        <v>13768</v>
      </c>
      <c r="I27" s="65">
        <v>78750</v>
      </c>
      <c r="J27" s="65">
        <v>6800</v>
      </c>
      <c r="K27" s="65">
        <v>0</v>
      </c>
      <c r="L27" s="65">
        <v>42800</v>
      </c>
      <c r="M27" s="65">
        <v>0</v>
      </c>
      <c r="N27" s="65">
        <v>70200</v>
      </c>
      <c r="O27" s="65">
        <v>0</v>
      </c>
      <c r="P27" s="65">
        <v>5819</v>
      </c>
      <c r="Q27" s="65">
        <v>5231</v>
      </c>
      <c r="R27" s="64">
        <f>SUM(B27:Q27)</f>
        <v>342784</v>
      </c>
      <c r="S27" s="57">
        <f>+P27+N27+L27+J27+H27+F27+D27+B27</f>
        <v>210095</v>
      </c>
      <c r="T27" s="57">
        <f>+Q27+O27+M27+K27+I27+G27+E27+C27</f>
        <v>132689</v>
      </c>
      <c r="U27" s="56"/>
    </row>
    <row r="28" spans="1:21" ht="15.75" thickBot="1" x14ac:dyDescent="0.3">
      <c r="A28" s="16" t="s">
        <v>32</v>
      </c>
      <c r="B28" s="65">
        <f>411222+22692</f>
        <v>433914</v>
      </c>
      <c r="C28" s="65">
        <f>717200+105165+1</f>
        <v>822366</v>
      </c>
      <c r="D28" s="65">
        <f>128985+22691+1</f>
        <v>151677</v>
      </c>
      <c r="E28" s="65">
        <f>42012+105271</f>
        <v>147283</v>
      </c>
      <c r="F28" s="65">
        <f>475058+22705+1</f>
        <v>497764</v>
      </c>
      <c r="G28" s="65">
        <f>484338+105079-1</f>
        <v>589416</v>
      </c>
      <c r="H28" s="65">
        <f>422978+22627</f>
        <v>445605</v>
      </c>
      <c r="I28" s="65">
        <v>105157</v>
      </c>
      <c r="J28" s="65">
        <f>401101+22699</f>
        <v>423800</v>
      </c>
      <c r="K28" s="65">
        <f>401800+105321</f>
        <v>507121</v>
      </c>
      <c r="L28" s="65">
        <f>119121+22691</f>
        <v>141812</v>
      </c>
      <c r="M28" s="65">
        <f>438300+105529</f>
        <v>543829</v>
      </c>
      <c r="N28" s="65">
        <f>292718+22687</f>
        <v>315405</v>
      </c>
      <c r="O28" s="65">
        <f>160000+105368</f>
        <v>265368</v>
      </c>
      <c r="P28" s="65">
        <f>388895+22665</f>
        <v>411560</v>
      </c>
      <c r="Q28" s="65">
        <f>373822+105256</f>
        <v>479078</v>
      </c>
      <c r="R28" s="64">
        <f>SUM(B28:Q28)</f>
        <v>6281155</v>
      </c>
      <c r="S28" s="57">
        <f>+P28+N28+L28+J28+H28+F28+D28+B28</f>
        <v>2821537</v>
      </c>
      <c r="T28" s="57">
        <f>+Q28+O28+M28+K28+I28+G28+E28+C28</f>
        <v>3459618</v>
      </c>
      <c r="U28" s="56"/>
    </row>
    <row r="29" spans="1:21" ht="15.75" thickBot="1" x14ac:dyDescent="0.3">
      <c r="A29" s="17" t="s">
        <v>5</v>
      </c>
      <c r="B29" s="65">
        <f>B28*0.07</f>
        <v>30373.980000000003</v>
      </c>
      <c r="C29" s="65">
        <f>C28*0.07</f>
        <v>57565.62</v>
      </c>
      <c r="D29" s="65">
        <f>D28*0.07</f>
        <v>10617.390000000001</v>
      </c>
      <c r="E29" s="65">
        <f>E28*0.07</f>
        <v>10309.810000000001</v>
      </c>
      <c r="F29" s="65">
        <f>F28*0.07</f>
        <v>34843.480000000003</v>
      </c>
      <c r="G29" s="65">
        <f>G28*0.07</f>
        <v>41259.120000000003</v>
      </c>
      <c r="H29" s="65">
        <f>H28*0.07</f>
        <v>31192.350000000002</v>
      </c>
      <c r="I29" s="65">
        <f>I28*0.07</f>
        <v>7360.9900000000007</v>
      </c>
      <c r="J29" s="65">
        <f>J28*0.07</f>
        <v>29666.000000000004</v>
      </c>
      <c r="K29" s="65">
        <f>K28*0.07</f>
        <v>35498.47</v>
      </c>
      <c r="L29" s="65">
        <f>L28*0.07</f>
        <v>9926.84</v>
      </c>
      <c r="M29" s="65">
        <f>M28*0.07</f>
        <v>38068.030000000006</v>
      </c>
      <c r="N29" s="65">
        <f>N28*0.07</f>
        <v>22078.350000000002</v>
      </c>
      <c r="O29" s="65">
        <f>O28*0.07</f>
        <v>18575.760000000002</v>
      </c>
      <c r="P29" s="65">
        <f>P28*0.07</f>
        <v>28809.200000000004</v>
      </c>
      <c r="Q29" s="65">
        <f>Q28*0.07</f>
        <v>33535.460000000006</v>
      </c>
      <c r="R29" s="64">
        <f>SUM(B29:Q29)</f>
        <v>439680.85000000003</v>
      </c>
      <c r="S29" s="57"/>
      <c r="T29" s="57"/>
      <c r="U29" s="56"/>
    </row>
    <row r="30" spans="1:21" ht="15.75" thickBot="1" x14ac:dyDescent="0.3">
      <c r="A30" s="17" t="s">
        <v>4</v>
      </c>
      <c r="B30" s="65">
        <f>B28-B29</f>
        <v>403540.02</v>
      </c>
      <c r="C30" s="65">
        <f>C28-C29</f>
        <v>764800.38</v>
      </c>
      <c r="D30" s="65">
        <f>D28-D29</f>
        <v>141059.60999999999</v>
      </c>
      <c r="E30" s="65">
        <f>E28-E29</f>
        <v>136973.19</v>
      </c>
      <c r="F30" s="65">
        <f>F28-F29</f>
        <v>462920.52</v>
      </c>
      <c r="G30" s="65">
        <f>G28-G29</f>
        <v>548156.88</v>
      </c>
      <c r="H30" s="65">
        <f>H28-H29</f>
        <v>414412.65</v>
      </c>
      <c r="I30" s="65">
        <f>I28-I29</f>
        <v>97796.01</v>
      </c>
      <c r="J30" s="65">
        <f>J28-J29</f>
        <v>394134</v>
      </c>
      <c r="K30" s="65">
        <f>K28-K29</f>
        <v>471622.53</v>
      </c>
      <c r="L30" s="65">
        <f>L28-L29</f>
        <v>131885.16</v>
      </c>
      <c r="M30" s="65">
        <f>M28-M29</f>
        <v>505760.97</v>
      </c>
      <c r="N30" s="65">
        <f>N28-N29</f>
        <v>293326.65000000002</v>
      </c>
      <c r="O30" s="65">
        <f>O28-O29</f>
        <v>246792.24</v>
      </c>
      <c r="P30" s="65">
        <f>P28-P29</f>
        <v>382750.8</v>
      </c>
      <c r="Q30" s="65">
        <f>Q28-Q29</f>
        <v>445542.54</v>
      </c>
      <c r="R30" s="64">
        <f>SUM(B30:Q30)</f>
        <v>5841474.1499999994</v>
      </c>
      <c r="S30" s="57"/>
      <c r="T30" s="57"/>
      <c r="U30" s="56"/>
    </row>
    <row r="31" spans="1:21" ht="15.75" thickBot="1" x14ac:dyDescent="0.3">
      <c r="A31" s="16" t="s">
        <v>31</v>
      </c>
      <c r="B31" s="65">
        <v>0</v>
      </c>
      <c r="C31" s="65">
        <v>0</v>
      </c>
      <c r="D31" s="65">
        <v>0</v>
      </c>
      <c r="E31" s="65">
        <v>35000</v>
      </c>
      <c r="F31" s="65">
        <v>0</v>
      </c>
      <c r="G31" s="65">
        <v>0</v>
      </c>
      <c r="H31" s="65"/>
      <c r="I31" s="65">
        <v>652350</v>
      </c>
      <c r="J31" s="65"/>
      <c r="K31" s="65">
        <v>47000</v>
      </c>
      <c r="L31" s="65">
        <v>0</v>
      </c>
      <c r="M31" s="65">
        <v>9000</v>
      </c>
      <c r="N31" s="65">
        <v>0</v>
      </c>
      <c r="O31" s="65">
        <v>0</v>
      </c>
      <c r="P31" s="65"/>
      <c r="Q31" s="65">
        <v>7395</v>
      </c>
      <c r="R31" s="64">
        <f>SUM(B31:Q31)</f>
        <v>750745</v>
      </c>
      <c r="S31" s="57">
        <f>+P31+N31+L31+J31+H31+F31+D31+B31</f>
        <v>0</v>
      </c>
      <c r="T31" s="57">
        <f>+Q31+O31+M31+K31+I31+G31+E31+C31</f>
        <v>750745</v>
      </c>
      <c r="U31" s="56"/>
    </row>
    <row r="32" spans="1:21" ht="15.75" thickBot="1" x14ac:dyDescent="0.3">
      <c r="A32" s="12" t="s">
        <v>2</v>
      </c>
      <c r="B32" s="63">
        <f>SUM(B24:B28)+B31</f>
        <v>889787</v>
      </c>
      <c r="C32" s="63">
        <f>SUM(C24:C28)+C31</f>
        <v>841326</v>
      </c>
      <c r="D32" s="63">
        <f>SUM(D24:D28)+D31</f>
        <v>889736</v>
      </c>
      <c r="E32" s="63">
        <f>SUM(E24:E28)+E31</f>
        <v>842165</v>
      </c>
      <c r="F32" s="63">
        <f>SUM(F24:F28)+F31</f>
        <v>890262</v>
      </c>
      <c r="G32" s="63">
        <f>SUM(G24:G28)+G31</f>
        <v>840627</v>
      </c>
      <c r="H32" s="63">
        <f>SUM(H24:H28)+H31</f>
        <v>887233</v>
      </c>
      <c r="I32" s="63">
        <f>SUM(I24:I28)+I31</f>
        <v>841257</v>
      </c>
      <c r="J32" s="63">
        <f>SUM(J24:J28)+J31</f>
        <v>890027</v>
      </c>
      <c r="K32" s="63">
        <f>SUM(K24:K28)+K31</f>
        <v>842571</v>
      </c>
      <c r="L32" s="63">
        <f>SUM(L24:L28)+L31</f>
        <v>889722</v>
      </c>
      <c r="M32" s="63">
        <f>SUM(M24:M28)+M31</f>
        <v>844229</v>
      </c>
      <c r="N32" s="63">
        <f>SUM(N24:N28)+N31</f>
        <v>889589</v>
      </c>
      <c r="O32" s="63">
        <f>SUM(O24:O28)+O31</f>
        <v>842943</v>
      </c>
      <c r="P32" s="63">
        <f>SUM(P24:P28)+P31</f>
        <v>888708</v>
      </c>
      <c r="Q32" s="63">
        <f>SUM(Q24:Q28)+Q31</f>
        <v>842058</v>
      </c>
      <c r="R32" s="62">
        <f>SUM(B32:Q32)</f>
        <v>13852240</v>
      </c>
      <c r="S32" s="57">
        <f>+P32+N32+L32+J32+H32+F32+D32+B32</f>
        <v>7115064</v>
      </c>
      <c r="T32" s="57">
        <f>+Q32+O32+M32+K32+I32+G32+E32+C32</f>
        <v>6737176</v>
      </c>
      <c r="U32" s="56"/>
    </row>
    <row r="33" spans="1:21" ht="26.25" thickBot="1" x14ac:dyDescent="0.3">
      <c r="A33" s="9" t="s">
        <v>1</v>
      </c>
      <c r="B33" s="61">
        <f>ROUND(B32*0.07,0)</f>
        <v>62285</v>
      </c>
      <c r="C33" s="61">
        <f>ROUND(C32*0.07,0)</f>
        <v>58893</v>
      </c>
      <c r="D33" s="61">
        <f>ROUND(D32*0.07,0)</f>
        <v>62282</v>
      </c>
      <c r="E33" s="61">
        <f>ROUND(E32*0.07,0)</f>
        <v>58952</v>
      </c>
      <c r="F33" s="61">
        <f>ROUND(F32*0.07,0)</f>
        <v>62318</v>
      </c>
      <c r="G33" s="61">
        <f>ROUND(G32*0.07,0)</f>
        <v>58844</v>
      </c>
      <c r="H33" s="61">
        <f>ROUND(H32*0.07,0)</f>
        <v>62106</v>
      </c>
      <c r="I33" s="61">
        <f>ROUND(I32*0.07,0)</f>
        <v>58888</v>
      </c>
      <c r="J33" s="61">
        <f>ROUND(J32*0.07,0)</f>
        <v>62302</v>
      </c>
      <c r="K33" s="61">
        <f>ROUND(K32*0.07,0)</f>
        <v>58980</v>
      </c>
      <c r="L33" s="61">
        <f>ROUND(L32*0.07,0)</f>
        <v>62281</v>
      </c>
      <c r="M33" s="61">
        <f>ROUND(M32*0.07,0)</f>
        <v>59096</v>
      </c>
      <c r="N33" s="61">
        <f>ROUND(N32*0.07,0)</f>
        <v>62271</v>
      </c>
      <c r="O33" s="61">
        <f>ROUND(O32*0.07,0)</f>
        <v>59006</v>
      </c>
      <c r="P33" s="61">
        <f>ROUND(P32*0.07,0)</f>
        <v>62210</v>
      </c>
      <c r="Q33" s="61">
        <f>ROUND(Q32*0.07,0)</f>
        <v>58944</v>
      </c>
      <c r="R33" s="60">
        <f>SUM(B33:Q33)</f>
        <v>969658</v>
      </c>
      <c r="S33" s="57">
        <f>+P33+N33+L33+J33+H33+F33+D33+B33</f>
        <v>498055</v>
      </c>
      <c r="T33" s="57">
        <f>+Q33+O33+M33+K33+I33+G33+E33+C33</f>
        <v>471603</v>
      </c>
      <c r="U33" s="56"/>
    </row>
    <row r="34" spans="1:21" x14ac:dyDescent="0.25">
      <c r="A34" s="6" t="s">
        <v>0</v>
      </c>
      <c r="B34" s="59">
        <f>SUM(B32:B33)</f>
        <v>952072</v>
      </c>
      <c r="C34" s="59">
        <f>SUM(C32:C33)</f>
        <v>900219</v>
      </c>
      <c r="D34" s="59">
        <f>SUM(D32:D33)</f>
        <v>952018</v>
      </c>
      <c r="E34" s="59">
        <f>SUM(E32:E33)</f>
        <v>901117</v>
      </c>
      <c r="F34" s="59">
        <f>SUM(F32:F33)</f>
        <v>952580</v>
      </c>
      <c r="G34" s="59">
        <f>SUM(G32:G33)</f>
        <v>899471</v>
      </c>
      <c r="H34" s="59">
        <f>SUM(H32:H33)</f>
        <v>949339</v>
      </c>
      <c r="I34" s="59">
        <f>SUM(I32:I33)</f>
        <v>900145</v>
      </c>
      <c r="J34" s="59">
        <f>SUM(J32:J33)</f>
        <v>952329</v>
      </c>
      <c r="K34" s="59">
        <f>SUM(K32:K33)</f>
        <v>901551</v>
      </c>
      <c r="L34" s="59">
        <f>SUM(L32:L33)</f>
        <v>952003</v>
      </c>
      <c r="M34" s="59">
        <f>SUM(M32:M33)</f>
        <v>903325</v>
      </c>
      <c r="N34" s="59">
        <f>SUM(N32:N33)</f>
        <v>951860</v>
      </c>
      <c r="O34" s="59">
        <f>SUM(O32:O33)</f>
        <v>901949</v>
      </c>
      <c r="P34" s="59">
        <f>SUM(P32:P33)</f>
        <v>950918</v>
      </c>
      <c r="Q34" s="59">
        <f>SUM(Q32:Q33)</f>
        <v>901002</v>
      </c>
      <c r="R34" s="58">
        <f>SUM(R32:R33)</f>
        <v>14821898</v>
      </c>
      <c r="S34" s="57">
        <f>+P34+N34+L34+J34+H34+F34+D34+B34</f>
        <v>7613119</v>
      </c>
      <c r="T34" s="57">
        <f>+Q34+O34+M34+K34+I34+G34+E34+C34</f>
        <v>7208779</v>
      </c>
      <c r="U34" s="56"/>
    </row>
    <row r="35" spans="1:21" x14ac:dyDescent="0.25">
      <c r="A35" s="54" t="s">
        <v>30</v>
      </c>
      <c r="B35" s="55">
        <f>(B34/1.07/(1+$B$38)*1.07)</f>
        <v>821932.66187050368</v>
      </c>
      <c r="C35" s="55">
        <f>(C34/1.07/(1+$B$39)*1.07)</f>
        <v>787691.625</v>
      </c>
      <c r="D35" s="55">
        <f>(D34/1.07/(1+$B$38)*1.07)</f>
        <v>821886.0431654678</v>
      </c>
      <c r="E35" s="55">
        <f>(E34/1.07/(1+$B$39)*1.07)</f>
        <v>788477.375</v>
      </c>
      <c r="F35" s="55">
        <f>(F34/1.07/(1+$B$38)*1.07)</f>
        <v>822371.22302158282</v>
      </c>
      <c r="G35" s="55">
        <f>(G34/1.07/(1+$B$39)*1.07)</f>
        <v>787037.12500000012</v>
      </c>
      <c r="H35" s="55">
        <f>(H34/1.07/(1+$B$38)*1.07)</f>
        <v>819573.23741007212</v>
      </c>
      <c r="I35" s="55">
        <f>(I34/1.07/(1+$B$39)*1.07)</f>
        <v>787626.875</v>
      </c>
      <c r="J35" s="55">
        <f>(J34/1.07/(1+$B$38)*1.07)</f>
        <v>822154.53237410088</v>
      </c>
      <c r="K35" s="55">
        <f>(K34/1.07/(1+$B$39)*1.07)</f>
        <v>788857.125</v>
      </c>
      <c r="L35" s="55">
        <f>(L34/1.07/(1+$B$38)*1.07)</f>
        <v>821873.09352517989</v>
      </c>
      <c r="M35" s="55">
        <f>(M34/1.07/(1+$B$39)*1.07)</f>
        <v>790409.375</v>
      </c>
      <c r="N35" s="55">
        <f>(N34/1.07/(1+$B$38)*1.07)</f>
        <v>821749.64028776996</v>
      </c>
      <c r="O35" s="55">
        <f>(O34/1.07/(1+$B$39)*1.07)</f>
        <v>789205.37500000012</v>
      </c>
      <c r="P35" s="55">
        <f>(P34/1.07/(1+$B$38)*1.07)</f>
        <v>820936.40287769784</v>
      </c>
      <c r="Q35" s="55">
        <f>(Q34/1.07/(1+$B$39)*1.07)</f>
        <v>788376.75</v>
      </c>
      <c r="R35" s="2"/>
      <c r="S35" s="1"/>
    </row>
    <row r="36" spans="1:21" x14ac:dyDescent="0.25">
      <c r="A36" s="54" t="s">
        <v>29</v>
      </c>
      <c r="B36" s="55">
        <f>B34-B35</f>
        <v>130139.33812949632</v>
      </c>
      <c r="C36" s="55">
        <f>C34-C35</f>
        <v>112527.375</v>
      </c>
      <c r="D36" s="55">
        <f>D34-D35</f>
        <v>130131.9568345322</v>
      </c>
      <c r="E36" s="55">
        <f>E34-E35</f>
        <v>112639.625</v>
      </c>
      <c r="F36" s="55">
        <f>F34-F35</f>
        <v>130208.77697841718</v>
      </c>
      <c r="G36" s="55">
        <f>G34-G35</f>
        <v>112433.87499999988</v>
      </c>
      <c r="H36" s="55">
        <f>H34-H35</f>
        <v>129765.76258992788</v>
      </c>
      <c r="I36" s="55">
        <f>I34-I35</f>
        <v>112518.125</v>
      </c>
      <c r="J36" s="55">
        <f>J34-J35</f>
        <v>130174.46762589912</v>
      </c>
      <c r="K36" s="55">
        <f>K34-K35</f>
        <v>112693.875</v>
      </c>
      <c r="L36" s="55">
        <f>L34-L35</f>
        <v>130129.90647482011</v>
      </c>
      <c r="M36" s="55">
        <f>M34-M35</f>
        <v>112915.625</v>
      </c>
      <c r="N36" s="55">
        <f>N34-N35</f>
        <v>130110.35971223004</v>
      </c>
      <c r="O36" s="55">
        <f>O34-O35</f>
        <v>112743.62499999988</v>
      </c>
      <c r="P36" s="55">
        <f>P34-P35</f>
        <v>129981.59712230216</v>
      </c>
      <c r="Q36" s="55">
        <f>Q34-Q35</f>
        <v>112625.25</v>
      </c>
      <c r="R36" s="2"/>
      <c r="S36" s="1"/>
    </row>
    <row r="37" spans="1:2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"/>
    </row>
    <row r="38" spans="1:21" x14ac:dyDescent="0.25">
      <c r="A38" s="54" t="s">
        <v>28</v>
      </c>
      <c r="B38" s="53">
        <f>1.9/12</f>
        <v>0.15833333333333333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"/>
    </row>
    <row r="39" spans="1:21" x14ac:dyDescent="0.25">
      <c r="A39" s="54" t="s">
        <v>27</v>
      </c>
      <c r="B39" s="53">
        <f>1/7</f>
        <v>0.14285714285714285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"/>
    </row>
    <row r="40" spans="1:21" ht="15.75" thickBot="1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2"/>
      <c r="S40" s="51"/>
    </row>
    <row r="41" spans="1:21" x14ac:dyDescent="0.25">
      <c r="A41" s="35" t="s">
        <v>26</v>
      </c>
      <c r="B41" s="34"/>
      <c r="C41" s="34"/>
      <c r="D41" s="34"/>
      <c r="E41" s="34"/>
      <c r="F41" s="50"/>
      <c r="G41" s="33" t="s">
        <v>25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"/>
    </row>
    <row r="42" spans="1:21" x14ac:dyDescent="0.25">
      <c r="A42" s="32"/>
      <c r="B42" s="31"/>
      <c r="C42" s="31"/>
      <c r="D42" s="31"/>
      <c r="E42" s="31"/>
      <c r="F42" s="49"/>
      <c r="G42" s="3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"/>
    </row>
    <row r="43" spans="1:21" ht="15.75" thickBot="1" x14ac:dyDescent="0.3">
      <c r="A43" s="29"/>
      <c r="B43" s="28"/>
      <c r="C43" s="28"/>
      <c r="D43" s="28"/>
      <c r="E43" s="28"/>
      <c r="F43" s="48"/>
      <c r="G43" s="2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"/>
    </row>
    <row r="44" spans="1:21" ht="15.75" thickBot="1" x14ac:dyDescent="0.3">
      <c r="A44" s="26"/>
      <c r="B44" s="25" t="s">
        <v>14</v>
      </c>
      <c r="C44" s="25" t="s">
        <v>13</v>
      </c>
      <c r="D44" s="25" t="s">
        <v>12</v>
      </c>
      <c r="E44" s="25" t="s">
        <v>11</v>
      </c>
      <c r="F44" s="26" t="s">
        <v>24</v>
      </c>
      <c r="G44" s="2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"/>
    </row>
    <row r="45" spans="1:21" x14ac:dyDescent="0.25">
      <c r="A45" s="23" t="s">
        <v>10</v>
      </c>
      <c r="B45" s="22"/>
      <c r="C45" s="22"/>
      <c r="D45" s="22"/>
      <c r="E45" s="22"/>
      <c r="F45" s="22"/>
      <c r="G45" s="2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"/>
    </row>
    <row r="46" spans="1:21" x14ac:dyDescent="0.25">
      <c r="A46" s="20" t="str">
        <f>'[1]1.1. Cross-country Total (A1+2)'!A4</f>
        <v>1.1 Project Manager (P5 step 3) 50%</v>
      </c>
      <c r="B46" s="19" t="str">
        <f>'[1]1.1. Cross-country Total (A1+2)'!B4</f>
        <v>Per month</v>
      </c>
      <c r="C46" s="19">
        <f>'[1]1.1. Cross-country Total (A1+2)'!C4</f>
        <v>44</v>
      </c>
      <c r="D46" s="19">
        <f>'[1]1.1. Cross-country Total (A1+2)'!D4</f>
        <v>19235.903000000002</v>
      </c>
      <c r="E46" s="13">
        <v>423190</v>
      </c>
      <c r="F46" s="13">
        <v>0</v>
      </c>
      <c r="G46" s="13">
        <f>SUM(E46:F46)</f>
        <v>423190</v>
      </c>
      <c r="H46" s="2"/>
      <c r="I46" s="21"/>
      <c r="J46" s="2"/>
      <c r="K46" s="2"/>
      <c r="L46" s="2"/>
      <c r="M46" s="2"/>
      <c r="N46" s="2"/>
      <c r="O46" s="2"/>
      <c r="P46" s="2"/>
      <c r="Q46" s="2"/>
      <c r="R46" s="2"/>
      <c r="S46" s="1"/>
    </row>
    <row r="47" spans="1:21" x14ac:dyDescent="0.25">
      <c r="A47" s="20" t="str">
        <f>'[1]1.1. Cross-country Total (A1+2)'!A5</f>
        <v>1.2 Administrative support (G5 step 8) 50%</v>
      </c>
      <c r="B47" s="19" t="str">
        <f>'[1]1.1. Cross-country Total (A1+2)'!B5</f>
        <v>Per month</v>
      </c>
      <c r="C47" s="19">
        <f>'[1]1.1. Cross-country Total (A1+2)'!C5</f>
        <v>44</v>
      </c>
      <c r="D47" s="19">
        <f>'[1]1.1. Cross-country Total (A1+2)'!D5</f>
        <v>10707.989</v>
      </c>
      <c r="E47" s="13">
        <v>235576</v>
      </c>
      <c r="F47" s="13">
        <v>0</v>
      </c>
      <c r="G47" s="13">
        <f>SUM(E47:F47)</f>
        <v>235576</v>
      </c>
      <c r="H47" s="2"/>
      <c r="I47" s="21"/>
      <c r="J47" s="2"/>
      <c r="K47" s="2"/>
      <c r="L47" s="2"/>
      <c r="M47" s="2"/>
      <c r="N47" s="2"/>
      <c r="O47" s="2"/>
      <c r="P47" s="2"/>
      <c r="Q47" s="2"/>
      <c r="R47" s="2"/>
      <c r="S47" s="1"/>
    </row>
    <row r="48" spans="1:21" x14ac:dyDescent="0.25">
      <c r="A48" s="47" t="s">
        <v>23</v>
      </c>
      <c r="B48" s="19" t="str">
        <f>'[1]1.1. Cross-country Total (A1+2)'!B6</f>
        <v xml:space="preserve">Per Month </v>
      </c>
      <c r="C48" s="19">
        <f>'[1]1.1. Cross-country Total (A1+2)'!C6</f>
        <v>36</v>
      </c>
      <c r="D48" s="19">
        <f>'[1]1.1. Cross-country Total (A1+2)'!D6</f>
        <v>11489.18</v>
      </c>
      <c r="E48" s="13">
        <v>0</v>
      </c>
      <c r="F48" s="13">
        <v>509059.0523076923</v>
      </c>
      <c r="G48" s="13">
        <f>SUM(E48:F48)</f>
        <v>509059.0523076923</v>
      </c>
      <c r="H48" s="2"/>
      <c r="I48" s="21"/>
      <c r="J48" s="2"/>
      <c r="K48" s="2"/>
      <c r="L48" s="2"/>
      <c r="M48" s="2"/>
      <c r="N48" s="2"/>
      <c r="O48" s="2"/>
      <c r="P48" s="2"/>
      <c r="Q48" s="2"/>
      <c r="R48" s="2"/>
      <c r="S48" s="1"/>
    </row>
    <row r="49" spans="1:19" x14ac:dyDescent="0.25">
      <c r="A49" s="47" t="s">
        <v>22</v>
      </c>
      <c r="B49" s="19" t="str">
        <f>'[1]1.1. Cross-country Total (A1+2)'!B7</f>
        <v xml:space="preserve">Per Month </v>
      </c>
      <c r="C49" s="19">
        <f>'[1]1.1. Cross-country Total (A1+2)'!C7</f>
        <v>36</v>
      </c>
      <c r="D49" s="19">
        <f>'[1]1.1. Cross-country Total (A1+2)'!D7</f>
        <v>4206</v>
      </c>
      <c r="E49" s="13">
        <v>0</v>
      </c>
      <c r="F49" s="13">
        <v>113562</v>
      </c>
      <c r="G49" s="13">
        <f>SUM(E49:F49)</f>
        <v>113562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"/>
    </row>
    <row r="50" spans="1:19" ht="25.5" x14ac:dyDescent="0.25">
      <c r="A50" s="47" t="s">
        <v>21</v>
      </c>
      <c r="B50" s="19" t="str">
        <f>'[1]1.1. Cross-country Total (A1+2)'!B8</f>
        <v>Per month</v>
      </c>
      <c r="C50" s="19">
        <f>'[1]1.1. Cross-country Total (A1+2)'!C8</f>
        <v>3</v>
      </c>
      <c r="D50" s="19">
        <f>+G50/3</f>
        <v>2280</v>
      </c>
      <c r="E50" s="13">
        <v>0</v>
      </c>
      <c r="F50" s="13">
        <v>6840</v>
      </c>
      <c r="G50" s="13">
        <f>SUM(E50:F50)</f>
        <v>6840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"/>
    </row>
    <row r="51" spans="1:19" x14ac:dyDescent="0.25">
      <c r="A51" s="16" t="s">
        <v>9</v>
      </c>
      <c r="B51" s="15"/>
      <c r="C51" s="15"/>
      <c r="D51" s="15"/>
      <c r="E51" s="14">
        <v>50000</v>
      </c>
      <c r="F51" s="14">
        <v>8000</v>
      </c>
      <c r="G51" s="13">
        <f>SUM(E51:F51)</f>
        <v>58000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"/>
    </row>
    <row r="52" spans="1:19" x14ac:dyDescent="0.25">
      <c r="A52" s="16" t="s">
        <v>8</v>
      </c>
      <c r="B52" s="15"/>
      <c r="C52" s="15"/>
      <c r="D52" s="15"/>
      <c r="E52" s="14">
        <v>4800</v>
      </c>
      <c r="F52" s="14">
        <v>4315</v>
      </c>
      <c r="G52" s="13">
        <f>SUM(E52:F52)</f>
        <v>9115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"/>
    </row>
    <row r="53" spans="1:19" x14ac:dyDescent="0.25">
      <c r="A53" s="18" t="s">
        <v>7</v>
      </c>
      <c r="B53" s="15"/>
      <c r="C53" s="15"/>
      <c r="D53" s="15"/>
      <c r="E53" s="14">
        <v>0</v>
      </c>
      <c r="F53" s="14">
        <v>0</v>
      </c>
      <c r="G53" s="13">
        <f>SUM(E53:F53)</f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1"/>
    </row>
    <row r="54" spans="1:19" x14ac:dyDescent="0.25">
      <c r="A54" s="16" t="s">
        <v>6</v>
      </c>
      <c r="B54" s="15"/>
      <c r="C54" s="15"/>
      <c r="D54" s="15"/>
      <c r="E54" s="14">
        <f>339975+287894</f>
        <v>627869</v>
      </c>
      <c r="F54" s="14">
        <v>97682.947692307585</v>
      </c>
      <c r="G54" s="13">
        <f>SUM(E54:F54)</f>
        <v>725551.94769230764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"/>
    </row>
    <row r="55" spans="1:19" x14ac:dyDescent="0.25">
      <c r="A55" s="17" t="s">
        <v>5</v>
      </c>
      <c r="B55" s="15"/>
      <c r="C55" s="15"/>
      <c r="D55" s="15"/>
      <c r="E55" s="15">
        <f>E54*0.07</f>
        <v>43950.83</v>
      </c>
      <c r="F55" s="15">
        <v>12962.320000000002</v>
      </c>
      <c r="G55" s="13">
        <f>SUM(E55:F55)</f>
        <v>56913.15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"/>
    </row>
    <row r="56" spans="1:19" x14ac:dyDescent="0.25">
      <c r="A56" s="17" t="s">
        <v>4</v>
      </c>
      <c r="B56" s="15"/>
      <c r="C56" s="15"/>
      <c r="D56" s="15"/>
      <c r="E56" s="15">
        <f>E54-E55</f>
        <v>583918.17000000004</v>
      </c>
      <c r="F56" s="15">
        <v>84720.627692307578</v>
      </c>
      <c r="G56" s="13">
        <f>SUM(E56:F56)</f>
        <v>668638.79769230762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"/>
    </row>
    <row r="57" spans="1:19" x14ac:dyDescent="0.25">
      <c r="A57" s="16" t="s">
        <v>3</v>
      </c>
      <c r="B57" s="15"/>
      <c r="C57" s="15"/>
      <c r="D57" s="15"/>
      <c r="E57" s="14">
        <v>0</v>
      </c>
      <c r="F57" s="14">
        <v>0</v>
      </c>
      <c r="G57" s="13">
        <f>SUM(E57:F57)</f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"/>
    </row>
    <row r="58" spans="1:19" ht="15.75" thickBot="1" x14ac:dyDescent="0.3">
      <c r="A58" s="46" t="s">
        <v>20</v>
      </c>
      <c r="B58" s="15"/>
      <c r="C58" s="15"/>
      <c r="D58" s="15"/>
      <c r="E58" s="14">
        <v>916254</v>
      </c>
      <c r="F58" s="14"/>
      <c r="G58" s="1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"/>
    </row>
    <row r="59" spans="1:19" ht="15.75" thickBot="1" x14ac:dyDescent="0.3">
      <c r="A59" s="12" t="s">
        <v>19</v>
      </c>
      <c r="B59" s="45"/>
      <c r="C59" s="45"/>
      <c r="D59" s="45"/>
      <c r="E59" s="44">
        <f>SUM(E46:E54)+E57+E58</f>
        <v>2257689</v>
      </c>
      <c r="F59" s="44">
        <v>739459</v>
      </c>
      <c r="G59" s="44">
        <f>SUM(G46:G54)+G57+G58</f>
        <v>2080894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"/>
    </row>
    <row r="60" spans="1:19" ht="26.25" thickBot="1" x14ac:dyDescent="0.3">
      <c r="A60" s="9" t="s">
        <v>18</v>
      </c>
      <c r="B60" s="8"/>
      <c r="C60" s="8"/>
      <c r="D60" s="8"/>
      <c r="E60" s="7">
        <f>ROUND(E59*0.07,0)</f>
        <v>158038</v>
      </c>
      <c r="F60" s="7">
        <v>51762</v>
      </c>
      <c r="G60" s="43">
        <f>E60+F60</f>
        <v>209800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"/>
    </row>
    <row r="61" spans="1:19" ht="15.75" thickBot="1" x14ac:dyDescent="0.3">
      <c r="A61" s="6" t="s">
        <v>17</v>
      </c>
      <c r="B61" s="42"/>
      <c r="C61" s="42"/>
      <c r="D61" s="42"/>
      <c r="E61" s="41">
        <f>E59+E60</f>
        <v>2415727</v>
      </c>
      <c r="F61" s="41">
        <v>791221</v>
      </c>
      <c r="G61" s="41">
        <f>E61+F61</f>
        <v>3206948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"/>
    </row>
    <row r="62" spans="1:19" s="36" customFormat="1" x14ac:dyDescent="0.25">
      <c r="A62" s="40"/>
      <c r="B62" s="39"/>
      <c r="C62" s="39"/>
      <c r="D62" s="39"/>
      <c r="E62" s="38"/>
      <c r="F62" s="38"/>
      <c r="G62" s="3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1"/>
    </row>
    <row r="63" spans="1:19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"/>
    </row>
    <row r="64" spans="1:19" x14ac:dyDescent="0.25">
      <c r="A64" s="35" t="s">
        <v>16</v>
      </c>
      <c r="B64" s="34"/>
      <c r="C64" s="34"/>
      <c r="D64" s="34"/>
      <c r="E64" s="34"/>
      <c r="F64" s="33" t="s">
        <v>15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"/>
    </row>
    <row r="65" spans="1:19" x14ac:dyDescent="0.25">
      <c r="A65" s="32"/>
      <c r="B65" s="31"/>
      <c r="C65" s="31"/>
      <c r="D65" s="31"/>
      <c r="E65" s="31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"/>
    </row>
    <row r="66" spans="1:19" ht="15.75" thickBot="1" x14ac:dyDescent="0.3">
      <c r="A66" s="29"/>
      <c r="B66" s="28"/>
      <c r="C66" s="28"/>
      <c r="D66" s="28"/>
      <c r="E66" s="28"/>
      <c r="F66" s="2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"/>
    </row>
    <row r="67" spans="1:19" ht="15.75" thickBot="1" x14ac:dyDescent="0.3">
      <c r="A67" s="26"/>
      <c r="B67" s="25" t="s">
        <v>14</v>
      </c>
      <c r="C67" s="25" t="s">
        <v>13</v>
      </c>
      <c r="D67" s="25" t="s">
        <v>12</v>
      </c>
      <c r="E67" s="25" t="s">
        <v>11</v>
      </c>
      <c r="F67" s="2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"/>
    </row>
    <row r="68" spans="1:19" x14ac:dyDescent="0.25">
      <c r="A68" s="23" t="s">
        <v>10</v>
      </c>
      <c r="B68" s="22"/>
      <c r="C68" s="22"/>
      <c r="D68" s="22"/>
      <c r="E68" s="22"/>
      <c r="F68" s="22"/>
      <c r="G68" s="2"/>
      <c r="H68" s="2"/>
      <c r="I68" s="21"/>
      <c r="J68" s="2"/>
      <c r="K68" s="2"/>
      <c r="L68" s="2"/>
      <c r="M68" s="2"/>
      <c r="N68" s="2"/>
      <c r="O68" s="2"/>
      <c r="P68" s="2"/>
      <c r="Q68" s="2"/>
      <c r="R68" s="2"/>
      <c r="S68" s="1"/>
    </row>
    <row r="69" spans="1:19" x14ac:dyDescent="0.25">
      <c r="A69" s="20" t="str">
        <f>'[1]1.2. Approach 2 Total'!A4</f>
        <v>1.1 Project Manager (P5 step 3) 50%</v>
      </c>
      <c r="B69" s="19" t="str">
        <f>'[1]1.2. Approach 2 Total'!B4</f>
        <v>Per month</v>
      </c>
      <c r="C69" s="19">
        <f>'[1]1.2. Approach 2 Total'!C4</f>
        <v>44</v>
      </c>
      <c r="D69" s="19">
        <f>'[1]1.2. Approach 2 Total'!D4</f>
        <v>19235.903000000002</v>
      </c>
      <c r="E69" s="13">
        <f>ROUND('[1]1.2. Approach 2 Total'!E4,0)</f>
        <v>423190</v>
      </c>
      <c r="F69" s="13">
        <f>E69</f>
        <v>423190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"/>
    </row>
    <row r="70" spans="1:19" x14ac:dyDescent="0.25">
      <c r="A70" s="20" t="str">
        <f>'[1]1.2. Approach 2 Total'!A5</f>
        <v>1.2 Administrative support staff (G5 step 8) 50%</v>
      </c>
      <c r="B70" s="19" t="str">
        <f>'[1]1.2. Approach 2 Total'!B5</f>
        <v>Per month</v>
      </c>
      <c r="C70" s="19">
        <f>'[1]1.2. Approach 2 Total'!C5</f>
        <v>44</v>
      </c>
      <c r="D70" s="19">
        <f>'[1]1.2. Approach 2 Total'!D5</f>
        <v>10707.989</v>
      </c>
      <c r="E70" s="13">
        <f>ROUND('[1]1.2. Approach 2 Total'!E5,0)</f>
        <v>235576</v>
      </c>
      <c r="F70" s="13">
        <f>E70</f>
        <v>235576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"/>
    </row>
    <row r="71" spans="1:19" ht="25.5" x14ac:dyDescent="0.25">
      <c r="A71" s="20" t="str">
        <f>'[1]1.2. Approach 2 Total'!A6</f>
        <v>1.3 Workmonths technical experts (Actuarial, Statistical, Public Finance) - P3</v>
      </c>
      <c r="B71" s="19" t="str">
        <f>'[1]1.2. Approach 2 Total'!B6</f>
        <v>Per month</v>
      </c>
      <c r="C71" s="19">
        <f>'[1]1.2. Approach 2 Total'!C6</f>
        <v>25</v>
      </c>
      <c r="D71" s="19">
        <f>'[1]1.2. Approach 2 Total'!D6</f>
        <v>14655.07</v>
      </c>
      <c r="E71" s="13">
        <f>ROUND('[1]1.2. Approach 2 Total'!E6,0)</f>
        <v>366377</v>
      </c>
      <c r="F71" s="13">
        <f>E71</f>
        <v>366377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"/>
    </row>
    <row r="72" spans="1:19" ht="25.5" x14ac:dyDescent="0.25">
      <c r="A72" s="20" t="str">
        <f>'[1]1.2. Approach 2 Total'!A7</f>
        <v>1.4 Workmonths technical experts (Legal, Policy, Communication) - P3</v>
      </c>
      <c r="B72" s="19" t="str">
        <f>'[1]1.2. Approach 2 Total'!B7</f>
        <v>Per month</v>
      </c>
      <c r="C72" s="19">
        <f>'[1]1.2. Approach 2 Total'!C7</f>
        <v>26</v>
      </c>
      <c r="D72" s="19">
        <f>'[1]1.2. Approach 2 Total'!D7</f>
        <v>14656.07</v>
      </c>
      <c r="E72" s="13">
        <f>ROUND('[1]1.2. Approach 2 Total'!E7,0)</f>
        <v>381058</v>
      </c>
      <c r="F72" s="13">
        <f>E72</f>
        <v>381058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"/>
    </row>
    <row r="73" spans="1:19" x14ac:dyDescent="0.25">
      <c r="A73" s="16" t="s">
        <v>9</v>
      </c>
      <c r="B73" s="15"/>
      <c r="C73" s="15"/>
      <c r="D73" s="15"/>
      <c r="E73" s="14">
        <f>'[1]1.2. Approach 2 Total'!E10</f>
        <v>170000</v>
      </c>
      <c r="F73" s="13">
        <f>E73</f>
        <v>170000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"/>
    </row>
    <row r="74" spans="1:19" x14ac:dyDescent="0.25">
      <c r="A74" s="16" t="s">
        <v>8</v>
      </c>
      <c r="B74" s="15"/>
      <c r="C74" s="15"/>
      <c r="D74" s="15"/>
      <c r="E74" s="14">
        <f>'[1]1.2. Approach 2 Total'!E12</f>
        <v>20000</v>
      </c>
      <c r="F74" s="13">
        <f>E74</f>
        <v>20000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"/>
    </row>
    <row r="75" spans="1:19" x14ac:dyDescent="0.25">
      <c r="A75" s="18" t="s">
        <v>7</v>
      </c>
      <c r="B75" s="15"/>
      <c r="C75" s="15"/>
      <c r="D75" s="15"/>
      <c r="E75" s="14">
        <f>'[1]1.2. Approach 2 Total'!E14</f>
        <v>0</v>
      </c>
      <c r="F75" s="13">
        <f>E75</f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"/>
    </row>
    <row r="76" spans="1:19" x14ac:dyDescent="0.25">
      <c r="A76" s="16" t="s">
        <v>6</v>
      </c>
      <c r="B76" s="15"/>
      <c r="C76" s="15"/>
      <c r="D76" s="15"/>
      <c r="E76" s="14">
        <f>'[1]1.2. Approach 2 Total'!E16+77881+580518-1</f>
        <v>2956279</v>
      </c>
      <c r="F76" s="13">
        <f>E76</f>
        <v>2956279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"/>
    </row>
    <row r="77" spans="1:19" x14ac:dyDescent="0.25">
      <c r="A77" s="17" t="s">
        <v>5</v>
      </c>
      <c r="B77" s="15"/>
      <c r="C77" s="15"/>
      <c r="D77" s="15"/>
      <c r="E77" s="15">
        <f>E76*0.07</f>
        <v>206939.53000000003</v>
      </c>
      <c r="F77" s="13">
        <f>E77</f>
        <v>206939.53000000003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"/>
    </row>
    <row r="78" spans="1:19" x14ac:dyDescent="0.25">
      <c r="A78" s="17" t="s">
        <v>4</v>
      </c>
      <c r="B78" s="15"/>
      <c r="C78" s="15"/>
      <c r="D78" s="15"/>
      <c r="E78" s="15">
        <f>E76-E77</f>
        <v>2749339.4699999997</v>
      </c>
      <c r="F78" s="13">
        <f>E78</f>
        <v>2749339.4699999997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"/>
    </row>
    <row r="79" spans="1:19" ht="15.75" thickBot="1" x14ac:dyDescent="0.3">
      <c r="A79" s="16" t="s">
        <v>3</v>
      </c>
      <c r="B79" s="15"/>
      <c r="C79" s="15"/>
      <c r="D79" s="15"/>
      <c r="E79" s="14"/>
      <c r="F79" s="13">
        <f>E79</f>
        <v>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"/>
    </row>
    <row r="80" spans="1:19" ht="15.75" thickBot="1" x14ac:dyDescent="0.3">
      <c r="A80" s="12" t="s">
        <v>2</v>
      </c>
      <c r="B80" s="11"/>
      <c r="C80" s="11"/>
      <c r="D80" s="11"/>
      <c r="E80" s="10">
        <f>SUM(E69:E76)+E79</f>
        <v>4552480</v>
      </c>
      <c r="F80" s="10">
        <f>SUM(F69:F76)+F79</f>
        <v>4552480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"/>
    </row>
    <row r="81" spans="1:19" ht="26.25" thickBot="1" x14ac:dyDescent="0.3">
      <c r="A81" s="9" t="s">
        <v>1</v>
      </c>
      <c r="B81" s="8"/>
      <c r="C81" s="8"/>
      <c r="D81" s="8"/>
      <c r="E81" s="7">
        <f>ROUND(E80*0.07,0)</f>
        <v>318674</v>
      </c>
      <c r="F81" s="7">
        <f>ROUND(F80*0.07,0)</f>
        <v>318674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"/>
    </row>
    <row r="82" spans="1:19" x14ac:dyDescent="0.25">
      <c r="A82" s="6" t="s">
        <v>0</v>
      </c>
      <c r="B82" s="5"/>
      <c r="C82" s="5"/>
      <c r="D82" s="5"/>
      <c r="E82" s="4">
        <f>E80+E81</f>
        <v>4871154</v>
      </c>
      <c r="F82" s="4">
        <f>F80+F81</f>
        <v>4871154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"/>
    </row>
    <row r="85" spans="1:19" x14ac:dyDescent="0.25">
      <c r="A85" s="2"/>
      <c r="B85" s="2"/>
      <c r="C85" s="2"/>
      <c r="D85" s="2"/>
      <c r="E85" s="2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"/>
    </row>
    <row r="134" spans="1:1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</row>
    <row r="135" spans="1:1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</row>
    <row r="136" spans="1:1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</row>
    <row r="137" spans="1:1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</row>
    <row r="138" spans="1:1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</row>
    <row r="139" spans="1:1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</row>
    <row r="140" spans="1:1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</row>
    <row r="141" spans="1:1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</row>
    <row r="142" spans="1:1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</row>
    <row r="144" spans="1:1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</row>
    <row r="145" spans="1:1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</row>
    <row r="146" spans="1:1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</row>
    <row r="147" spans="1:1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</row>
    <row r="148" spans="1:1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</row>
    <row r="149" spans="1:1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</row>
    <row r="150" spans="1:1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</row>
    <row r="151" spans="1:1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</row>
    <row r="152" spans="1:1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</row>
    <row r="153" spans="1:1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</row>
    <row r="154" spans="1:1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</row>
    <row r="155" spans="1:1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</row>
    <row r="156" spans="1:1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</row>
    <row r="157" spans="1:1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</row>
    <row r="158" spans="1:1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</row>
    <row r="159" spans="1:1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"/>
    </row>
    <row r="160" spans="1:1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"/>
    </row>
    <row r="161" spans="1:1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"/>
    </row>
    <row r="162" spans="1:1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"/>
    </row>
    <row r="163" spans="1:1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"/>
    </row>
    <row r="164" spans="1:1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"/>
    </row>
    <row r="165" spans="1:1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"/>
    </row>
    <row r="166" spans="1:1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"/>
    </row>
    <row r="167" spans="1:1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"/>
    </row>
    <row r="168" spans="1:1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"/>
    </row>
    <row r="169" spans="1:1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"/>
    </row>
    <row r="170" spans="1:1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"/>
    </row>
    <row r="171" spans="1:1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"/>
    </row>
    <row r="172" spans="1:1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"/>
    </row>
    <row r="173" spans="1:1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"/>
    </row>
    <row r="174" spans="1:1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"/>
    </row>
    <row r="175" spans="1:1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"/>
    </row>
    <row r="176" spans="1:1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"/>
    </row>
    <row r="177" spans="1:1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"/>
    </row>
    <row r="178" spans="1:1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"/>
    </row>
    <row r="179" spans="1:1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"/>
    </row>
    <row r="180" spans="1:1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"/>
    </row>
    <row r="181" spans="1:1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"/>
    </row>
    <row r="182" spans="1:1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"/>
    </row>
    <row r="183" spans="1:1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"/>
    </row>
    <row r="184" spans="1:1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"/>
    </row>
    <row r="185" spans="1:1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"/>
    </row>
    <row r="186" spans="1:1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"/>
    </row>
    <row r="187" spans="1:1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"/>
    </row>
    <row r="188" spans="1:1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"/>
    </row>
    <row r="189" spans="1:1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"/>
    </row>
    <row r="190" spans="1:1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"/>
    </row>
    <row r="191" spans="1:1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"/>
    </row>
    <row r="192" spans="1:1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"/>
    </row>
    <row r="193" spans="1:1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"/>
    </row>
    <row r="194" spans="1:1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"/>
    </row>
    <row r="195" spans="1:1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"/>
    </row>
    <row r="196" spans="1:1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"/>
    </row>
    <row r="197" spans="1:1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"/>
    </row>
    <row r="198" spans="1:1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"/>
    </row>
    <row r="199" spans="1:1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"/>
    </row>
    <row r="200" spans="1:1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"/>
    </row>
    <row r="201" spans="1:1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"/>
    </row>
    <row r="202" spans="1:1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"/>
    </row>
    <row r="203" spans="1:1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"/>
    </row>
    <row r="204" spans="1:1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"/>
    </row>
    <row r="205" spans="1:1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"/>
    </row>
    <row r="206" spans="1:1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"/>
    </row>
    <row r="207" spans="1:1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"/>
    </row>
    <row r="208" spans="1:1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"/>
    </row>
    <row r="209" spans="1:1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"/>
    </row>
    <row r="210" spans="1:1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"/>
    </row>
    <row r="211" spans="1:1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"/>
    </row>
    <row r="212" spans="1:1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"/>
    </row>
    <row r="213" spans="1:1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"/>
    </row>
    <row r="214" spans="1:1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"/>
    </row>
    <row r="215" spans="1:1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"/>
    </row>
    <row r="216" spans="1:1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"/>
    </row>
    <row r="217" spans="1:1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"/>
    </row>
    <row r="218" spans="1:1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"/>
    </row>
    <row r="219" spans="1:1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"/>
    </row>
    <row r="220" spans="1:1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"/>
    </row>
    <row r="221" spans="1:1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"/>
    </row>
    <row r="222" spans="1:1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"/>
    </row>
    <row r="223" spans="1:1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"/>
    </row>
    <row r="224" spans="1:1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"/>
    </row>
    <row r="225" spans="1:1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"/>
    </row>
    <row r="226" spans="1:1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"/>
    </row>
    <row r="227" spans="1:1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"/>
    </row>
    <row r="228" spans="1:1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"/>
    </row>
    <row r="229" spans="1:1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"/>
    </row>
    <row r="230" spans="1:1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"/>
    </row>
    <row r="231" spans="1:1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"/>
    </row>
    <row r="232" spans="1:1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"/>
    </row>
    <row r="233" spans="1:1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"/>
    </row>
    <row r="234" spans="1:1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"/>
    </row>
    <row r="235" spans="1:1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"/>
    </row>
    <row r="236" spans="1:1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"/>
    </row>
    <row r="237" spans="1:1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"/>
    </row>
    <row r="238" spans="1:1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"/>
    </row>
    <row r="239" spans="1:1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"/>
    </row>
    <row r="240" spans="1:1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"/>
    </row>
    <row r="241" spans="1:1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"/>
    </row>
    <row r="242" spans="1:1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"/>
    </row>
    <row r="243" spans="1:1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"/>
    </row>
    <row r="244" spans="1:1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"/>
    </row>
    <row r="245" spans="1:1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"/>
    </row>
    <row r="246" spans="1:1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"/>
    </row>
    <row r="247" spans="1:1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"/>
    </row>
    <row r="248" spans="1:1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"/>
    </row>
    <row r="249" spans="1:1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"/>
    </row>
    <row r="250" spans="1:1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"/>
    </row>
    <row r="251" spans="1:1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"/>
    </row>
    <row r="252" spans="1:1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"/>
    </row>
    <row r="253" spans="1:1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"/>
    </row>
    <row r="254" spans="1:1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"/>
    </row>
    <row r="255" spans="1:1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"/>
    </row>
    <row r="256" spans="1:1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"/>
    </row>
  </sheetData>
  <mergeCells count="24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20:A22"/>
    <mergeCell ref="B20:C22"/>
    <mergeCell ref="D20:E22"/>
    <mergeCell ref="F20:G22"/>
    <mergeCell ref="H20:I22"/>
    <mergeCell ref="J20:K22"/>
    <mergeCell ref="A64:E66"/>
    <mergeCell ref="F64:F66"/>
    <mergeCell ref="L20:M22"/>
    <mergeCell ref="N20:O22"/>
    <mergeCell ref="P20:Q22"/>
    <mergeCell ref="R20:R22"/>
    <mergeCell ref="A41:F43"/>
    <mergeCell ref="G41:G4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Annex III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Peyron Bista, Celine</dc:creator>
  <cp:lastModifiedBy>Peyron Bista, Celine</cp:lastModifiedBy>
  <dcterms:created xsi:type="dcterms:W3CDTF">2021-06-10T09:23:30Z</dcterms:created>
  <dcterms:modified xsi:type="dcterms:W3CDTF">2021-06-10T09:23:51Z</dcterms:modified>
</cp:coreProperties>
</file>