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odeName="ThisWorkbook" defaultThemeVersion="124226"/>
  <bookViews>
    <workbookView xWindow="10665" yWindow="-225" windowWidth="9270" windowHeight="8280" tabRatio="500" firstSheet="14" activeTab="14"/>
  </bookViews>
  <sheets>
    <sheet name="Original" sheetId="1" r:id="rId1"/>
    <sheet name="Data for Graph complete" sheetId="24" r:id="rId2"/>
    <sheet name="Data Minimum wage" sheetId="20" r:id="rId3"/>
    <sheet name="G_minimum wage" sheetId="3" r:id="rId4"/>
    <sheet name="G_per average wage" sheetId="26" r:id="rId5"/>
    <sheet name="Data Average wage" sheetId="18" r:id="rId6"/>
    <sheet name="G_per GDP per capita" sheetId="25" r:id="rId7"/>
    <sheet name="Data GDP per capita" sheetId="22" r:id="rId8"/>
    <sheet name="G_per PPP $" sheetId="27" r:id="rId9"/>
    <sheet name="Data Dollars PPP" sheetId="23" r:id="rId10"/>
    <sheet name="G_per US $" sheetId="29" r:id="rId11"/>
    <sheet name="Data US$" sheetId="28" r:id="rId12"/>
    <sheet name="G_Coverage (1)" sheetId="30" r:id="rId13"/>
    <sheet name="Data Coverage (1)" sheetId="21" r:id="rId14"/>
    <sheet name="G Level PPP and Coverage" sheetId="15" r:id="rId15"/>
    <sheet name="Data Graph PPP" sheetId="11" r:id="rId16"/>
    <sheet name="G2.2 PPP level" sheetId="13" r:id="rId17"/>
    <sheet name="G3_level in USD" sheetId="9" r:id="rId18"/>
    <sheet name="Data G3 level in USD &amp; Coverage" sheetId="7" r:id="rId19"/>
  </sheets>
  <definedNames>
    <definedName name="_xlnm._FilterDatabase" localSheetId="5" hidden="1">'Data Average wage'!$A$4:$V$134</definedName>
    <definedName name="_xlnm._FilterDatabase" localSheetId="13" hidden="1">'Data Coverage (1)'!$A$4:$I$134</definedName>
    <definedName name="_xlnm._FilterDatabase" localSheetId="9" hidden="1">'Data Dollars PPP'!$A$4:$V$134</definedName>
    <definedName name="_xlnm._FilterDatabase" localSheetId="18" hidden="1">'Data G3 level in USD &amp; Coverage'!$A$2:$S$129</definedName>
    <definedName name="_xlnm._FilterDatabase" localSheetId="7" hidden="1">'Data GDP per capita'!$A$4:$V$134</definedName>
    <definedName name="_xlnm._FilterDatabase" localSheetId="15" hidden="1">'Data Graph PPP'!$A$3:$I$86</definedName>
    <definedName name="_xlnm._FilterDatabase" localSheetId="2" hidden="1">'Data Minimum wage'!$A$4:$V$134</definedName>
    <definedName name="_xlnm._FilterDatabase" localSheetId="11" hidden="1">'Data US$'!$A$4:$V$134</definedName>
    <definedName name="_xlnm._FilterDatabase" localSheetId="0" hidden="1">Original!$A$8:$AM$139</definedName>
  </definedNames>
  <calcPr calcId="124519"/>
</workbook>
</file>

<file path=xl/calcChain.xml><?xml version="1.0" encoding="utf-8"?>
<calcChain xmlns="http://schemas.openxmlformats.org/spreadsheetml/2006/main">
  <c r="AE9" i="1"/>
  <c r="AD9"/>
  <c r="AF71"/>
  <c r="C9" i="11" l="1"/>
  <c r="C11"/>
  <c r="C53"/>
  <c r="C44"/>
  <c r="C5"/>
  <c r="C41"/>
  <c r="C24"/>
  <c r="C42"/>
  <c r="C18"/>
  <c r="C20"/>
  <c r="C66"/>
  <c r="C86"/>
  <c r="C68"/>
  <c r="C35"/>
  <c r="C56"/>
  <c r="C76"/>
  <c r="C71"/>
  <c r="C21"/>
  <c r="C63"/>
  <c r="C27"/>
  <c r="C85"/>
  <c r="C74"/>
  <c r="C17"/>
  <c r="C30"/>
  <c r="C13"/>
  <c r="C29"/>
  <c r="C58"/>
  <c r="C45"/>
  <c r="C6"/>
  <c r="C75"/>
  <c r="C84"/>
  <c r="C62"/>
  <c r="C79"/>
  <c r="C10"/>
  <c r="C7"/>
  <c r="C54"/>
  <c r="C32"/>
  <c r="C83"/>
  <c r="C70"/>
  <c r="C82"/>
  <c r="C61"/>
  <c r="C60"/>
  <c r="C19"/>
  <c r="C43"/>
  <c r="C28"/>
  <c r="C47"/>
  <c r="C4"/>
  <c r="C39"/>
  <c r="C67"/>
  <c r="C65"/>
  <c r="C72"/>
  <c r="C14"/>
  <c r="C38"/>
  <c r="C69"/>
  <c r="C25"/>
  <c r="C12"/>
  <c r="C23"/>
  <c r="C22"/>
  <c r="C59"/>
  <c r="C77"/>
  <c r="C37"/>
  <c r="C40"/>
  <c r="C31"/>
  <c r="C57"/>
  <c r="C52"/>
  <c r="C78"/>
  <c r="C50"/>
  <c r="C8"/>
  <c r="C73"/>
  <c r="C36"/>
  <c r="C46"/>
  <c r="C81"/>
  <c r="C80"/>
  <c r="C55"/>
  <c r="C26"/>
  <c r="C15"/>
  <c r="C49"/>
  <c r="C48"/>
  <c r="C33"/>
  <c r="C51"/>
  <c r="C34"/>
  <c r="C64"/>
  <c r="C16"/>
  <c r="I135" i="21"/>
  <c r="I13"/>
  <c r="I16"/>
  <c r="I67"/>
  <c r="I56"/>
  <c r="I8"/>
  <c r="I53"/>
  <c r="I32"/>
  <c r="I54"/>
  <c r="I25"/>
  <c r="I27"/>
  <c r="I134"/>
  <c r="I133"/>
  <c r="I83"/>
  <c r="I103"/>
  <c r="I85"/>
  <c r="I132"/>
  <c r="I131"/>
  <c r="I46"/>
  <c r="I70"/>
  <c r="I93"/>
  <c r="I88"/>
  <c r="I61"/>
  <c r="I29"/>
  <c r="I80"/>
  <c r="I58"/>
  <c r="I36"/>
  <c r="I10"/>
  <c r="I102"/>
  <c r="I91"/>
  <c r="I51"/>
  <c r="I130"/>
  <c r="I39"/>
  <c r="I75"/>
  <c r="I24"/>
  <c r="I129"/>
  <c r="I7"/>
  <c r="I40"/>
  <c r="I20"/>
  <c r="I38"/>
  <c r="I73"/>
  <c r="I128"/>
  <c r="I57"/>
  <c r="I9"/>
  <c r="I92"/>
  <c r="I101"/>
  <c r="I79"/>
  <c r="I96"/>
  <c r="I15"/>
  <c r="I11"/>
  <c r="I127"/>
  <c r="I28"/>
  <c r="I68"/>
  <c r="I42"/>
  <c r="I100"/>
  <c r="I126"/>
  <c r="I87"/>
  <c r="I35"/>
  <c r="I125"/>
  <c r="I124"/>
  <c r="I123"/>
  <c r="I122"/>
  <c r="I99"/>
  <c r="I121"/>
  <c r="I120"/>
  <c r="I78"/>
  <c r="I77"/>
  <c r="I119"/>
  <c r="I118"/>
  <c r="I117"/>
  <c r="I19"/>
  <c r="I116"/>
  <c r="I55"/>
  <c r="I5"/>
  <c r="I37"/>
  <c r="I115"/>
  <c r="I60"/>
  <c r="I114"/>
  <c r="I6"/>
  <c r="I50"/>
  <c r="I84"/>
  <c r="I113"/>
  <c r="I112"/>
  <c r="I14"/>
  <c r="I82"/>
  <c r="I89"/>
  <c r="I21"/>
  <c r="I76"/>
  <c r="I49"/>
  <c r="I18"/>
  <c r="I86"/>
  <c r="I72"/>
  <c r="I33"/>
  <c r="I17"/>
  <c r="I31"/>
  <c r="I30"/>
  <c r="I74"/>
  <c r="I111"/>
  <c r="I94"/>
  <c r="I110"/>
  <c r="I109"/>
  <c r="I108"/>
  <c r="I48"/>
  <c r="I52"/>
  <c r="I107"/>
  <c r="I41"/>
  <c r="I71"/>
  <c r="I66"/>
  <c r="I95"/>
  <c r="I64"/>
  <c r="I12"/>
  <c r="I90"/>
  <c r="I47"/>
  <c r="I59"/>
  <c r="I98"/>
  <c r="I97"/>
  <c r="I106"/>
  <c r="I69"/>
  <c r="I34"/>
  <c r="I22"/>
  <c r="I63"/>
  <c r="I45"/>
  <c r="I62"/>
  <c r="I43"/>
  <c r="I65"/>
  <c r="I44"/>
  <c r="I81"/>
  <c r="I105"/>
  <c r="I23"/>
  <c r="I104"/>
  <c r="F22" i="28"/>
  <c r="D22"/>
  <c r="B22"/>
  <c r="A22"/>
  <c r="F15"/>
  <c r="D15"/>
  <c r="B15"/>
  <c r="A15"/>
  <c r="F19"/>
  <c r="D19"/>
  <c r="B19"/>
  <c r="A19"/>
  <c r="F107"/>
  <c r="D107"/>
  <c r="B107"/>
  <c r="A107"/>
  <c r="F38"/>
  <c r="D38"/>
  <c r="B38"/>
  <c r="A38"/>
  <c r="F96"/>
  <c r="D96"/>
  <c r="B96"/>
  <c r="A96"/>
  <c r="F121"/>
  <c r="D121"/>
  <c r="B121"/>
  <c r="A121"/>
  <c r="F124"/>
  <c r="D124"/>
  <c r="B124"/>
  <c r="A124"/>
  <c r="F70"/>
  <c r="D70"/>
  <c r="B70"/>
  <c r="A70"/>
  <c r="F20"/>
  <c r="D20"/>
  <c r="B20"/>
  <c r="A20"/>
  <c r="F29"/>
  <c r="D29"/>
  <c r="B29"/>
  <c r="A29"/>
  <c r="F72"/>
  <c r="D72"/>
  <c r="B72"/>
  <c r="A72"/>
  <c r="F114"/>
  <c r="D114"/>
  <c r="B114"/>
  <c r="A114"/>
  <c r="F28"/>
  <c r="D28"/>
  <c r="B28"/>
  <c r="A28"/>
  <c r="F27"/>
  <c r="D27"/>
  <c r="B27"/>
  <c r="A27"/>
  <c r="F18"/>
  <c r="D18"/>
  <c r="B18"/>
  <c r="A18"/>
  <c r="F118"/>
  <c r="D118"/>
  <c r="B118"/>
  <c r="A118"/>
  <c r="F132"/>
  <c r="D132"/>
  <c r="B132"/>
  <c r="A132"/>
  <c r="F128"/>
  <c r="D128"/>
  <c r="B128"/>
  <c r="A128"/>
  <c r="F32"/>
  <c r="D32"/>
  <c r="B32"/>
  <c r="A32"/>
  <c r="F86"/>
  <c r="D86"/>
  <c r="B86"/>
  <c r="A86"/>
  <c r="F113"/>
  <c r="D113"/>
  <c r="B113"/>
  <c r="A113"/>
  <c r="F115"/>
  <c r="D115"/>
  <c r="B115"/>
  <c r="A115"/>
  <c r="F87"/>
  <c r="D87"/>
  <c r="B87"/>
  <c r="A87"/>
  <c r="F110"/>
  <c r="D110"/>
  <c r="B110"/>
  <c r="A110"/>
  <c r="F95"/>
  <c r="D95"/>
  <c r="B95"/>
  <c r="A95"/>
  <c r="F11"/>
  <c r="D11"/>
  <c r="B11"/>
  <c r="A11"/>
  <c r="F91"/>
  <c r="D91"/>
  <c r="B91"/>
  <c r="A91"/>
  <c r="F56"/>
  <c r="D56"/>
  <c r="B56"/>
  <c r="A56"/>
  <c r="F105"/>
  <c r="D105"/>
  <c r="B105"/>
  <c r="A105"/>
  <c r="F60"/>
  <c r="D60"/>
  <c r="B60"/>
  <c r="A60"/>
  <c r="F103"/>
  <c r="D103"/>
  <c r="B103"/>
  <c r="A103"/>
  <c r="F102"/>
  <c r="D102"/>
  <c r="B102"/>
  <c r="A102"/>
  <c r="F98"/>
  <c r="D98"/>
  <c r="B98"/>
  <c r="A98"/>
  <c r="F100"/>
  <c r="D100"/>
  <c r="B100"/>
  <c r="A100"/>
  <c r="F10"/>
  <c r="D10"/>
  <c r="B10"/>
  <c r="A10"/>
  <c r="F23"/>
  <c r="D23"/>
  <c r="B23"/>
  <c r="A23"/>
  <c r="F46"/>
  <c r="D46"/>
  <c r="B46"/>
  <c r="A46"/>
  <c r="F71"/>
  <c r="D71"/>
  <c r="B71"/>
  <c r="A71"/>
  <c r="F76"/>
  <c r="D76"/>
  <c r="B76"/>
  <c r="A76"/>
  <c r="F94"/>
  <c r="D94"/>
  <c r="B94"/>
  <c r="A94"/>
  <c r="F127"/>
  <c r="D127"/>
  <c r="B127"/>
  <c r="A127"/>
  <c r="F37"/>
  <c r="D37"/>
  <c r="B37"/>
  <c r="A37"/>
  <c r="F123"/>
  <c r="D123"/>
  <c r="B123"/>
  <c r="A123"/>
  <c r="F131"/>
  <c r="D131"/>
  <c r="B131"/>
  <c r="A131"/>
  <c r="F16"/>
  <c r="D16"/>
  <c r="B16"/>
  <c r="A16"/>
  <c r="F63"/>
  <c r="D63"/>
  <c r="B63"/>
  <c r="A63"/>
  <c r="F33"/>
  <c r="D33"/>
  <c r="B33"/>
  <c r="A33"/>
  <c r="F17"/>
  <c r="D17"/>
  <c r="B17"/>
  <c r="A17"/>
  <c r="F85"/>
  <c r="D85"/>
  <c r="B85"/>
  <c r="A85"/>
  <c r="F84"/>
  <c r="D84"/>
  <c r="B84"/>
  <c r="A84"/>
  <c r="F44"/>
  <c r="D44"/>
  <c r="B44"/>
  <c r="A44"/>
  <c r="F65"/>
  <c r="D65"/>
  <c r="B65"/>
  <c r="A65"/>
  <c r="F80"/>
  <c r="D80"/>
  <c r="B80"/>
  <c r="A80"/>
  <c r="F120"/>
  <c r="D120"/>
  <c r="B120"/>
  <c r="A120"/>
  <c r="F81"/>
  <c r="D81"/>
  <c r="B81"/>
  <c r="A81"/>
  <c r="F78"/>
  <c r="D78"/>
  <c r="B78"/>
  <c r="A78"/>
  <c r="F77"/>
  <c r="D77"/>
  <c r="B77"/>
  <c r="A77"/>
  <c r="F9"/>
  <c r="D9"/>
  <c r="B9"/>
  <c r="A9"/>
  <c r="F8"/>
  <c r="D8"/>
  <c r="B8"/>
  <c r="A8"/>
  <c r="F39"/>
  <c r="D39"/>
  <c r="B39"/>
  <c r="A39"/>
  <c r="F45"/>
  <c r="D45"/>
  <c r="B45"/>
  <c r="A45"/>
  <c r="F69"/>
  <c r="D69"/>
  <c r="B69"/>
  <c r="A69"/>
  <c r="F30"/>
  <c r="D30"/>
  <c r="B30"/>
  <c r="A30"/>
  <c r="F58"/>
  <c r="D58"/>
  <c r="B58"/>
  <c r="A58"/>
  <c r="F68"/>
  <c r="D68"/>
  <c r="B68"/>
  <c r="A68"/>
  <c r="F62"/>
  <c r="D62"/>
  <c r="B62"/>
  <c r="A62"/>
  <c r="F24"/>
  <c r="D24"/>
  <c r="B24"/>
  <c r="A24"/>
  <c r="F26"/>
  <c r="D26"/>
  <c r="B26"/>
  <c r="A26"/>
  <c r="F55"/>
  <c r="D55"/>
  <c r="B55"/>
  <c r="A55"/>
  <c r="F7"/>
  <c r="D7"/>
  <c r="B7"/>
  <c r="A7"/>
  <c r="F6"/>
  <c r="D6"/>
  <c r="B6"/>
  <c r="A6"/>
  <c r="F21"/>
  <c r="D21"/>
  <c r="B21"/>
  <c r="A21"/>
  <c r="F61"/>
  <c r="D61"/>
  <c r="B61"/>
  <c r="A61"/>
  <c r="F117"/>
  <c r="D117"/>
  <c r="B117"/>
  <c r="A117"/>
  <c r="F108"/>
  <c r="D108"/>
  <c r="B108"/>
  <c r="A108"/>
  <c r="F130"/>
  <c r="D130"/>
  <c r="B130"/>
  <c r="A130"/>
  <c r="F57"/>
  <c r="D57"/>
  <c r="B57"/>
  <c r="A57"/>
  <c r="F40"/>
  <c r="D40"/>
  <c r="B40"/>
  <c r="A40"/>
  <c r="F12"/>
  <c r="D12"/>
  <c r="B12"/>
  <c r="A12"/>
  <c r="F93"/>
  <c r="D93"/>
  <c r="B93"/>
  <c r="A93"/>
  <c r="F53"/>
  <c r="D53"/>
  <c r="B53"/>
  <c r="A53"/>
  <c r="F79"/>
  <c r="D79"/>
  <c r="B79"/>
  <c r="A79"/>
  <c r="F51"/>
  <c r="D51"/>
  <c r="B51"/>
  <c r="A51"/>
  <c r="F82"/>
  <c r="D82"/>
  <c r="B82"/>
  <c r="A82"/>
  <c r="F49"/>
  <c r="D49"/>
  <c r="B49"/>
  <c r="A49"/>
  <c r="F52"/>
  <c r="D52"/>
  <c r="B52"/>
  <c r="A52"/>
  <c r="F47"/>
  <c r="D47"/>
  <c r="B47"/>
  <c r="A47"/>
  <c r="F111"/>
  <c r="D111"/>
  <c r="B111"/>
  <c r="A111"/>
  <c r="F5"/>
  <c r="D5"/>
  <c r="B5"/>
  <c r="A5"/>
  <c r="F48"/>
  <c r="D48"/>
  <c r="B48"/>
  <c r="A48"/>
  <c r="F43"/>
  <c r="D43"/>
  <c r="B43"/>
  <c r="A43"/>
  <c r="F125"/>
  <c r="D125"/>
  <c r="B125"/>
  <c r="A125"/>
  <c r="F122"/>
  <c r="D122"/>
  <c r="B122"/>
  <c r="A122"/>
  <c r="F90"/>
  <c r="D90"/>
  <c r="B90"/>
  <c r="A90"/>
  <c r="F50"/>
  <c r="D50"/>
  <c r="B50"/>
  <c r="A50"/>
  <c r="F42"/>
  <c r="D42"/>
  <c r="B42"/>
  <c r="A42"/>
  <c r="F67"/>
  <c r="D67"/>
  <c r="B67"/>
  <c r="A67"/>
  <c r="F126"/>
  <c r="D126"/>
  <c r="B126"/>
  <c r="A126"/>
  <c r="F35"/>
  <c r="D35"/>
  <c r="B35"/>
  <c r="A35"/>
  <c r="F89"/>
  <c r="D89"/>
  <c r="B89"/>
  <c r="A89"/>
  <c r="F75"/>
  <c r="D75"/>
  <c r="B75"/>
  <c r="A75"/>
  <c r="F109"/>
  <c r="D109"/>
  <c r="B109"/>
  <c r="A109"/>
  <c r="F83"/>
  <c r="D83"/>
  <c r="B83"/>
  <c r="A83"/>
  <c r="F101"/>
  <c r="D101"/>
  <c r="B101"/>
  <c r="A101"/>
  <c r="F41"/>
  <c r="D41"/>
  <c r="B41"/>
  <c r="A41"/>
  <c r="F88"/>
  <c r="D88"/>
  <c r="B88"/>
  <c r="A88"/>
  <c r="F59"/>
  <c r="D59"/>
  <c r="B59"/>
  <c r="A59"/>
  <c r="F119"/>
  <c r="D119"/>
  <c r="B119"/>
  <c r="A119"/>
  <c r="F116"/>
  <c r="D116"/>
  <c r="B116"/>
  <c r="A116"/>
  <c r="F64"/>
  <c r="D64"/>
  <c r="B64"/>
  <c r="A64"/>
  <c r="F92"/>
  <c r="D92"/>
  <c r="B92"/>
  <c r="A92"/>
  <c r="F106"/>
  <c r="D106"/>
  <c r="B106"/>
  <c r="A106"/>
  <c r="F104"/>
  <c r="D104"/>
  <c r="B104"/>
  <c r="A104"/>
  <c r="F36"/>
  <c r="D36"/>
  <c r="B36"/>
  <c r="A36"/>
  <c r="F34"/>
  <c r="D34"/>
  <c r="B34"/>
  <c r="A34"/>
  <c r="F112"/>
  <c r="D112"/>
  <c r="B112"/>
  <c r="A112"/>
  <c r="F54"/>
  <c r="D54"/>
  <c r="B54"/>
  <c r="A54"/>
  <c r="F129"/>
  <c r="D129"/>
  <c r="B129"/>
  <c r="A129"/>
  <c r="F25"/>
  <c r="D25"/>
  <c r="B25"/>
  <c r="A25"/>
  <c r="F99"/>
  <c r="D99"/>
  <c r="B99"/>
  <c r="A99"/>
  <c r="F13"/>
  <c r="D13"/>
  <c r="B13"/>
  <c r="A13"/>
  <c r="F14"/>
  <c r="D14"/>
  <c r="B14"/>
  <c r="A14"/>
  <c r="F97"/>
  <c r="D97"/>
  <c r="B97"/>
  <c r="A97"/>
  <c r="F66"/>
  <c r="D66"/>
  <c r="B66"/>
  <c r="A66"/>
  <c r="F134"/>
  <c r="D134"/>
  <c r="B134"/>
  <c r="A134"/>
  <c r="F133"/>
  <c r="D133"/>
  <c r="B133"/>
  <c r="A133"/>
  <c r="F31"/>
  <c r="D31"/>
  <c r="B31"/>
  <c r="A31"/>
  <c r="F74"/>
  <c r="D74"/>
  <c r="B74"/>
  <c r="A74"/>
  <c r="F73"/>
  <c r="D73"/>
  <c r="B73"/>
  <c r="A73"/>
  <c r="V134" i="24"/>
  <c r="U134"/>
  <c r="H9" i="11" s="1"/>
  <c r="R134" i="24"/>
  <c r="I9" i="11" s="1"/>
  <c r="O134" i="24"/>
  <c r="L134"/>
  <c r="I134"/>
  <c r="F134"/>
  <c r="D134"/>
  <c r="B134"/>
  <c r="A134"/>
  <c r="A9" i="11" s="1"/>
  <c r="V133" i="24"/>
  <c r="U133"/>
  <c r="H11" i="11" s="1"/>
  <c r="R133" i="24"/>
  <c r="I11" i="11" s="1"/>
  <c r="O133" i="24"/>
  <c r="L133"/>
  <c r="I133"/>
  <c r="F133"/>
  <c r="D133"/>
  <c r="D11" i="11" s="1"/>
  <c r="B133" i="24"/>
  <c r="A133"/>
  <c r="A11" i="11" s="1"/>
  <c r="V132" i="24"/>
  <c r="U132"/>
  <c r="H53" i="11" s="1"/>
  <c r="R132" i="24"/>
  <c r="I53" i="11" s="1"/>
  <c r="O132" i="24"/>
  <c r="L132"/>
  <c r="I132"/>
  <c r="F132"/>
  <c r="D132"/>
  <c r="D53" i="11" s="1"/>
  <c r="B132" i="24"/>
  <c r="A132"/>
  <c r="A53" i="11" s="1"/>
  <c r="V131" i="24"/>
  <c r="U131"/>
  <c r="H44" i="11" s="1"/>
  <c r="R131" i="24"/>
  <c r="I44" i="11" s="1"/>
  <c r="O131" i="24"/>
  <c r="L131"/>
  <c r="I131"/>
  <c r="F131"/>
  <c r="D131"/>
  <c r="D44" i="11" s="1"/>
  <c r="B131" i="24"/>
  <c r="B44" i="11" s="1"/>
  <c r="G44" s="1"/>
  <c r="A131" i="24"/>
  <c r="A44" i="11" s="1"/>
  <c r="V130" i="24"/>
  <c r="U130"/>
  <c r="H5" i="11" s="1"/>
  <c r="R130" i="24"/>
  <c r="I5" i="11" s="1"/>
  <c r="O130" i="24"/>
  <c r="L130"/>
  <c r="I130"/>
  <c r="F130"/>
  <c r="D130"/>
  <c r="B130"/>
  <c r="A130"/>
  <c r="A5" i="11" s="1"/>
  <c r="V129" i="24"/>
  <c r="U129"/>
  <c r="H41" i="11" s="1"/>
  <c r="R129" i="24"/>
  <c r="I41" i="11" s="1"/>
  <c r="O129" i="24"/>
  <c r="L129"/>
  <c r="I129"/>
  <c r="F129"/>
  <c r="D129"/>
  <c r="D41" i="11" s="1"/>
  <c r="B129" i="24"/>
  <c r="A129"/>
  <c r="A41" i="11" s="1"/>
  <c r="V128" i="24"/>
  <c r="U128"/>
  <c r="H24" i="11" s="1"/>
  <c r="R128" i="24"/>
  <c r="I24" i="11" s="1"/>
  <c r="O128" i="24"/>
  <c r="L128"/>
  <c r="I128"/>
  <c r="F128"/>
  <c r="D128"/>
  <c r="D24" i="11" s="1"/>
  <c r="B128" i="24"/>
  <c r="A128"/>
  <c r="A24" i="11" s="1"/>
  <c r="V127" i="24"/>
  <c r="U127"/>
  <c r="H42" i="11" s="1"/>
  <c r="R127" i="24"/>
  <c r="I42" i="11" s="1"/>
  <c r="O127" i="24"/>
  <c r="L127"/>
  <c r="I127"/>
  <c r="F127"/>
  <c r="D127"/>
  <c r="D42" i="11" s="1"/>
  <c r="B127" i="24"/>
  <c r="B42" i="11" s="1"/>
  <c r="G42" s="1"/>
  <c r="A127" i="24"/>
  <c r="A42" i="11" s="1"/>
  <c r="V126" i="24"/>
  <c r="U126"/>
  <c r="H18" i="11" s="1"/>
  <c r="R126" i="24"/>
  <c r="I18" i="11" s="1"/>
  <c r="O126" i="24"/>
  <c r="L126"/>
  <c r="I126"/>
  <c r="F126"/>
  <c r="D126"/>
  <c r="B126"/>
  <c r="A126"/>
  <c r="A18" i="11" s="1"/>
  <c r="V125" i="24"/>
  <c r="U125"/>
  <c r="H20" i="11" s="1"/>
  <c r="R125" i="24"/>
  <c r="I20" i="11" s="1"/>
  <c r="O125" i="24"/>
  <c r="L125"/>
  <c r="I125"/>
  <c r="F125"/>
  <c r="E125"/>
  <c r="D125"/>
  <c r="D20" i="11" s="1"/>
  <c r="B125" i="24"/>
  <c r="A125"/>
  <c r="A20" i="11" s="1"/>
  <c r="V124" i="24"/>
  <c r="U124"/>
  <c r="R124"/>
  <c r="O124"/>
  <c r="L124"/>
  <c r="I124"/>
  <c r="F124"/>
  <c r="D124"/>
  <c r="B124"/>
  <c r="T124" s="1"/>
  <c r="A124"/>
  <c r="V123"/>
  <c r="U123"/>
  <c r="R123"/>
  <c r="O123"/>
  <c r="L123"/>
  <c r="I123"/>
  <c r="F123"/>
  <c r="D123"/>
  <c r="B123"/>
  <c r="A123"/>
  <c r="V122"/>
  <c r="U122"/>
  <c r="H66" i="11" s="1"/>
  <c r="R122" i="24"/>
  <c r="I66" i="11" s="1"/>
  <c r="O122" i="24"/>
  <c r="L122"/>
  <c r="I122"/>
  <c r="F122"/>
  <c r="D122"/>
  <c r="B122"/>
  <c r="A122"/>
  <c r="A66" i="11" s="1"/>
  <c r="V121" i="24"/>
  <c r="U121"/>
  <c r="H86" i="11" s="1"/>
  <c r="R121" i="24"/>
  <c r="I86" i="11" s="1"/>
  <c r="O121" i="24"/>
  <c r="L121"/>
  <c r="I121"/>
  <c r="F121"/>
  <c r="D121"/>
  <c r="D86" i="11" s="1"/>
  <c r="B121" i="24"/>
  <c r="A121"/>
  <c r="A86" i="11" s="1"/>
  <c r="V120" i="24"/>
  <c r="U120"/>
  <c r="H68" i="11" s="1"/>
  <c r="R120" i="24"/>
  <c r="I68" i="11" s="1"/>
  <c r="O120" i="24"/>
  <c r="L120"/>
  <c r="I120"/>
  <c r="F120"/>
  <c r="D120"/>
  <c r="D68" i="11" s="1"/>
  <c r="B120" i="24"/>
  <c r="T120" s="1"/>
  <c r="A120"/>
  <c r="A68" i="11" s="1"/>
  <c r="V119" i="24"/>
  <c r="U119"/>
  <c r="R119"/>
  <c r="O119"/>
  <c r="L119"/>
  <c r="I119"/>
  <c r="F119"/>
  <c r="D119"/>
  <c r="B119"/>
  <c r="A119"/>
  <c r="V118"/>
  <c r="U118"/>
  <c r="R118"/>
  <c r="O118"/>
  <c r="L118"/>
  <c r="I118"/>
  <c r="F118"/>
  <c r="D118"/>
  <c r="B118"/>
  <c r="E118" s="1"/>
  <c r="A118"/>
  <c r="V117"/>
  <c r="U117"/>
  <c r="H35" i="11" s="1"/>
  <c r="R117" i="24"/>
  <c r="I35" i="11" s="1"/>
  <c r="O117" i="24"/>
  <c r="L117"/>
  <c r="I117"/>
  <c r="F117"/>
  <c r="D117"/>
  <c r="D35" i="11" s="1"/>
  <c r="B117" i="24"/>
  <c r="T117" s="1"/>
  <c r="A117"/>
  <c r="A35" i="11" s="1"/>
  <c r="V116" i="24"/>
  <c r="U116"/>
  <c r="H56" i="11" s="1"/>
  <c r="R116" i="24"/>
  <c r="I56" i="11" s="1"/>
  <c r="O116" i="24"/>
  <c r="L116"/>
  <c r="I116"/>
  <c r="F116"/>
  <c r="D116"/>
  <c r="D56" i="11" s="1"/>
  <c r="B116" i="24"/>
  <c r="A116"/>
  <c r="A56" i="11" s="1"/>
  <c r="V115" i="24"/>
  <c r="U115"/>
  <c r="H76" i="11" s="1"/>
  <c r="R115" i="24"/>
  <c r="I76" i="11" s="1"/>
  <c r="O115" i="24"/>
  <c r="L115"/>
  <c r="I115"/>
  <c r="F115"/>
  <c r="D115"/>
  <c r="D76" i="11" s="1"/>
  <c r="B115" i="24"/>
  <c r="B76" i="11" s="1"/>
  <c r="G76" s="1"/>
  <c r="A115" i="24"/>
  <c r="A76" i="11" s="1"/>
  <c r="V114" i="24"/>
  <c r="U114"/>
  <c r="H71" i="11" s="1"/>
  <c r="R114" i="24"/>
  <c r="I71" i="11" s="1"/>
  <c r="O114" i="24"/>
  <c r="L114"/>
  <c r="I114"/>
  <c r="F114"/>
  <c r="D114"/>
  <c r="K114" s="1"/>
  <c r="B114"/>
  <c r="A114"/>
  <c r="A71" i="11" s="1"/>
  <c r="V113" i="24"/>
  <c r="U113"/>
  <c r="R113"/>
  <c r="O113"/>
  <c r="L113"/>
  <c r="I113"/>
  <c r="F113"/>
  <c r="D113"/>
  <c r="B113"/>
  <c r="T113" s="1"/>
  <c r="A113"/>
  <c r="V112"/>
  <c r="U112"/>
  <c r="H21" i="11" s="1"/>
  <c r="R112" i="24"/>
  <c r="I21" i="11" s="1"/>
  <c r="O112" i="24"/>
  <c r="L112"/>
  <c r="I112"/>
  <c r="F112"/>
  <c r="D112"/>
  <c r="D21" i="11" s="1"/>
  <c r="B112" i="24"/>
  <c r="A112"/>
  <c r="A21" i="11" s="1"/>
  <c r="V111" i="24"/>
  <c r="U111"/>
  <c r="H63" i="11" s="1"/>
  <c r="R111" i="24"/>
  <c r="I63" i="11" s="1"/>
  <c r="O111" i="24"/>
  <c r="L111"/>
  <c r="I111"/>
  <c r="F111"/>
  <c r="D111"/>
  <c r="D63" i="11" s="1"/>
  <c r="B111" i="24"/>
  <c r="E111" s="1"/>
  <c r="A111"/>
  <c r="A63" i="11" s="1"/>
  <c r="V110" i="24"/>
  <c r="U110"/>
  <c r="R110"/>
  <c r="O110"/>
  <c r="L110"/>
  <c r="I110"/>
  <c r="F110"/>
  <c r="D110"/>
  <c r="B110"/>
  <c r="A110"/>
  <c r="V109"/>
  <c r="U109"/>
  <c r="H27" i="11" s="1"/>
  <c r="R109" i="24"/>
  <c r="I27" i="11" s="1"/>
  <c r="O109" i="24"/>
  <c r="L109"/>
  <c r="I109"/>
  <c r="F109"/>
  <c r="D109"/>
  <c r="D27" i="11" s="1"/>
  <c r="B109" i="24"/>
  <c r="T109" s="1"/>
  <c r="A109"/>
  <c r="A27" i="11" s="1"/>
  <c r="V108" i="24"/>
  <c r="U108"/>
  <c r="R108"/>
  <c r="O108"/>
  <c r="L108"/>
  <c r="I108"/>
  <c r="F108"/>
  <c r="D108"/>
  <c r="B108"/>
  <c r="A108"/>
  <c r="V107"/>
  <c r="U107"/>
  <c r="H85" i="11" s="1"/>
  <c r="R107" i="24"/>
  <c r="I85" i="11" s="1"/>
  <c r="O107" i="24"/>
  <c r="L107"/>
  <c r="I107"/>
  <c r="F107"/>
  <c r="D107"/>
  <c r="B107"/>
  <c r="B85" i="11" s="1"/>
  <c r="G85" s="1"/>
  <c r="A107" i="24"/>
  <c r="A85" i="11" s="1"/>
  <c r="V106" i="24"/>
  <c r="U106"/>
  <c r="H74" i="11" s="1"/>
  <c r="R106" i="24"/>
  <c r="I74" i="11" s="1"/>
  <c r="O106" i="24"/>
  <c r="L106"/>
  <c r="I106"/>
  <c r="F106"/>
  <c r="D106"/>
  <c r="K106" s="1"/>
  <c r="B106"/>
  <c r="A106"/>
  <c r="A74" i="11" s="1"/>
  <c r="V105" i="24"/>
  <c r="U105"/>
  <c r="R105"/>
  <c r="O105"/>
  <c r="L105"/>
  <c r="I105"/>
  <c r="F105"/>
  <c r="D105"/>
  <c r="B105"/>
  <c r="T105" s="1"/>
  <c r="A105"/>
  <c r="V104"/>
  <c r="U104"/>
  <c r="R104"/>
  <c r="O104"/>
  <c r="L104"/>
  <c r="I104"/>
  <c r="F104"/>
  <c r="D104"/>
  <c r="B104"/>
  <c r="A104"/>
  <c r="V103"/>
  <c r="U103"/>
  <c r="R103"/>
  <c r="O103"/>
  <c r="L103"/>
  <c r="I103"/>
  <c r="F103"/>
  <c r="D103"/>
  <c r="B103"/>
  <c r="E103" s="1"/>
  <c r="A103"/>
  <c r="V102"/>
  <c r="U102"/>
  <c r="R102"/>
  <c r="O102"/>
  <c r="L102"/>
  <c r="I102"/>
  <c r="F102"/>
  <c r="D102"/>
  <c r="B102"/>
  <c r="A102"/>
  <c r="V101"/>
  <c r="U101"/>
  <c r="H17" i="11" s="1"/>
  <c r="R101" i="24"/>
  <c r="I17" i="11" s="1"/>
  <c r="O101" i="24"/>
  <c r="L101"/>
  <c r="I101"/>
  <c r="F101"/>
  <c r="D101"/>
  <c r="D17" i="11" s="1"/>
  <c r="B101" i="24"/>
  <c r="A101"/>
  <c r="A17" i="11" s="1"/>
  <c r="V100" i="24"/>
  <c r="U100"/>
  <c r="R100"/>
  <c r="O100"/>
  <c r="L100"/>
  <c r="I100"/>
  <c r="F100"/>
  <c r="D100"/>
  <c r="B100"/>
  <c r="A100"/>
  <c r="V99"/>
  <c r="U99"/>
  <c r="R99"/>
  <c r="O99"/>
  <c r="L99"/>
  <c r="I99"/>
  <c r="F99"/>
  <c r="D99"/>
  <c r="B99"/>
  <c r="A99"/>
  <c r="V98"/>
  <c r="U98"/>
  <c r="H30" i="11" s="1"/>
  <c r="R98" i="24"/>
  <c r="I30" i="11" s="1"/>
  <c r="O98" i="24"/>
  <c r="L98"/>
  <c r="I98"/>
  <c r="F98"/>
  <c r="D98"/>
  <c r="D30" i="11" s="1"/>
  <c r="B98" i="24"/>
  <c r="A98"/>
  <c r="A30" i="11" s="1"/>
  <c r="V97" i="24"/>
  <c r="U97"/>
  <c r="H13" i="11" s="1"/>
  <c r="R97" i="24"/>
  <c r="I13" i="11" s="1"/>
  <c r="O97" i="24"/>
  <c r="L97"/>
  <c r="I97"/>
  <c r="F97"/>
  <c r="D97"/>
  <c r="D13" i="11" s="1"/>
  <c r="B97" i="24"/>
  <c r="A97"/>
  <c r="A13" i="11" s="1"/>
  <c r="V96" i="24"/>
  <c r="U96"/>
  <c r="H29" i="11" s="1"/>
  <c r="R96" i="24"/>
  <c r="I29" i="11" s="1"/>
  <c r="O96" i="24"/>
  <c r="L96"/>
  <c r="I96"/>
  <c r="F96"/>
  <c r="D96"/>
  <c r="D29" i="11" s="1"/>
  <c r="B96" i="24"/>
  <c r="A96"/>
  <c r="A29" i="11" s="1"/>
  <c r="V95" i="24"/>
  <c r="U95"/>
  <c r="H58" i="11" s="1"/>
  <c r="R95" i="24"/>
  <c r="I58" i="11" s="1"/>
  <c r="O95" i="24"/>
  <c r="L95"/>
  <c r="I95"/>
  <c r="F95"/>
  <c r="D95"/>
  <c r="D58" i="11" s="1"/>
  <c r="B95" i="24"/>
  <c r="A95"/>
  <c r="A58" i="11" s="1"/>
  <c r="V94" i="24"/>
  <c r="U94"/>
  <c r="R94"/>
  <c r="O94"/>
  <c r="L94"/>
  <c r="I94"/>
  <c r="F94"/>
  <c r="D94"/>
  <c r="B94"/>
  <c r="A94"/>
  <c r="V93"/>
  <c r="U93"/>
  <c r="H45" i="11" s="1"/>
  <c r="R93" i="24"/>
  <c r="I45" i="11" s="1"/>
  <c r="O93" i="24"/>
  <c r="L93"/>
  <c r="I93"/>
  <c r="F93"/>
  <c r="D93"/>
  <c r="D45" i="11" s="1"/>
  <c r="B93" i="24"/>
  <c r="E93" s="1"/>
  <c r="A93"/>
  <c r="A45" i="11" s="1"/>
  <c r="V92" i="24"/>
  <c r="U92"/>
  <c r="H6" i="11" s="1"/>
  <c r="R92" i="24"/>
  <c r="I6" i="11" s="1"/>
  <c r="O92" i="24"/>
  <c r="L92"/>
  <c r="I92"/>
  <c r="F92"/>
  <c r="D92"/>
  <c r="D6" i="11" s="1"/>
  <c r="B92" i="24"/>
  <c r="A92"/>
  <c r="A6" i="11" s="1"/>
  <c r="V91" i="24"/>
  <c r="U91"/>
  <c r="H75" i="11" s="1"/>
  <c r="R91" i="24"/>
  <c r="I75" i="11" s="1"/>
  <c r="O91" i="24"/>
  <c r="L91"/>
  <c r="I91"/>
  <c r="F91"/>
  <c r="D91"/>
  <c r="B91"/>
  <c r="E75" i="11" s="1"/>
  <c r="A91" i="24"/>
  <c r="A75" i="11" s="1"/>
  <c r="V90" i="24"/>
  <c r="U90"/>
  <c r="H84" i="11" s="1"/>
  <c r="R90" i="24"/>
  <c r="I84" i="11" s="1"/>
  <c r="O90" i="24"/>
  <c r="L90"/>
  <c r="I90"/>
  <c r="F90"/>
  <c r="D90"/>
  <c r="B90"/>
  <c r="A90"/>
  <c r="A84" i="11" s="1"/>
  <c r="V89" i="24"/>
  <c r="U89"/>
  <c r="H62" i="11" s="1"/>
  <c r="R89" i="24"/>
  <c r="I62" i="11" s="1"/>
  <c r="O89" i="24"/>
  <c r="L89"/>
  <c r="I89"/>
  <c r="F89"/>
  <c r="D89"/>
  <c r="D62" i="11" s="1"/>
  <c r="B89" i="24"/>
  <c r="A89"/>
  <c r="A62" i="11" s="1"/>
  <c r="V88" i="24"/>
  <c r="U88"/>
  <c r="H79" i="11" s="1"/>
  <c r="R88" i="24"/>
  <c r="I79" i="11" s="1"/>
  <c r="O88" i="24"/>
  <c r="L88"/>
  <c r="I88"/>
  <c r="F88"/>
  <c r="D88"/>
  <c r="D79" i="11" s="1"/>
  <c r="B88" i="24"/>
  <c r="A88"/>
  <c r="A79" i="11" s="1"/>
  <c r="V87" i="24"/>
  <c r="U87"/>
  <c r="H10" i="11" s="1"/>
  <c r="R87" i="24"/>
  <c r="I10" i="11" s="1"/>
  <c r="O87" i="24"/>
  <c r="L87"/>
  <c r="I87"/>
  <c r="F87"/>
  <c r="D87"/>
  <c r="B87"/>
  <c r="E10" i="11" s="1"/>
  <c r="A87" i="24"/>
  <c r="A10" i="11" s="1"/>
  <c r="V86" i="24"/>
  <c r="U86"/>
  <c r="H7" i="11" s="1"/>
  <c r="R86" i="24"/>
  <c r="I7" i="11" s="1"/>
  <c r="O86" i="24"/>
  <c r="L86"/>
  <c r="I86"/>
  <c r="F86"/>
  <c r="D86"/>
  <c r="B86"/>
  <c r="A86"/>
  <c r="A7" i="11" s="1"/>
  <c r="V85" i="24"/>
  <c r="U85"/>
  <c r="R85"/>
  <c r="O85"/>
  <c r="L85"/>
  <c r="I85"/>
  <c r="F85"/>
  <c r="D85"/>
  <c r="B85"/>
  <c r="E85" s="1"/>
  <c r="A85"/>
  <c r="V84"/>
  <c r="U84"/>
  <c r="R84"/>
  <c r="O84"/>
  <c r="L84"/>
  <c r="I84"/>
  <c r="F84"/>
  <c r="D84"/>
  <c r="B84"/>
  <c r="A84"/>
  <c r="V83"/>
  <c r="U83"/>
  <c r="H54" i="11" s="1"/>
  <c r="R83" i="24"/>
  <c r="I54" i="11" s="1"/>
  <c r="O83" i="24"/>
  <c r="L83"/>
  <c r="I83"/>
  <c r="F83"/>
  <c r="D83"/>
  <c r="D54" i="11" s="1"/>
  <c r="B83" i="24"/>
  <c r="B54" i="11" s="1"/>
  <c r="G54" s="1"/>
  <c r="A83" i="24"/>
  <c r="A54" i="11" s="1"/>
  <c r="V82" i="24"/>
  <c r="U82"/>
  <c r="H32" i="11" s="1"/>
  <c r="R82" i="24"/>
  <c r="I32" i="11" s="1"/>
  <c r="O82" i="24"/>
  <c r="L82"/>
  <c r="I82"/>
  <c r="F82"/>
  <c r="D82"/>
  <c r="K82" s="1"/>
  <c r="B82"/>
  <c r="A82"/>
  <c r="A32" i="11" s="1"/>
  <c r="V81" i="24"/>
  <c r="U81"/>
  <c r="H83" i="11" s="1"/>
  <c r="R81" i="24"/>
  <c r="I83" i="11" s="1"/>
  <c r="O81" i="24"/>
  <c r="L81"/>
  <c r="I81"/>
  <c r="F81"/>
  <c r="D81"/>
  <c r="D83" i="11" s="1"/>
  <c r="B81" i="24"/>
  <c r="A81"/>
  <c r="A83" i="11" s="1"/>
  <c r="V80" i="24"/>
  <c r="U80"/>
  <c r="R80"/>
  <c r="O80"/>
  <c r="L80"/>
  <c r="I80"/>
  <c r="F80"/>
  <c r="D80"/>
  <c r="B80"/>
  <c r="A80"/>
  <c r="V79"/>
  <c r="U79"/>
  <c r="H70" i="11" s="1"/>
  <c r="R79" i="24"/>
  <c r="I70" i="11" s="1"/>
  <c r="O79" i="24"/>
  <c r="L79"/>
  <c r="I79"/>
  <c r="F79"/>
  <c r="D79"/>
  <c r="D70" i="11" s="1"/>
  <c r="B79" i="24"/>
  <c r="A79"/>
  <c r="A70" i="11" s="1"/>
  <c r="V78" i="24"/>
  <c r="U78"/>
  <c r="R78"/>
  <c r="O78"/>
  <c r="L78"/>
  <c r="I78"/>
  <c r="F78"/>
  <c r="D78"/>
  <c r="B78"/>
  <c r="A78"/>
  <c r="V77"/>
  <c r="U77"/>
  <c r="R77"/>
  <c r="O77"/>
  <c r="L77"/>
  <c r="I77"/>
  <c r="F77"/>
  <c r="D77"/>
  <c r="B77"/>
  <c r="A77"/>
  <c r="V76"/>
  <c r="U76"/>
  <c r="R76"/>
  <c r="O76"/>
  <c r="L76"/>
  <c r="I76"/>
  <c r="F76"/>
  <c r="D76"/>
  <c r="B76"/>
  <c r="A76"/>
  <c r="V75"/>
  <c r="U75"/>
  <c r="R75"/>
  <c r="O75"/>
  <c r="L75"/>
  <c r="I75"/>
  <c r="F75"/>
  <c r="D75"/>
  <c r="B75"/>
  <c r="A75"/>
  <c r="V74"/>
  <c r="U74"/>
  <c r="R74"/>
  <c r="O74"/>
  <c r="L74"/>
  <c r="I74"/>
  <c r="F74"/>
  <c r="D74"/>
  <c r="K74" s="1"/>
  <c r="B74"/>
  <c r="A74"/>
  <c r="V73"/>
  <c r="U73"/>
  <c r="H82" i="11" s="1"/>
  <c r="R73" i="24"/>
  <c r="I82" i="11" s="1"/>
  <c r="O73" i="24"/>
  <c r="L73"/>
  <c r="I73"/>
  <c r="F73"/>
  <c r="D73"/>
  <c r="D82" i="11" s="1"/>
  <c r="B73" i="24"/>
  <c r="A73"/>
  <c r="A82" i="11" s="1"/>
  <c r="V72" i="24"/>
  <c r="U72"/>
  <c r="R72"/>
  <c r="O72"/>
  <c r="L72"/>
  <c r="I72"/>
  <c r="F72"/>
  <c r="D72"/>
  <c r="B72"/>
  <c r="A72"/>
  <c r="V71"/>
  <c r="U71"/>
  <c r="R71"/>
  <c r="O71"/>
  <c r="L71"/>
  <c r="I71"/>
  <c r="F71"/>
  <c r="D71"/>
  <c r="B71"/>
  <c r="A71"/>
  <c r="V70"/>
  <c r="U70"/>
  <c r="H61" i="11" s="1"/>
  <c r="R70" i="24"/>
  <c r="I61" i="11" s="1"/>
  <c r="O70" i="24"/>
  <c r="L70"/>
  <c r="I70"/>
  <c r="F70"/>
  <c r="D70"/>
  <c r="K70" s="1"/>
  <c r="B70"/>
  <c r="A70"/>
  <c r="A61" i="11" s="1"/>
  <c r="V69" i="24"/>
  <c r="U69"/>
  <c r="H60" i="11" s="1"/>
  <c r="R69" i="24"/>
  <c r="I60" i="11" s="1"/>
  <c r="O69" i="24"/>
  <c r="L69"/>
  <c r="I69"/>
  <c r="F69"/>
  <c r="D69"/>
  <c r="D60" i="11" s="1"/>
  <c r="B69" i="24"/>
  <c r="A69"/>
  <c r="A60" i="11" s="1"/>
  <c r="V68" i="24"/>
  <c r="U68"/>
  <c r="R68"/>
  <c r="O68"/>
  <c r="L68"/>
  <c r="I68"/>
  <c r="F68"/>
  <c r="D68"/>
  <c r="B68"/>
  <c r="A68"/>
  <c r="V67"/>
  <c r="U67"/>
  <c r="R67"/>
  <c r="O67"/>
  <c r="L67"/>
  <c r="I67"/>
  <c r="F67"/>
  <c r="D67"/>
  <c r="B67"/>
  <c r="A67"/>
  <c r="R66"/>
  <c r="I19" i="11" s="1"/>
  <c r="O66" i="24"/>
  <c r="L66"/>
  <c r="I66"/>
  <c r="F66"/>
  <c r="D66"/>
  <c r="B66"/>
  <c r="E19" i="11" s="1"/>
  <c r="A66" i="24"/>
  <c r="A19" i="11" s="1"/>
  <c r="V65" i="24"/>
  <c r="U65"/>
  <c r="R65"/>
  <c r="O65"/>
  <c r="L65"/>
  <c r="I65"/>
  <c r="F65"/>
  <c r="D65"/>
  <c r="B65"/>
  <c r="A65"/>
  <c r="V64"/>
  <c r="U64"/>
  <c r="R64"/>
  <c r="O64"/>
  <c r="L64"/>
  <c r="I64"/>
  <c r="F64"/>
  <c r="D64"/>
  <c r="B64"/>
  <c r="A64"/>
  <c r="V63"/>
  <c r="U63"/>
  <c r="R63"/>
  <c r="O63"/>
  <c r="L63"/>
  <c r="I63"/>
  <c r="F63"/>
  <c r="D63"/>
  <c r="B63"/>
  <c r="A63"/>
  <c r="V62"/>
  <c r="U62"/>
  <c r="H43" i="11" s="1"/>
  <c r="R62" i="24"/>
  <c r="I43" i="11" s="1"/>
  <c r="O62" i="24"/>
  <c r="L62"/>
  <c r="I62"/>
  <c r="F62"/>
  <c r="D62"/>
  <c r="B62"/>
  <c r="B43" i="11" s="1"/>
  <c r="G43" s="1"/>
  <c r="A62" i="24"/>
  <c r="A43" i="11" s="1"/>
  <c r="V61" i="24"/>
  <c r="U61"/>
  <c r="R61"/>
  <c r="O61"/>
  <c r="L61"/>
  <c r="I61"/>
  <c r="F61"/>
  <c r="D61"/>
  <c r="B61"/>
  <c r="A61"/>
  <c r="V60"/>
  <c r="U60"/>
  <c r="H28" i="11" s="1"/>
  <c r="R60" i="24"/>
  <c r="I28" i="11" s="1"/>
  <c r="O60" i="24"/>
  <c r="L60"/>
  <c r="I60"/>
  <c r="F60"/>
  <c r="D60"/>
  <c r="B60"/>
  <c r="B28" i="11" s="1"/>
  <c r="G28" s="1"/>
  <c r="A60" i="24"/>
  <c r="A28" i="11" s="1"/>
  <c r="V59" i="24"/>
  <c r="U59"/>
  <c r="R59"/>
  <c r="O59"/>
  <c r="L59"/>
  <c r="I59"/>
  <c r="F59"/>
  <c r="D59"/>
  <c r="B59"/>
  <c r="A59"/>
  <c r="V58"/>
  <c r="U58"/>
  <c r="H47" i="11" s="1"/>
  <c r="R58" i="24"/>
  <c r="I47" i="11" s="1"/>
  <c r="O58" i="24"/>
  <c r="L58"/>
  <c r="I58"/>
  <c r="F58"/>
  <c r="D58"/>
  <c r="B58"/>
  <c r="B47" i="11" s="1"/>
  <c r="G47" s="1"/>
  <c r="A58" i="24"/>
  <c r="A47" i="11" s="1"/>
  <c r="V57" i="24"/>
  <c r="U57"/>
  <c r="R57"/>
  <c r="O57"/>
  <c r="L57"/>
  <c r="I57"/>
  <c r="F57"/>
  <c r="D57"/>
  <c r="B57"/>
  <c r="A57"/>
  <c r="V56"/>
  <c r="U56"/>
  <c r="H4" i="11" s="1"/>
  <c r="R56" i="24"/>
  <c r="I4" i="11" s="1"/>
  <c r="O56" i="24"/>
  <c r="L56"/>
  <c r="I56"/>
  <c r="F56"/>
  <c r="D56"/>
  <c r="B56"/>
  <c r="E4" i="11" s="1"/>
  <c r="A56" i="24"/>
  <c r="A4" i="11" s="1"/>
  <c r="V55" i="24"/>
  <c r="U55"/>
  <c r="H39" i="11" s="1"/>
  <c r="R55" i="24"/>
  <c r="I39" i="11" s="1"/>
  <c r="O55" i="24"/>
  <c r="L55"/>
  <c r="I55"/>
  <c r="F55"/>
  <c r="D55"/>
  <c r="B55"/>
  <c r="B39" i="11" s="1"/>
  <c r="G39" s="1"/>
  <c r="A55" i="24"/>
  <c r="A39" i="11" s="1"/>
  <c r="V54" i="24"/>
  <c r="U54"/>
  <c r="H67" i="11" s="1"/>
  <c r="R54" i="24"/>
  <c r="I67" i="11" s="1"/>
  <c r="O54" i="24"/>
  <c r="L54"/>
  <c r="I54"/>
  <c r="F54"/>
  <c r="D54"/>
  <c r="B54"/>
  <c r="B67" i="11" s="1"/>
  <c r="G67" s="1"/>
  <c r="A54" i="24"/>
  <c r="A67" i="11" s="1"/>
  <c r="V53" i="24"/>
  <c r="U53"/>
  <c r="R53"/>
  <c r="O53"/>
  <c r="L53"/>
  <c r="I53"/>
  <c r="F53"/>
  <c r="D53"/>
  <c r="B53"/>
  <c r="A53"/>
  <c r="V52"/>
  <c r="U52"/>
  <c r="R52"/>
  <c r="O52"/>
  <c r="L52"/>
  <c r="I52"/>
  <c r="F52"/>
  <c r="D52"/>
  <c r="B52"/>
  <c r="A52"/>
  <c r="V51"/>
  <c r="U51"/>
  <c r="R51"/>
  <c r="O51"/>
  <c r="L51"/>
  <c r="I51"/>
  <c r="F51"/>
  <c r="D51"/>
  <c r="B51"/>
  <c r="A51"/>
  <c r="V50"/>
  <c r="U50"/>
  <c r="H65" i="11" s="1"/>
  <c r="R50" i="24"/>
  <c r="I65" i="11" s="1"/>
  <c r="O50" i="24"/>
  <c r="L50"/>
  <c r="I50"/>
  <c r="F50"/>
  <c r="D50"/>
  <c r="B50"/>
  <c r="B65" i="11" s="1"/>
  <c r="G65" s="1"/>
  <c r="A50" i="24"/>
  <c r="A65" i="11" s="1"/>
  <c r="V49" i="24"/>
  <c r="U49"/>
  <c r="H72" i="11" s="1"/>
  <c r="R49" i="24"/>
  <c r="I72" i="11" s="1"/>
  <c r="O49" i="24"/>
  <c r="L49"/>
  <c r="I49"/>
  <c r="F49"/>
  <c r="D49"/>
  <c r="D72" i="11" s="1"/>
  <c r="B49" i="24"/>
  <c r="A49"/>
  <c r="A72" i="11" s="1"/>
  <c r="V48" i="24"/>
  <c r="U48"/>
  <c r="H14" i="11" s="1"/>
  <c r="R48" i="24"/>
  <c r="I14" i="11" s="1"/>
  <c r="O48" i="24"/>
  <c r="L48"/>
  <c r="I48"/>
  <c r="F48"/>
  <c r="D48"/>
  <c r="D14" i="11" s="1"/>
  <c r="B48" i="24"/>
  <c r="B14" i="11" s="1"/>
  <c r="G14" s="1"/>
  <c r="A48" i="24"/>
  <c r="A14" i="11" s="1"/>
  <c r="V47" i="24"/>
  <c r="U47"/>
  <c r="R47"/>
  <c r="O47"/>
  <c r="L47"/>
  <c r="I47"/>
  <c r="F47"/>
  <c r="D47"/>
  <c r="B47"/>
  <c r="A47"/>
  <c r="V46"/>
  <c r="U46"/>
  <c r="H38" i="11" s="1"/>
  <c r="R46" i="24"/>
  <c r="I38" i="11" s="1"/>
  <c r="O46" i="24"/>
  <c r="L46"/>
  <c r="I46"/>
  <c r="F46"/>
  <c r="D46"/>
  <c r="B46"/>
  <c r="A46"/>
  <c r="A38" i="11" s="1"/>
  <c r="V45" i="24"/>
  <c r="U45"/>
  <c r="R45"/>
  <c r="O45"/>
  <c r="L45"/>
  <c r="I45"/>
  <c r="F45"/>
  <c r="D45"/>
  <c r="B45"/>
  <c r="A45"/>
  <c r="V44"/>
  <c r="U44"/>
  <c r="H69" i="11" s="1"/>
  <c r="R44" i="24"/>
  <c r="I69" i="11" s="1"/>
  <c r="O44" i="24"/>
  <c r="L44"/>
  <c r="I44"/>
  <c r="F44"/>
  <c r="D44"/>
  <c r="B44"/>
  <c r="E69" i="11" s="1"/>
  <c r="A44" i="24"/>
  <c r="A69" i="11" s="1"/>
  <c r="V43" i="24"/>
  <c r="U43"/>
  <c r="R43"/>
  <c r="O43"/>
  <c r="L43"/>
  <c r="I43"/>
  <c r="F43"/>
  <c r="D43"/>
  <c r="B43"/>
  <c r="A43"/>
  <c r="V42"/>
  <c r="U42"/>
  <c r="H25" i="11" s="1"/>
  <c r="R42" i="24"/>
  <c r="I25" i="11" s="1"/>
  <c r="O42" i="24"/>
  <c r="L42"/>
  <c r="I42"/>
  <c r="F42"/>
  <c r="D42"/>
  <c r="B42"/>
  <c r="B25" i="11" s="1"/>
  <c r="G25" s="1"/>
  <c r="A42" i="24"/>
  <c r="A25" i="11" s="1"/>
  <c r="V41" i="24"/>
  <c r="U41"/>
  <c r="H12" i="11" s="1"/>
  <c r="R41" i="24"/>
  <c r="I12" i="11" s="1"/>
  <c r="O41" i="24"/>
  <c r="L41"/>
  <c r="I41"/>
  <c r="F41"/>
  <c r="D41"/>
  <c r="D12" i="11" s="1"/>
  <c r="B41" i="24"/>
  <c r="A41"/>
  <c r="A12" i="11" s="1"/>
  <c r="V40" i="24"/>
  <c r="U40"/>
  <c r="H23" i="11" s="1"/>
  <c r="R40" i="24"/>
  <c r="I23" i="11" s="1"/>
  <c r="O40" i="24"/>
  <c r="L40"/>
  <c r="I40"/>
  <c r="F40"/>
  <c r="D40"/>
  <c r="B40"/>
  <c r="B23" i="11" s="1"/>
  <c r="G23" s="1"/>
  <c r="A40" i="24"/>
  <c r="A23" i="11" s="1"/>
  <c r="V39" i="24"/>
  <c r="U39"/>
  <c r="H22" i="11" s="1"/>
  <c r="R39" i="24"/>
  <c r="I22" i="11" s="1"/>
  <c r="O39" i="24"/>
  <c r="L39"/>
  <c r="I39"/>
  <c r="F39"/>
  <c r="D39"/>
  <c r="D22" i="11" s="1"/>
  <c r="B39" i="24"/>
  <c r="A39"/>
  <c r="A22" i="11" s="1"/>
  <c r="V38" i="24"/>
  <c r="U38"/>
  <c r="H59" i="11" s="1"/>
  <c r="R38" i="24"/>
  <c r="I59" i="11" s="1"/>
  <c r="O38" i="24"/>
  <c r="L38"/>
  <c r="I38"/>
  <c r="F38"/>
  <c r="D38"/>
  <c r="B38"/>
  <c r="B59" i="11" s="1"/>
  <c r="G59" s="1"/>
  <c r="A38" i="24"/>
  <c r="A59" i="11" s="1"/>
  <c r="V37" i="24"/>
  <c r="U37"/>
  <c r="R37"/>
  <c r="O37"/>
  <c r="L37"/>
  <c r="I37"/>
  <c r="F37"/>
  <c r="D37"/>
  <c r="B37"/>
  <c r="A37"/>
  <c r="V36"/>
  <c r="U36"/>
  <c r="H77" i="11" s="1"/>
  <c r="R36" i="24"/>
  <c r="I77" i="11" s="1"/>
  <c r="O36" i="24"/>
  <c r="L36"/>
  <c r="I36"/>
  <c r="F36"/>
  <c r="D36"/>
  <c r="D77" i="11" s="1"/>
  <c r="B36" i="24"/>
  <c r="B77" i="11" s="1"/>
  <c r="G77" s="1"/>
  <c r="A36" i="24"/>
  <c r="A77" i="11" s="1"/>
  <c r="V35" i="24"/>
  <c r="U35"/>
  <c r="R35"/>
  <c r="O35"/>
  <c r="L35"/>
  <c r="I35"/>
  <c r="F35"/>
  <c r="D35"/>
  <c r="B35"/>
  <c r="A35"/>
  <c r="V34"/>
  <c r="U34"/>
  <c r="R34"/>
  <c r="O34"/>
  <c r="L34"/>
  <c r="I34"/>
  <c r="F34"/>
  <c r="D34"/>
  <c r="B34"/>
  <c r="A34"/>
  <c r="V33"/>
  <c r="U33"/>
  <c r="R33"/>
  <c r="O33"/>
  <c r="L33"/>
  <c r="I33"/>
  <c r="F33"/>
  <c r="D33"/>
  <c r="B33"/>
  <c r="A33"/>
  <c r="V32"/>
  <c r="U32"/>
  <c r="H37" i="11" s="1"/>
  <c r="R32" i="24"/>
  <c r="I37" i="11" s="1"/>
  <c r="O32" i="24"/>
  <c r="L32"/>
  <c r="I32"/>
  <c r="F32"/>
  <c r="D32"/>
  <c r="B32"/>
  <c r="B37" i="11" s="1"/>
  <c r="G37" s="1"/>
  <c r="A32" i="24"/>
  <c r="A37" i="11" s="1"/>
  <c r="V31" i="24"/>
  <c r="U31"/>
  <c r="H40" i="11" s="1"/>
  <c r="R31" i="24"/>
  <c r="I40" i="11" s="1"/>
  <c r="O31" i="24"/>
  <c r="L31"/>
  <c r="I31"/>
  <c r="F31"/>
  <c r="D31"/>
  <c r="D40" i="11" s="1"/>
  <c r="B31" i="24"/>
  <c r="A31"/>
  <c r="A40" i="11" s="1"/>
  <c r="V30" i="24"/>
  <c r="U30"/>
  <c r="R30"/>
  <c r="O30"/>
  <c r="L30"/>
  <c r="I30"/>
  <c r="F30"/>
  <c r="D30"/>
  <c r="B30"/>
  <c r="A30"/>
  <c r="V29"/>
  <c r="U29"/>
  <c r="H31" i="11" s="1"/>
  <c r="R29" i="24"/>
  <c r="I31" i="11" s="1"/>
  <c r="O29" i="24"/>
  <c r="L29"/>
  <c r="I29"/>
  <c r="F29"/>
  <c r="D29"/>
  <c r="D31" i="11" s="1"/>
  <c r="B29" i="24"/>
  <c r="A29"/>
  <c r="A31" i="11" s="1"/>
  <c r="V28" i="24"/>
  <c r="U28"/>
  <c r="H57" i="11" s="1"/>
  <c r="R28" i="24"/>
  <c r="I57" i="11" s="1"/>
  <c r="O28" i="24"/>
  <c r="L28"/>
  <c r="I28"/>
  <c r="F28"/>
  <c r="D28"/>
  <c r="D57" i="11" s="1"/>
  <c r="B28" i="24"/>
  <c r="B57" i="11" s="1"/>
  <c r="G57" s="1"/>
  <c r="A28" i="24"/>
  <c r="A57" i="11" s="1"/>
  <c r="V27" i="24"/>
  <c r="U27"/>
  <c r="H52" i="11" s="1"/>
  <c r="R27" i="24"/>
  <c r="I52" i="11" s="1"/>
  <c r="O27" i="24"/>
  <c r="L27"/>
  <c r="I27"/>
  <c r="F27"/>
  <c r="D27"/>
  <c r="D52" i="11" s="1"/>
  <c r="B27" i="24"/>
  <c r="A27"/>
  <c r="A52" i="11" s="1"/>
  <c r="V26" i="24"/>
  <c r="U26"/>
  <c r="H78" i="11" s="1"/>
  <c r="R26" i="24"/>
  <c r="I78" i="11" s="1"/>
  <c r="O26" i="24"/>
  <c r="L26"/>
  <c r="I26"/>
  <c r="F26"/>
  <c r="D26"/>
  <c r="D78" i="11" s="1"/>
  <c r="B26" i="24"/>
  <c r="A26"/>
  <c r="A78" i="11" s="1"/>
  <c r="V25" i="24"/>
  <c r="U25"/>
  <c r="H50" i="11" s="1"/>
  <c r="R25" i="24"/>
  <c r="I50" i="11" s="1"/>
  <c r="O25" i="24"/>
  <c r="L25"/>
  <c r="I25"/>
  <c r="F25"/>
  <c r="D25"/>
  <c r="D50" i="11" s="1"/>
  <c r="B25" i="24"/>
  <c r="A25"/>
  <c r="A50" i="11" s="1"/>
  <c r="V24" i="24"/>
  <c r="U24"/>
  <c r="H8" i="11" s="1"/>
  <c r="R24" i="24"/>
  <c r="I8" i="11" s="1"/>
  <c r="O24" i="24"/>
  <c r="L24"/>
  <c r="I24"/>
  <c r="F24"/>
  <c r="D24"/>
  <c r="B24"/>
  <c r="B8" i="11" s="1"/>
  <c r="G8" s="1"/>
  <c r="A24" i="24"/>
  <c r="A8" i="11" s="1"/>
  <c r="V23" i="24"/>
  <c r="U23"/>
  <c r="H73" i="11" s="1"/>
  <c r="R23" i="24"/>
  <c r="I73" i="11" s="1"/>
  <c r="O23" i="24"/>
  <c r="L23"/>
  <c r="I23"/>
  <c r="F23"/>
  <c r="D23"/>
  <c r="D73" i="11" s="1"/>
  <c r="B23" i="24"/>
  <c r="A23"/>
  <c r="A73" i="11" s="1"/>
  <c r="V22" i="24"/>
  <c r="U22"/>
  <c r="H36" i="11" s="1"/>
  <c r="R22" i="24"/>
  <c r="I36" i="11" s="1"/>
  <c r="O22" i="24"/>
  <c r="L22"/>
  <c r="I22"/>
  <c r="F22"/>
  <c r="D22"/>
  <c r="D36" i="11" s="1"/>
  <c r="B22" i="24"/>
  <c r="E36" i="11" s="1"/>
  <c r="A22" i="24"/>
  <c r="A36" i="11" s="1"/>
  <c r="V21" i="24"/>
  <c r="U21"/>
  <c r="H46" i="11" s="1"/>
  <c r="R21" i="24"/>
  <c r="I46" i="11" s="1"/>
  <c r="O21" i="24"/>
  <c r="L21"/>
  <c r="I21"/>
  <c r="F21"/>
  <c r="D21"/>
  <c r="D46" i="11" s="1"/>
  <c r="B21" i="24"/>
  <c r="A21"/>
  <c r="A46" i="11" s="1"/>
  <c r="V20" i="24"/>
  <c r="U20"/>
  <c r="H81" i="11" s="1"/>
  <c r="R20" i="24"/>
  <c r="I81" i="11" s="1"/>
  <c r="O20" i="24"/>
  <c r="L20"/>
  <c r="I20"/>
  <c r="F20"/>
  <c r="D20"/>
  <c r="D81" i="11" s="1"/>
  <c r="B20" i="24"/>
  <c r="A20"/>
  <c r="A81" i="11" s="1"/>
  <c r="V19" i="24"/>
  <c r="U19"/>
  <c r="H80" i="11" s="1"/>
  <c r="R19" i="24"/>
  <c r="I80" i="11" s="1"/>
  <c r="O19" i="24"/>
  <c r="L19"/>
  <c r="I19"/>
  <c r="F19"/>
  <c r="D19"/>
  <c r="B19"/>
  <c r="A19"/>
  <c r="A80" i="11" s="1"/>
  <c r="V18" i="24"/>
  <c r="U18"/>
  <c r="R18"/>
  <c r="O18"/>
  <c r="L18"/>
  <c r="I18"/>
  <c r="F18"/>
  <c r="D18"/>
  <c r="B18"/>
  <c r="A18"/>
  <c r="V17"/>
  <c r="U17"/>
  <c r="H55" i="11" s="1"/>
  <c r="R17" i="24"/>
  <c r="I55" i="11" s="1"/>
  <c r="O17" i="24"/>
  <c r="L17"/>
  <c r="I17"/>
  <c r="F17"/>
  <c r="D17"/>
  <c r="D55" i="11" s="1"/>
  <c r="B17" i="24"/>
  <c r="E55" i="11" s="1"/>
  <c r="A17" i="24"/>
  <c r="A55" i="11" s="1"/>
  <c r="V16" i="24"/>
  <c r="U16"/>
  <c r="H26" i="11" s="1"/>
  <c r="R16" i="24"/>
  <c r="I26" i="11" s="1"/>
  <c r="O16" i="24"/>
  <c r="L16"/>
  <c r="I16"/>
  <c r="F16"/>
  <c r="D16"/>
  <c r="D26" i="11" s="1"/>
  <c r="B16" i="24"/>
  <c r="A16"/>
  <c r="A26" i="11" s="1"/>
  <c r="V15" i="24"/>
  <c r="U15"/>
  <c r="H15" i="11" s="1"/>
  <c r="R15" i="24"/>
  <c r="I15" i="11" s="1"/>
  <c r="O15" i="24"/>
  <c r="L15"/>
  <c r="I15"/>
  <c r="F15"/>
  <c r="D15"/>
  <c r="D15" i="11" s="1"/>
  <c r="B15" i="24"/>
  <c r="E15" i="11" s="1"/>
  <c r="A15" i="24"/>
  <c r="A15" i="11" s="1"/>
  <c r="V14" i="24"/>
  <c r="U14"/>
  <c r="H49" i="11" s="1"/>
  <c r="R14" i="24"/>
  <c r="I49" i="11" s="1"/>
  <c r="O14" i="24"/>
  <c r="L14"/>
  <c r="I14"/>
  <c r="F14"/>
  <c r="D14"/>
  <c r="D49" i="11" s="1"/>
  <c r="B14" i="24"/>
  <c r="Q14" s="1"/>
  <c r="F49" i="11" s="1"/>
  <c r="A14" i="24"/>
  <c r="A49" i="11" s="1"/>
  <c r="V13" i="24"/>
  <c r="U13"/>
  <c r="R13"/>
  <c r="O13"/>
  <c r="L13"/>
  <c r="I13"/>
  <c r="F13"/>
  <c r="D13"/>
  <c r="B13"/>
  <c r="A13"/>
  <c r="V12"/>
  <c r="U12"/>
  <c r="H48" i="11" s="1"/>
  <c r="R12" i="24"/>
  <c r="I48" i="11" s="1"/>
  <c r="O12" i="24"/>
  <c r="L12"/>
  <c r="I12"/>
  <c r="F12"/>
  <c r="D12"/>
  <c r="D48" i="11" s="1"/>
  <c r="B12" i="24"/>
  <c r="E12" s="1"/>
  <c r="A12"/>
  <c r="A48" i="11" s="1"/>
  <c r="V11" i="24"/>
  <c r="U11"/>
  <c r="H33" i="11" s="1"/>
  <c r="R11" i="24"/>
  <c r="I33" i="11" s="1"/>
  <c r="O11" i="24"/>
  <c r="L11"/>
  <c r="I11"/>
  <c r="F11"/>
  <c r="D11"/>
  <c r="B11"/>
  <c r="B33" i="11" s="1"/>
  <c r="G33" s="1"/>
  <c r="A11" i="24"/>
  <c r="A33" i="11" s="1"/>
  <c r="V10" i="24"/>
  <c r="U10"/>
  <c r="H51" i="11" s="1"/>
  <c r="R10" i="24"/>
  <c r="I51" i="11" s="1"/>
  <c r="O10" i="24"/>
  <c r="L10"/>
  <c r="I10"/>
  <c r="F10"/>
  <c r="D10"/>
  <c r="D51" i="11" s="1"/>
  <c r="B10" i="24"/>
  <c r="Q10" s="1"/>
  <c r="F51" i="11" s="1"/>
  <c r="A10" i="24"/>
  <c r="A51" i="11" s="1"/>
  <c r="V9" i="24"/>
  <c r="U9"/>
  <c r="H34" i="11" s="1"/>
  <c r="R9" i="24"/>
  <c r="I34" i="11" s="1"/>
  <c r="O9" i="24"/>
  <c r="L9"/>
  <c r="I9"/>
  <c r="F9"/>
  <c r="D9"/>
  <c r="D34" i="11" s="1"/>
  <c r="B9" i="24"/>
  <c r="B34" i="11" s="1"/>
  <c r="G34" s="1"/>
  <c r="A9" i="24"/>
  <c r="A34" i="11" s="1"/>
  <c r="V8" i="24"/>
  <c r="U8"/>
  <c r="H64" i="11" s="1"/>
  <c r="R8" i="24"/>
  <c r="I64" i="11" s="1"/>
  <c r="O8" i="24"/>
  <c r="L8"/>
  <c r="I8"/>
  <c r="F8"/>
  <c r="D8"/>
  <c r="D64" i="11" s="1"/>
  <c r="B8" i="24"/>
  <c r="A8"/>
  <c r="A64" i="11" s="1"/>
  <c r="V7" i="24"/>
  <c r="U7"/>
  <c r="R7"/>
  <c r="O7"/>
  <c r="L7"/>
  <c r="I7"/>
  <c r="F7"/>
  <c r="D7"/>
  <c r="B7"/>
  <c r="A7"/>
  <c r="V6"/>
  <c r="U6"/>
  <c r="H16" i="11" s="1"/>
  <c r="R6" i="24"/>
  <c r="I16" i="11" s="1"/>
  <c r="O6" i="24"/>
  <c r="L6"/>
  <c r="I6"/>
  <c r="F6"/>
  <c r="D6"/>
  <c r="D16" i="11" s="1"/>
  <c r="B6" i="24"/>
  <c r="A6"/>
  <c r="A16" i="11" s="1"/>
  <c r="V5" i="24"/>
  <c r="U5"/>
  <c r="R5"/>
  <c r="O5"/>
  <c r="L5"/>
  <c r="I5"/>
  <c r="F5"/>
  <c r="D5"/>
  <c r="B5"/>
  <c r="A5"/>
  <c r="G26" i="23"/>
  <c r="D26"/>
  <c r="B26"/>
  <c r="A134"/>
  <c r="G27"/>
  <c r="D27"/>
  <c r="B27"/>
  <c r="A133"/>
  <c r="G30"/>
  <c r="D30"/>
  <c r="B30"/>
  <c r="A132"/>
  <c r="G103"/>
  <c r="D103"/>
  <c r="B103"/>
  <c r="A131"/>
  <c r="G57"/>
  <c r="D57"/>
  <c r="B57"/>
  <c r="A130"/>
  <c r="G97"/>
  <c r="D97"/>
  <c r="B97"/>
  <c r="A129"/>
  <c r="G116"/>
  <c r="D116"/>
  <c r="B116"/>
  <c r="A128"/>
  <c r="G125"/>
  <c r="D125"/>
  <c r="B125"/>
  <c r="A127"/>
  <c r="G83"/>
  <c r="D83"/>
  <c r="B83"/>
  <c r="A126"/>
  <c r="G34"/>
  <c r="D34"/>
  <c r="B34"/>
  <c r="A125"/>
  <c r="G37"/>
  <c r="D37"/>
  <c r="B37"/>
  <c r="A124"/>
  <c r="G59"/>
  <c r="D59"/>
  <c r="B59"/>
  <c r="A123"/>
  <c r="G112"/>
  <c r="D112"/>
  <c r="B112"/>
  <c r="A122"/>
  <c r="G47"/>
  <c r="D47"/>
  <c r="B47"/>
  <c r="A121"/>
  <c r="G35"/>
  <c r="D35"/>
  <c r="B35"/>
  <c r="A120"/>
  <c r="G31"/>
  <c r="D31"/>
  <c r="B31"/>
  <c r="A119"/>
  <c r="G121"/>
  <c r="D121"/>
  <c r="B121"/>
  <c r="A118"/>
  <c r="G128"/>
  <c r="D128"/>
  <c r="B128"/>
  <c r="A117"/>
  <c r="G124"/>
  <c r="D124"/>
  <c r="F124" s="1"/>
  <c r="B124"/>
  <c r="A116"/>
  <c r="G39"/>
  <c r="D39"/>
  <c r="B39"/>
  <c r="A115"/>
  <c r="G93"/>
  <c r="D93"/>
  <c r="B93"/>
  <c r="A114"/>
  <c r="G118"/>
  <c r="D118"/>
  <c r="B118"/>
  <c r="A113"/>
  <c r="G110"/>
  <c r="D110"/>
  <c r="B110"/>
  <c r="A112"/>
  <c r="G90"/>
  <c r="D90"/>
  <c r="B90"/>
  <c r="A111"/>
  <c r="G117"/>
  <c r="D117"/>
  <c r="B117"/>
  <c r="A110"/>
  <c r="G96"/>
  <c r="D96"/>
  <c r="B96"/>
  <c r="A109"/>
  <c r="G21"/>
  <c r="D21"/>
  <c r="B21"/>
  <c r="A108"/>
  <c r="G106"/>
  <c r="D106"/>
  <c r="B106"/>
  <c r="A107"/>
  <c r="G61"/>
  <c r="D61"/>
  <c r="F61" s="1"/>
  <c r="B61"/>
  <c r="A106"/>
  <c r="G20"/>
  <c r="D20"/>
  <c r="B20"/>
  <c r="A105"/>
  <c r="G67"/>
  <c r="D67"/>
  <c r="B67"/>
  <c r="A104"/>
  <c r="G19"/>
  <c r="D19"/>
  <c r="B19"/>
  <c r="A103"/>
  <c r="G18"/>
  <c r="D18"/>
  <c r="B18"/>
  <c r="A102"/>
  <c r="G95"/>
  <c r="D95"/>
  <c r="B95"/>
  <c r="A101"/>
  <c r="G17"/>
  <c r="D17"/>
  <c r="B17"/>
  <c r="A100"/>
  <c r="G16"/>
  <c r="D16"/>
  <c r="B16"/>
  <c r="A99"/>
  <c r="G29"/>
  <c r="D29"/>
  <c r="F29" s="1"/>
  <c r="B29"/>
  <c r="A98"/>
  <c r="G55"/>
  <c r="D55"/>
  <c r="B55"/>
  <c r="A97"/>
  <c r="G74"/>
  <c r="D74"/>
  <c r="B74"/>
  <c r="A96"/>
  <c r="G78"/>
  <c r="D78"/>
  <c r="B78"/>
  <c r="A95"/>
  <c r="G132"/>
  <c r="D132"/>
  <c r="B132"/>
  <c r="A94"/>
  <c r="G113"/>
  <c r="D113"/>
  <c r="B113"/>
  <c r="A93"/>
  <c r="G43"/>
  <c r="D43"/>
  <c r="B43"/>
  <c r="A92"/>
  <c r="G122"/>
  <c r="D122"/>
  <c r="B122"/>
  <c r="A91"/>
  <c r="G131"/>
  <c r="D131"/>
  <c r="F131" s="1"/>
  <c r="B131"/>
  <c r="A90"/>
  <c r="G28"/>
  <c r="D28"/>
  <c r="B28"/>
  <c r="A89"/>
  <c r="G60"/>
  <c r="D60"/>
  <c r="B60"/>
  <c r="A88"/>
  <c r="G40"/>
  <c r="D40"/>
  <c r="B40"/>
  <c r="A87"/>
  <c r="G25"/>
  <c r="D25"/>
  <c r="B25"/>
  <c r="A86"/>
  <c r="G15"/>
  <c r="D15"/>
  <c r="B15"/>
  <c r="A85"/>
  <c r="G51"/>
  <c r="D51"/>
  <c r="B51"/>
  <c r="A84"/>
  <c r="G48"/>
  <c r="D48"/>
  <c r="B48"/>
  <c r="A83"/>
  <c r="G64"/>
  <c r="D64"/>
  <c r="F64" s="1"/>
  <c r="B64"/>
  <c r="A82"/>
  <c r="G80"/>
  <c r="D80"/>
  <c r="B80"/>
  <c r="A81"/>
  <c r="G120"/>
  <c r="D120"/>
  <c r="B120"/>
  <c r="A80"/>
  <c r="G84"/>
  <c r="D84"/>
  <c r="B84"/>
  <c r="A79"/>
  <c r="G77"/>
  <c r="D77"/>
  <c r="B77"/>
  <c r="A78"/>
  <c r="G14"/>
  <c r="D14"/>
  <c r="B14"/>
  <c r="A77"/>
  <c r="G13"/>
  <c r="D13"/>
  <c r="B13"/>
  <c r="A76"/>
  <c r="G12"/>
  <c r="D12"/>
  <c r="B12"/>
  <c r="A75"/>
  <c r="G42"/>
  <c r="D42"/>
  <c r="F42" s="1"/>
  <c r="B42"/>
  <c r="A74"/>
  <c r="G49"/>
  <c r="D49"/>
  <c r="B49"/>
  <c r="A73"/>
  <c r="G66"/>
  <c r="D66"/>
  <c r="B66"/>
  <c r="A72"/>
  <c r="G46"/>
  <c r="D46"/>
  <c r="B46"/>
  <c r="A71"/>
  <c r="G71"/>
  <c r="D71"/>
  <c r="B71"/>
  <c r="A70"/>
  <c r="G69"/>
  <c r="D69"/>
  <c r="B69"/>
  <c r="A69"/>
  <c r="G89"/>
  <c r="D89"/>
  <c r="B89"/>
  <c r="A68"/>
  <c r="G33"/>
  <c r="D33"/>
  <c r="B33"/>
  <c r="A67"/>
  <c r="G36"/>
  <c r="D36"/>
  <c r="F36" s="1"/>
  <c r="B36"/>
  <c r="A66"/>
  <c r="G52"/>
  <c r="D52"/>
  <c r="B52"/>
  <c r="A65"/>
  <c r="G11"/>
  <c r="D11"/>
  <c r="B11"/>
  <c r="A64"/>
  <c r="G10"/>
  <c r="D10"/>
  <c r="B10"/>
  <c r="A63"/>
  <c r="G32"/>
  <c r="D32"/>
  <c r="B32"/>
  <c r="A62"/>
  <c r="G111"/>
  <c r="D111"/>
  <c r="B111"/>
  <c r="A61"/>
  <c r="G109"/>
  <c r="D109"/>
  <c r="B109"/>
  <c r="A60"/>
  <c r="G101"/>
  <c r="D101"/>
  <c r="B101"/>
  <c r="A59"/>
  <c r="G130"/>
  <c r="D130"/>
  <c r="F130" s="1"/>
  <c r="B130"/>
  <c r="A58"/>
  <c r="G9"/>
  <c r="D9"/>
  <c r="B9"/>
  <c r="A57"/>
  <c r="G38"/>
  <c r="F38"/>
  <c r="D38"/>
  <c r="B38"/>
  <c r="A56"/>
  <c r="G23"/>
  <c r="D23"/>
  <c r="B23"/>
  <c r="A55"/>
  <c r="G86"/>
  <c r="D86"/>
  <c r="B86"/>
  <c r="A54"/>
  <c r="G8"/>
  <c r="D8"/>
  <c r="B8"/>
  <c r="A53"/>
  <c r="G79"/>
  <c r="D79"/>
  <c r="F79" s="1"/>
  <c r="B79"/>
  <c r="A52"/>
  <c r="G7"/>
  <c r="D7"/>
  <c r="B7"/>
  <c r="A51"/>
  <c r="G87"/>
  <c r="D87"/>
  <c r="F87" s="1"/>
  <c r="B87"/>
  <c r="A50"/>
  <c r="G68"/>
  <c r="D68"/>
  <c r="B68"/>
  <c r="A49"/>
  <c r="G56"/>
  <c r="D56"/>
  <c r="B56"/>
  <c r="A48"/>
  <c r="G6"/>
  <c r="D6"/>
  <c r="B6"/>
  <c r="A47"/>
  <c r="G108"/>
  <c r="D108"/>
  <c r="B108"/>
  <c r="A46"/>
  <c r="G5"/>
  <c r="D5"/>
  <c r="B5"/>
  <c r="A45"/>
  <c r="G58"/>
  <c r="D58"/>
  <c r="B58"/>
  <c r="A44"/>
  <c r="G119"/>
  <c r="D119"/>
  <c r="B119"/>
  <c r="A43"/>
  <c r="G123"/>
  <c r="D123"/>
  <c r="B123"/>
  <c r="A42"/>
  <c r="G114"/>
  <c r="D114"/>
  <c r="B114"/>
  <c r="A41"/>
  <c r="G88"/>
  <c r="D88"/>
  <c r="B88"/>
  <c r="A40"/>
  <c r="G63"/>
  <c r="D63"/>
  <c r="B63"/>
  <c r="A39"/>
  <c r="G54"/>
  <c r="D54"/>
  <c r="B54"/>
  <c r="A38"/>
  <c r="G73"/>
  <c r="D73"/>
  <c r="B73"/>
  <c r="A37"/>
  <c r="G115"/>
  <c r="D115"/>
  <c r="B115"/>
  <c r="A36"/>
  <c r="G82"/>
  <c r="D82"/>
  <c r="B82"/>
  <c r="A35"/>
  <c r="G91"/>
  <c r="D91"/>
  <c r="B91"/>
  <c r="A34"/>
  <c r="G76"/>
  <c r="D76"/>
  <c r="B76"/>
  <c r="A33"/>
  <c r="G104"/>
  <c r="D104"/>
  <c r="B104"/>
  <c r="A32"/>
  <c r="G81"/>
  <c r="D81"/>
  <c r="B81"/>
  <c r="A31"/>
  <c r="G134"/>
  <c r="D134"/>
  <c r="B134"/>
  <c r="A30"/>
  <c r="G41"/>
  <c r="D41"/>
  <c r="B41"/>
  <c r="A29"/>
  <c r="G85"/>
  <c r="D85"/>
  <c r="B85"/>
  <c r="A28"/>
  <c r="G53"/>
  <c r="D53"/>
  <c r="B53"/>
  <c r="A27"/>
  <c r="G105"/>
  <c r="D105"/>
  <c r="B105"/>
  <c r="A26"/>
  <c r="G107"/>
  <c r="D107"/>
  <c r="B107"/>
  <c r="A25"/>
  <c r="G75"/>
  <c r="D75"/>
  <c r="B75"/>
  <c r="A24"/>
  <c r="G94"/>
  <c r="D94"/>
  <c r="B94"/>
  <c r="A23"/>
  <c r="G100"/>
  <c r="D100"/>
  <c r="B100"/>
  <c r="A22"/>
  <c r="G99"/>
  <c r="D99"/>
  <c r="B99"/>
  <c r="A21"/>
  <c r="G45"/>
  <c r="D45"/>
  <c r="B45"/>
  <c r="A20"/>
  <c r="G50"/>
  <c r="D50"/>
  <c r="B50"/>
  <c r="A19"/>
  <c r="G133"/>
  <c r="D133"/>
  <c r="B133"/>
  <c r="A18"/>
  <c r="G62"/>
  <c r="D62"/>
  <c r="B62"/>
  <c r="A17"/>
  <c r="G129"/>
  <c r="D129"/>
  <c r="B129"/>
  <c r="A16"/>
  <c r="G65"/>
  <c r="D65"/>
  <c r="B65"/>
  <c r="A15"/>
  <c r="G102"/>
  <c r="D102"/>
  <c r="B102"/>
  <c r="A14"/>
  <c r="G24"/>
  <c r="D24"/>
  <c r="B24"/>
  <c r="A13"/>
  <c r="G22"/>
  <c r="D22"/>
  <c r="B22"/>
  <c r="A12"/>
  <c r="G98"/>
  <c r="D98"/>
  <c r="B98"/>
  <c r="A11"/>
  <c r="G70"/>
  <c r="D70"/>
  <c r="B70"/>
  <c r="A10"/>
  <c r="G126"/>
  <c r="D126"/>
  <c r="B126"/>
  <c r="A9"/>
  <c r="G127"/>
  <c r="D127"/>
  <c r="B127"/>
  <c r="A8"/>
  <c r="G44"/>
  <c r="D44"/>
  <c r="B44"/>
  <c r="A7"/>
  <c r="G92"/>
  <c r="D92"/>
  <c r="B92"/>
  <c r="A6"/>
  <c r="G72"/>
  <c r="D72"/>
  <c r="B72"/>
  <c r="A5"/>
  <c r="F44" i="22"/>
  <c r="D44"/>
  <c r="B44"/>
  <c r="A44"/>
  <c r="F21"/>
  <c r="D21"/>
  <c r="B21"/>
  <c r="A21"/>
  <c r="F31"/>
  <c r="D31"/>
  <c r="B31"/>
  <c r="A31"/>
  <c r="F130"/>
  <c r="D130"/>
  <c r="B130"/>
  <c r="A130"/>
  <c r="F134"/>
  <c r="D134"/>
  <c r="B134"/>
  <c r="A134"/>
  <c r="F111"/>
  <c r="D111"/>
  <c r="B111"/>
  <c r="A111"/>
  <c r="F71"/>
  <c r="D71"/>
  <c r="B71"/>
  <c r="A71"/>
  <c r="F114"/>
  <c r="D114"/>
  <c r="B114"/>
  <c r="A114"/>
  <c r="F126"/>
  <c r="D126"/>
  <c r="B126"/>
  <c r="A126"/>
  <c r="F104"/>
  <c r="D104"/>
  <c r="B104"/>
  <c r="A104"/>
  <c r="F28"/>
  <c r="D28"/>
  <c r="B28"/>
  <c r="A28"/>
  <c r="F36"/>
  <c r="D36"/>
  <c r="B36"/>
  <c r="A36"/>
  <c r="F128"/>
  <c r="D128"/>
  <c r="B128"/>
  <c r="A128"/>
  <c r="F39"/>
  <c r="D39"/>
  <c r="B39"/>
  <c r="A39"/>
  <c r="F16"/>
  <c r="D16"/>
  <c r="B16"/>
  <c r="A16"/>
  <c r="F52"/>
  <c r="D52"/>
  <c r="B52"/>
  <c r="A52"/>
  <c r="F118"/>
  <c r="D118"/>
  <c r="B118"/>
  <c r="A118"/>
  <c r="F101"/>
  <c r="D101"/>
  <c r="B101"/>
  <c r="A101"/>
  <c r="F106"/>
  <c r="D106"/>
  <c r="B106"/>
  <c r="A106"/>
  <c r="F40"/>
  <c r="D40"/>
  <c r="B40"/>
  <c r="A40"/>
  <c r="F127"/>
  <c r="D127"/>
  <c r="B127"/>
  <c r="A127"/>
  <c r="F113"/>
  <c r="D113"/>
  <c r="B113"/>
  <c r="A113"/>
  <c r="F82"/>
  <c r="D82"/>
  <c r="B82"/>
  <c r="A82"/>
  <c r="F99"/>
  <c r="D99"/>
  <c r="B99"/>
  <c r="A99"/>
  <c r="F110"/>
  <c r="D110"/>
  <c r="B110"/>
  <c r="A110"/>
  <c r="F50"/>
  <c r="D50"/>
  <c r="B50"/>
  <c r="A50"/>
  <c r="F11"/>
  <c r="D11"/>
  <c r="B11"/>
  <c r="A11"/>
  <c r="F93"/>
  <c r="D93"/>
  <c r="B93"/>
  <c r="A93"/>
  <c r="F86"/>
  <c r="D86"/>
  <c r="B86"/>
  <c r="A86"/>
  <c r="F105"/>
  <c r="D105"/>
  <c r="B105"/>
  <c r="A105"/>
  <c r="F46"/>
  <c r="D46"/>
  <c r="B46"/>
  <c r="A46"/>
  <c r="F103"/>
  <c r="D103"/>
  <c r="B103"/>
  <c r="A103"/>
  <c r="F102"/>
  <c r="D102"/>
  <c r="B102"/>
  <c r="A102"/>
  <c r="F65"/>
  <c r="D65"/>
  <c r="B65"/>
  <c r="A65"/>
  <c r="F100"/>
  <c r="D100"/>
  <c r="B100"/>
  <c r="A100"/>
  <c r="F10"/>
  <c r="D10"/>
  <c r="B10"/>
  <c r="A10"/>
  <c r="F24"/>
  <c r="D24"/>
  <c r="B24"/>
  <c r="A24"/>
  <c r="F38"/>
  <c r="D38"/>
  <c r="B38"/>
  <c r="A38"/>
  <c r="F116"/>
  <c r="D116"/>
  <c r="B116"/>
  <c r="A116"/>
  <c r="F62"/>
  <c r="D62"/>
  <c r="B62"/>
  <c r="A62"/>
  <c r="F94"/>
  <c r="D94"/>
  <c r="B94"/>
  <c r="A94"/>
  <c r="F63"/>
  <c r="D63"/>
  <c r="B63"/>
  <c r="A63"/>
  <c r="F96"/>
  <c r="D96"/>
  <c r="B96"/>
  <c r="A96"/>
  <c r="F125"/>
  <c r="D125"/>
  <c r="B125"/>
  <c r="A125"/>
  <c r="F124"/>
  <c r="D124"/>
  <c r="B124"/>
  <c r="A124"/>
  <c r="F75"/>
  <c r="D75"/>
  <c r="B75"/>
  <c r="A75"/>
  <c r="F70"/>
  <c r="D70"/>
  <c r="B70"/>
  <c r="A70"/>
  <c r="F64"/>
  <c r="D64"/>
  <c r="B64"/>
  <c r="A64"/>
  <c r="F23"/>
  <c r="D23"/>
  <c r="B23"/>
  <c r="A23"/>
  <c r="F85"/>
  <c r="D85"/>
  <c r="B85"/>
  <c r="A85"/>
  <c r="F84"/>
  <c r="D84"/>
  <c r="B84"/>
  <c r="A84"/>
  <c r="F20"/>
  <c r="D20"/>
  <c r="B20"/>
  <c r="A20"/>
  <c r="F34"/>
  <c r="D34"/>
  <c r="B34"/>
  <c r="A34"/>
  <c r="F67"/>
  <c r="D67"/>
  <c r="B67"/>
  <c r="A67"/>
  <c r="F123"/>
  <c r="D123"/>
  <c r="B123"/>
  <c r="A123"/>
  <c r="F112"/>
  <c r="D112"/>
  <c r="B112"/>
  <c r="A112"/>
  <c r="F78"/>
  <c r="D78"/>
  <c r="B78"/>
  <c r="A78"/>
  <c r="F77"/>
  <c r="D77"/>
  <c r="B77"/>
  <c r="A77"/>
  <c r="F9"/>
  <c r="D9"/>
  <c r="B9"/>
  <c r="A9"/>
  <c r="F8"/>
  <c r="D8"/>
  <c r="B8"/>
  <c r="A8"/>
  <c r="F14"/>
  <c r="D14"/>
  <c r="B14"/>
  <c r="A14"/>
  <c r="F122"/>
  <c r="D122"/>
  <c r="B122"/>
  <c r="A122"/>
  <c r="F33"/>
  <c r="D33"/>
  <c r="B33"/>
  <c r="A33"/>
  <c r="F115"/>
  <c r="D115"/>
  <c r="B115"/>
  <c r="A115"/>
  <c r="F129"/>
  <c r="D129"/>
  <c r="B129"/>
  <c r="A129"/>
  <c r="F18"/>
  <c r="D18"/>
  <c r="B18"/>
  <c r="A18"/>
  <c r="F131"/>
  <c r="D131"/>
  <c r="B131"/>
  <c r="A131"/>
  <c r="F76"/>
  <c r="D76"/>
  <c r="B76"/>
  <c r="A76"/>
  <c r="F98"/>
  <c r="D98"/>
  <c r="B98"/>
  <c r="A98"/>
  <c r="F25"/>
  <c r="D25"/>
  <c r="B25"/>
  <c r="A25"/>
  <c r="F7"/>
  <c r="D7"/>
  <c r="B7"/>
  <c r="A7"/>
  <c r="F6"/>
  <c r="D6"/>
  <c r="B6"/>
  <c r="A6"/>
  <c r="F12"/>
  <c r="D12"/>
  <c r="B12"/>
  <c r="A12"/>
  <c r="F61"/>
  <c r="D61"/>
  <c r="B61"/>
  <c r="A61"/>
  <c r="F87"/>
  <c r="D87"/>
  <c r="B87"/>
  <c r="A87"/>
  <c r="F69"/>
  <c r="D69"/>
  <c r="B69"/>
  <c r="A69"/>
  <c r="F120"/>
  <c r="D120"/>
  <c r="B120"/>
  <c r="A120"/>
  <c r="F57"/>
  <c r="D57"/>
  <c r="B57"/>
  <c r="A57"/>
  <c r="F41"/>
  <c r="D41"/>
  <c r="B41"/>
  <c r="A41"/>
  <c r="F15"/>
  <c r="D15"/>
  <c r="B15"/>
  <c r="A15"/>
  <c r="F26"/>
  <c r="D26"/>
  <c r="B26"/>
  <c r="A26"/>
  <c r="F53"/>
  <c r="D53"/>
  <c r="B53"/>
  <c r="A53"/>
  <c r="F42"/>
  <c r="D42"/>
  <c r="B42"/>
  <c r="A42"/>
  <c r="F51"/>
  <c r="D51"/>
  <c r="B51"/>
  <c r="A51"/>
  <c r="F19"/>
  <c r="D19"/>
  <c r="B19"/>
  <c r="A19"/>
  <c r="F80"/>
  <c r="D80"/>
  <c r="B80"/>
  <c r="A80"/>
  <c r="F83"/>
  <c r="D83"/>
  <c r="B83"/>
  <c r="A83"/>
  <c r="F47"/>
  <c r="D47"/>
  <c r="E47" s="1"/>
  <c r="B47"/>
  <c r="A47"/>
  <c r="F81"/>
  <c r="D81"/>
  <c r="B81"/>
  <c r="A81"/>
  <c r="F5"/>
  <c r="D5"/>
  <c r="B5"/>
  <c r="A5"/>
  <c r="F90"/>
  <c r="D90"/>
  <c r="B90"/>
  <c r="A90"/>
  <c r="F43"/>
  <c r="D43"/>
  <c r="B43"/>
  <c r="A43"/>
  <c r="F108"/>
  <c r="D108"/>
  <c r="B108"/>
  <c r="A108"/>
  <c r="F89"/>
  <c r="D89"/>
  <c r="B89"/>
  <c r="A89"/>
  <c r="F58"/>
  <c r="D58"/>
  <c r="B58"/>
  <c r="A58"/>
  <c r="F72"/>
  <c r="D72"/>
  <c r="B72"/>
  <c r="A72"/>
  <c r="F48"/>
  <c r="D48"/>
  <c r="B48"/>
  <c r="A48"/>
  <c r="F74"/>
  <c r="D74"/>
  <c r="B74"/>
  <c r="A74"/>
  <c r="F97"/>
  <c r="D97"/>
  <c r="B97"/>
  <c r="A97"/>
  <c r="F35"/>
  <c r="D35"/>
  <c r="B35"/>
  <c r="A35"/>
  <c r="F45"/>
  <c r="D45"/>
  <c r="B45"/>
  <c r="A45"/>
  <c r="F27"/>
  <c r="D27"/>
  <c r="B27"/>
  <c r="A27"/>
  <c r="F79"/>
  <c r="D79"/>
  <c r="B79"/>
  <c r="A79"/>
  <c r="F88"/>
  <c r="D88"/>
  <c r="B88"/>
  <c r="A88"/>
  <c r="F133"/>
  <c r="D133"/>
  <c r="B133"/>
  <c r="A133"/>
  <c r="F22"/>
  <c r="D22"/>
  <c r="B22"/>
  <c r="A22"/>
  <c r="F59"/>
  <c r="D59"/>
  <c r="B59"/>
  <c r="A59"/>
  <c r="F95"/>
  <c r="D95"/>
  <c r="B95"/>
  <c r="A95"/>
  <c r="F54"/>
  <c r="D54"/>
  <c r="B54"/>
  <c r="A54"/>
  <c r="F60"/>
  <c r="D60"/>
  <c r="B60"/>
  <c r="A60"/>
  <c r="F56"/>
  <c r="D56"/>
  <c r="B56"/>
  <c r="A56"/>
  <c r="F30"/>
  <c r="D30"/>
  <c r="B30"/>
  <c r="A30"/>
  <c r="F119"/>
  <c r="D119"/>
  <c r="B119"/>
  <c r="A119"/>
  <c r="F117"/>
  <c r="D117"/>
  <c r="B117"/>
  <c r="A117"/>
  <c r="F17"/>
  <c r="D17"/>
  <c r="B17"/>
  <c r="A17"/>
  <c r="F68"/>
  <c r="D68"/>
  <c r="B68"/>
  <c r="A68"/>
  <c r="F132"/>
  <c r="D132"/>
  <c r="B132"/>
  <c r="A132"/>
  <c r="F66"/>
  <c r="D66"/>
  <c r="B66"/>
  <c r="A66"/>
  <c r="F121"/>
  <c r="D121"/>
  <c r="B121"/>
  <c r="A121"/>
  <c r="F37"/>
  <c r="D37"/>
  <c r="B37"/>
  <c r="A37"/>
  <c r="F92"/>
  <c r="D92"/>
  <c r="B92"/>
  <c r="A92"/>
  <c r="F13"/>
  <c r="D13"/>
  <c r="B13"/>
  <c r="A13"/>
  <c r="F29"/>
  <c r="D29"/>
  <c r="B29"/>
  <c r="A29"/>
  <c r="F49"/>
  <c r="D49"/>
  <c r="B49"/>
  <c r="A49"/>
  <c r="F73"/>
  <c r="D73"/>
  <c r="B73"/>
  <c r="A73"/>
  <c r="F107"/>
  <c r="D107"/>
  <c r="B107"/>
  <c r="A107"/>
  <c r="F109"/>
  <c r="D109"/>
  <c r="B109"/>
  <c r="A109"/>
  <c r="F55"/>
  <c r="D55"/>
  <c r="B55"/>
  <c r="A55"/>
  <c r="F91"/>
  <c r="D91"/>
  <c r="B91"/>
  <c r="A91"/>
  <c r="F32"/>
  <c r="D32"/>
  <c r="B32"/>
  <c r="A32"/>
  <c r="I105" i="20"/>
  <c r="I72"/>
  <c r="I45"/>
  <c r="I74"/>
  <c r="I106"/>
  <c r="I88"/>
  <c r="I48"/>
  <c r="I28"/>
  <c r="I29"/>
  <c r="I107"/>
  <c r="I68"/>
  <c r="I78"/>
  <c r="I27"/>
  <c r="I108"/>
  <c r="I40"/>
  <c r="I44"/>
  <c r="I95"/>
  <c r="I96"/>
  <c r="I109"/>
  <c r="I58"/>
  <c r="I101"/>
  <c r="I46"/>
  <c r="I110"/>
  <c r="I61"/>
  <c r="I22"/>
  <c r="I111"/>
  <c r="I56"/>
  <c r="I57"/>
  <c r="I34"/>
  <c r="I54"/>
  <c r="I43"/>
  <c r="I112"/>
  <c r="I71"/>
  <c r="I25"/>
  <c r="I38"/>
  <c r="I14"/>
  <c r="I113"/>
  <c r="I66"/>
  <c r="I60"/>
  <c r="I102"/>
  <c r="I114"/>
  <c r="I52"/>
  <c r="I79"/>
  <c r="I31"/>
  <c r="I67"/>
  <c r="I115"/>
  <c r="I103"/>
  <c r="I41"/>
  <c r="I116"/>
  <c r="I117"/>
  <c r="I17"/>
  <c r="I55"/>
  <c r="I81"/>
  <c r="I76"/>
  <c r="I53"/>
  <c r="I118"/>
  <c r="I119"/>
  <c r="I16"/>
  <c r="I64"/>
  <c r="I77"/>
  <c r="I69"/>
  <c r="I20"/>
  <c r="I120"/>
  <c r="I23"/>
  <c r="I121"/>
  <c r="I100"/>
  <c r="I35"/>
  <c r="I50"/>
  <c r="I18"/>
  <c r="I32"/>
  <c r="I83"/>
  <c r="I90"/>
  <c r="I5"/>
  <c r="I122"/>
  <c r="I82"/>
  <c r="I91"/>
  <c r="I75"/>
  <c r="I49"/>
  <c r="I6"/>
  <c r="I94"/>
  <c r="I123"/>
  <c r="I42"/>
  <c r="I124"/>
  <c r="I19"/>
  <c r="I87"/>
  <c r="I84"/>
  <c r="I7"/>
  <c r="I125"/>
  <c r="I126"/>
  <c r="I47"/>
  <c r="I36"/>
  <c r="I8"/>
  <c r="I15"/>
  <c r="I51"/>
  <c r="I63"/>
  <c r="I59"/>
  <c r="I89"/>
  <c r="I9"/>
  <c r="I10"/>
  <c r="I11"/>
  <c r="I127"/>
  <c r="I128"/>
  <c r="I104"/>
  <c r="I39"/>
  <c r="I85"/>
  <c r="I73"/>
  <c r="I62"/>
  <c r="I86"/>
  <c r="I12"/>
  <c r="I129"/>
  <c r="I130"/>
  <c r="I131"/>
  <c r="I132"/>
  <c r="I80"/>
  <c r="I21"/>
  <c r="I133"/>
  <c r="I99"/>
  <c r="I24"/>
  <c r="I134"/>
  <c r="I13"/>
  <c r="I92"/>
  <c r="I70"/>
  <c r="I65"/>
  <c r="I93"/>
  <c r="I97"/>
  <c r="I98"/>
  <c r="I37"/>
  <c r="I30"/>
  <c r="I33"/>
  <c r="H13" i="21"/>
  <c r="G13"/>
  <c r="D13"/>
  <c r="B13"/>
  <c r="A13"/>
  <c r="H16"/>
  <c r="G16"/>
  <c r="D16"/>
  <c r="B16"/>
  <c r="A16"/>
  <c r="H67"/>
  <c r="G67"/>
  <c r="D67"/>
  <c r="B67"/>
  <c r="A67"/>
  <c r="H56"/>
  <c r="G56"/>
  <c r="D56"/>
  <c r="B56"/>
  <c r="A56"/>
  <c r="H8"/>
  <c r="G8"/>
  <c r="D8"/>
  <c r="B8"/>
  <c r="A8"/>
  <c r="H53"/>
  <c r="G53"/>
  <c r="D53"/>
  <c r="B53"/>
  <c r="A53"/>
  <c r="H32"/>
  <c r="G32"/>
  <c r="D32"/>
  <c r="B32"/>
  <c r="A32"/>
  <c r="H54"/>
  <c r="G54"/>
  <c r="D54"/>
  <c r="B54"/>
  <c r="A54"/>
  <c r="H25"/>
  <c r="G25"/>
  <c r="D25"/>
  <c r="B25"/>
  <c r="A25"/>
  <c r="H27"/>
  <c r="G27"/>
  <c r="D27"/>
  <c r="B27"/>
  <c r="A27"/>
  <c r="H134"/>
  <c r="G134"/>
  <c r="D134"/>
  <c r="B134"/>
  <c r="A134"/>
  <c r="H133"/>
  <c r="G133"/>
  <c r="D133"/>
  <c r="B133"/>
  <c r="A133"/>
  <c r="H83"/>
  <c r="G83"/>
  <c r="D83"/>
  <c r="B83"/>
  <c r="A83"/>
  <c r="H103"/>
  <c r="G103"/>
  <c r="D103"/>
  <c r="B103"/>
  <c r="A103"/>
  <c r="H85"/>
  <c r="G85"/>
  <c r="D85"/>
  <c r="B85"/>
  <c r="A85"/>
  <c r="H132"/>
  <c r="G132"/>
  <c r="D132"/>
  <c r="B132"/>
  <c r="A132"/>
  <c r="H131"/>
  <c r="G131"/>
  <c r="D131"/>
  <c r="B131"/>
  <c r="A131"/>
  <c r="H46"/>
  <c r="G46"/>
  <c r="D46"/>
  <c r="B46"/>
  <c r="A46"/>
  <c r="H70"/>
  <c r="G70"/>
  <c r="D70"/>
  <c r="B70"/>
  <c r="A70"/>
  <c r="H93"/>
  <c r="G93"/>
  <c r="D93"/>
  <c r="B93"/>
  <c r="A93"/>
  <c r="H88"/>
  <c r="G88"/>
  <c r="D88"/>
  <c r="B88"/>
  <c r="A88"/>
  <c r="H61"/>
  <c r="G61"/>
  <c r="D61"/>
  <c r="B61"/>
  <c r="A61"/>
  <c r="H29"/>
  <c r="G29"/>
  <c r="D29"/>
  <c r="B29"/>
  <c r="A29"/>
  <c r="H80"/>
  <c r="G80"/>
  <c r="D80"/>
  <c r="B80"/>
  <c r="A80"/>
  <c r="H58"/>
  <c r="G58"/>
  <c r="D58"/>
  <c r="B58"/>
  <c r="A58"/>
  <c r="H36"/>
  <c r="G36"/>
  <c r="D36"/>
  <c r="B36"/>
  <c r="A36"/>
  <c r="H10"/>
  <c r="G10"/>
  <c r="D10"/>
  <c r="B10"/>
  <c r="A10"/>
  <c r="H102"/>
  <c r="G102"/>
  <c r="D102"/>
  <c r="B102"/>
  <c r="A102"/>
  <c r="H91"/>
  <c r="G91"/>
  <c r="D91"/>
  <c r="B91"/>
  <c r="A91"/>
  <c r="H51"/>
  <c r="G51"/>
  <c r="D51"/>
  <c r="B51"/>
  <c r="A51"/>
  <c r="H130"/>
  <c r="G130"/>
  <c r="D130"/>
  <c r="B130"/>
  <c r="A130"/>
  <c r="H39"/>
  <c r="G39"/>
  <c r="D39"/>
  <c r="B39"/>
  <c r="A39"/>
  <c r="H75"/>
  <c r="G75"/>
  <c r="D75"/>
  <c r="B75"/>
  <c r="A75"/>
  <c r="H24"/>
  <c r="G24"/>
  <c r="D24"/>
  <c r="B24"/>
  <c r="A24"/>
  <c r="H129"/>
  <c r="G129"/>
  <c r="D129"/>
  <c r="B129"/>
  <c r="A129"/>
  <c r="H7"/>
  <c r="G7"/>
  <c r="D7"/>
  <c r="B7"/>
  <c r="A7"/>
  <c r="H40"/>
  <c r="G40"/>
  <c r="D40"/>
  <c r="B40"/>
  <c r="A40"/>
  <c r="H20"/>
  <c r="G20"/>
  <c r="D20"/>
  <c r="B20"/>
  <c r="A20"/>
  <c r="H38"/>
  <c r="G38"/>
  <c r="D38"/>
  <c r="B38"/>
  <c r="A38"/>
  <c r="H73"/>
  <c r="G73"/>
  <c r="D73"/>
  <c r="B73"/>
  <c r="A73"/>
  <c r="H128"/>
  <c r="G128"/>
  <c r="D128"/>
  <c r="B128"/>
  <c r="A128"/>
  <c r="H57"/>
  <c r="G57"/>
  <c r="D57"/>
  <c r="B57"/>
  <c r="A57"/>
  <c r="H9"/>
  <c r="G9"/>
  <c r="D9"/>
  <c r="B9"/>
  <c r="A9"/>
  <c r="H92"/>
  <c r="G92"/>
  <c r="D92"/>
  <c r="B92"/>
  <c r="A92"/>
  <c r="H101"/>
  <c r="G101"/>
  <c r="D101"/>
  <c r="B101"/>
  <c r="A101"/>
  <c r="H79"/>
  <c r="G79"/>
  <c r="D79"/>
  <c r="B79"/>
  <c r="A79"/>
  <c r="H96"/>
  <c r="G96"/>
  <c r="D96"/>
  <c r="B96"/>
  <c r="A96"/>
  <c r="H15"/>
  <c r="G15"/>
  <c r="D15"/>
  <c r="B15"/>
  <c r="A15"/>
  <c r="H11"/>
  <c r="G11"/>
  <c r="D11"/>
  <c r="B11"/>
  <c r="A11"/>
  <c r="H127"/>
  <c r="G127"/>
  <c r="D127"/>
  <c r="B127"/>
  <c r="A127"/>
  <c r="H28"/>
  <c r="G28"/>
  <c r="D28"/>
  <c r="B28"/>
  <c r="A28"/>
  <c r="H68"/>
  <c r="G68"/>
  <c r="D68"/>
  <c r="B68"/>
  <c r="A68"/>
  <c r="H42"/>
  <c r="G42"/>
  <c r="D42"/>
  <c r="B42"/>
  <c r="A42"/>
  <c r="H100"/>
  <c r="G100"/>
  <c r="D100"/>
  <c r="B100"/>
  <c r="A100"/>
  <c r="H126"/>
  <c r="G126"/>
  <c r="D126"/>
  <c r="B126"/>
  <c r="A126"/>
  <c r="H87"/>
  <c r="G87"/>
  <c r="D87"/>
  <c r="B87"/>
  <c r="A87"/>
  <c r="H35"/>
  <c r="G35"/>
  <c r="D35"/>
  <c r="B35"/>
  <c r="A35"/>
  <c r="H125"/>
  <c r="G125"/>
  <c r="D125"/>
  <c r="B125"/>
  <c r="A125"/>
  <c r="H124"/>
  <c r="G124"/>
  <c r="D124"/>
  <c r="B124"/>
  <c r="A124"/>
  <c r="H123"/>
  <c r="G123"/>
  <c r="D123"/>
  <c r="B123"/>
  <c r="A123"/>
  <c r="H122"/>
  <c r="G122"/>
  <c r="D122"/>
  <c r="B122"/>
  <c r="A122"/>
  <c r="H99"/>
  <c r="G99"/>
  <c r="D99"/>
  <c r="B99"/>
  <c r="A99"/>
  <c r="H121"/>
  <c r="G121"/>
  <c r="D121"/>
  <c r="B121"/>
  <c r="A121"/>
  <c r="H120"/>
  <c r="G120"/>
  <c r="D120"/>
  <c r="B120"/>
  <c r="A120"/>
  <c r="H78"/>
  <c r="G78"/>
  <c r="D78"/>
  <c r="B78"/>
  <c r="A78"/>
  <c r="H77"/>
  <c r="G77"/>
  <c r="D77"/>
  <c r="B77"/>
  <c r="A77"/>
  <c r="H119"/>
  <c r="G119"/>
  <c r="D119"/>
  <c r="B119"/>
  <c r="A119"/>
  <c r="H118"/>
  <c r="G118"/>
  <c r="D118"/>
  <c r="B118"/>
  <c r="A118"/>
  <c r="D26"/>
  <c r="B26"/>
  <c r="A26"/>
  <c r="H117"/>
  <c r="G117"/>
  <c r="D117"/>
  <c r="B117"/>
  <c r="A117"/>
  <c r="H19"/>
  <c r="G19"/>
  <c r="D19"/>
  <c r="B19"/>
  <c r="A19"/>
  <c r="H116"/>
  <c r="G116"/>
  <c r="D116"/>
  <c r="B116"/>
  <c r="A116"/>
  <c r="H55"/>
  <c r="G55"/>
  <c r="D55"/>
  <c r="B55"/>
  <c r="A55"/>
  <c r="H5"/>
  <c r="G5"/>
  <c r="D5"/>
  <c r="B5"/>
  <c r="A5"/>
  <c r="H37"/>
  <c r="G37"/>
  <c r="D37"/>
  <c r="B37"/>
  <c r="A37"/>
  <c r="H115"/>
  <c r="G115"/>
  <c r="D115"/>
  <c r="B115"/>
  <c r="A115"/>
  <c r="H60"/>
  <c r="G60"/>
  <c r="D60"/>
  <c r="B60"/>
  <c r="A60"/>
  <c r="H114"/>
  <c r="G114"/>
  <c r="D114"/>
  <c r="B114"/>
  <c r="A114"/>
  <c r="H6"/>
  <c r="G6"/>
  <c r="D6"/>
  <c r="B6"/>
  <c r="A6"/>
  <c r="H50"/>
  <c r="G50"/>
  <c r="D50"/>
  <c r="B50"/>
  <c r="A50"/>
  <c r="H84"/>
  <c r="G84"/>
  <c r="D84"/>
  <c r="B84"/>
  <c r="A84"/>
  <c r="H113"/>
  <c r="G113"/>
  <c r="D113"/>
  <c r="B113"/>
  <c r="A113"/>
  <c r="H112"/>
  <c r="G112"/>
  <c r="D112"/>
  <c r="B112"/>
  <c r="A112"/>
  <c r="H14"/>
  <c r="G14"/>
  <c r="D14"/>
  <c r="B14"/>
  <c r="A14"/>
  <c r="H82"/>
  <c r="G82"/>
  <c r="D82"/>
  <c r="B82"/>
  <c r="A82"/>
  <c r="H89"/>
  <c r="G89"/>
  <c r="D89"/>
  <c r="B89"/>
  <c r="A89"/>
  <c r="H21"/>
  <c r="G21"/>
  <c r="D21"/>
  <c r="B21"/>
  <c r="A21"/>
  <c r="H76"/>
  <c r="G76"/>
  <c r="D76"/>
  <c r="B76"/>
  <c r="A76"/>
  <c r="H49"/>
  <c r="G49"/>
  <c r="D49"/>
  <c r="B49"/>
  <c r="A49"/>
  <c r="H18"/>
  <c r="G18"/>
  <c r="D18"/>
  <c r="B18"/>
  <c r="A18"/>
  <c r="H86"/>
  <c r="G86"/>
  <c r="D86"/>
  <c r="B86"/>
  <c r="A86"/>
  <c r="H72"/>
  <c r="G72"/>
  <c r="D72"/>
  <c r="B72"/>
  <c r="A72"/>
  <c r="H33"/>
  <c r="G33"/>
  <c r="D33"/>
  <c r="B33"/>
  <c r="A33"/>
  <c r="H17"/>
  <c r="G17"/>
  <c r="D17"/>
  <c r="B17"/>
  <c r="A17"/>
  <c r="H31"/>
  <c r="G31"/>
  <c r="D31"/>
  <c r="B31"/>
  <c r="A31"/>
  <c r="H30"/>
  <c r="G30"/>
  <c r="D30"/>
  <c r="B30"/>
  <c r="A30"/>
  <c r="H74"/>
  <c r="G74"/>
  <c r="D74"/>
  <c r="B74"/>
  <c r="A74"/>
  <c r="H111"/>
  <c r="G111"/>
  <c r="D111"/>
  <c r="B111"/>
  <c r="A111"/>
  <c r="H94"/>
  <c r="G94"/>
  <c r="D94"/>
  <c r="B94"/>
  <c r="A94"/>
  <c r="H110"/>
  <c r="G110"/>
  <c r="D110"/>
  <c r="B110"/>
  <c r="A110"/>
  <c r="H109"/>
  <c r="G109"/>
  <c r="D109"/>
  <c r="B109"/>
  <c r="A109"/>
  <c r="H108"/>
  <c r="G108"/>
  <c r="D108"/>
  <c r="B108"/>
  <c r="A108"/>
  <c r="H48"/>
  <c r="G48"/>
  <c r="D48"/>
  <c r="B48"/>
  <c r="A48"/>
  <c r="H52"/>
  <c r="G52"/>
  <c r="D52"/>
  <c r="B52"/>
  <c r="A52"/>
  <c r="H107"/>
  <c r="G107"/>
  <c r="D107"/>
  <c r="B107"/>
  <c r="A107"/>
  <c r="H41"/>
  <c r="G41"/>
  <c r="D41"/>
  <c r="B41"/>
  <c r="A41"/>
  <c r="H71"/>
  <c r="G71"/>
  <c r="D71"/>
  <c r="B71"/>
  <c r="A71"/>
  <c r="H66"/>
  <c r="G66"/>
  <c r="D66"/>
  <c r="B66"/>
  <c r="A66"/>
  <c r="H95"/>
  <c r="G95"/>
  <c r="D95"/>
  <c r="B95"/>
  <c r="A95"/>
  <c r="H64"/>
  <c r="G64"/>
  <c r="D64"/>
  <c r="B64"/>
  <c r="A64"/>
  <c r="H12"/>
  <c r="G12"/>
  <c r="D12"/>
  <c r="B12"/>
  <c r="A12"/>
  <c r="H90"/>
  <c r="G90"/>
  <c r="D90"/>
  <c r="B90"/>
  <c r="A90"/>
  <c r="H47"/>
  <c r="G47"/>
  <c r="D47"/>
  <c r="B47"/>
  <c r="A47"/>
  <c r="H59"/>
  <c r="G59"/>
  <c r="D59"/>
  <c r="B59"/>
  <c r="A59"/>
  <c r="H98"/>
  <c r="G98"/>
  <c r="D98"/>
  <c r="B98"/>
  <c r="A98"/>
  <c r="H97"/>
  <c r="G97"/>
  <c r="D97"/>
  <c r="B97"/>
  <c r="A97"/>
  <c r="H106"/>
  <c r="G106"/>
  <c r="D106"/>
  <c r="B106"/>
  <c r="A106"/>
  <c r="H69"/>
  <c r="G69"/>
  <c r="D69"/>
  <c r="B69"/>
  <c r="A69"/>
  <c r="H34"/>
  <c r="G34"/>
  <c r="D34"/>
  <c r="B34"/>
  <c r="A34"/>
  <c r="H22"/>
  <c r="G22"/>
  <c r="D22"/>
  <c r="B22"/>
  <c r="A22"/>
  <c r="H63"/>
  <c r="G63"/>
  <c r="D63"/>
  <c r="B63"/>
  <c r="A63"/>
  <c r="H45"/>
  <c r="G45"/>
  <c r="D45"/>
  <c r="B45"/>
  <c r="A45"/>
  <c r="H62"/>
  <c r="G62"/>
  <c r="D62"/>
  <c r="B62"/>
  <c r="A62"/>
  <c r="H43"/>
  <c r="G43"/>
  <c r="D43"/>
  <c r="B43"/>
  <c r="A43"/>
  <c r="H65"/>
  <c r="G65"/>
  <c r="D65"/>
  <c r="B65"/>
  <c r="A65"/>
  <c r="H44"/>
  <c r="G44"/>
  <c r="D44"/>
  <c r="B44"/>
  <c r="A44"/>
  <c r="H81"/>
  <c r="G81"/>
  <c r="D81"/>
  <c r="B81"/>
  <c r="A81"/>
  <c r="H105"/>
  <c r="G105"/>
  <c r="D105"/>
  <c r="B105"/>
  <c r="A105"/>
  <c r="H23"/>
  <c r="G23"/>
  <c r="D23"/>
  <c r="B23"/>
  <c r="A23"/>
  <c r="H104"/>
  <c r="G104"/>
  <c r="D104"/>
  <c r="B104"/>
  <c r="A104"/>
  <c r="G33" i="20"/>
  <c r="D33"/>
  <c r="B33"/>
  <c r="A33"/>
  <c r="G30"/>
  <c r="D30"/>
  <c r="B30"/>
  <c r="A30"/>
  <c r="G37"/>
  <c r="D37"/>
  <c r="B37"/>
  <c r="A37"/>
  <c r="G98"/>
  <c r="D98"/>
  <c r="B98"/>
  <c r="A98"/>
  <c r="G97"/>
  <c r="D97"/>
  <c r="B97"/>
  <c r="A97"/>
  <c r="G93"/>
  <c r="D93"/>
  <c r="B93"/>
  <c r="A93"/>
  <c r="G65"/>
  <c r="D65"/>
  <c r="B65"/>
  <c r="A65"/>
  <c r="G70"/>
  <c r="D70"/>
  <c r="B70"/>
  <c r="A70"/>
  <c r="G92"/>
  <c r="D92"/>
  <c r="B92"/>
  <c r="A92"/>
  <c r="G13"/>
  <c r="D13"/>
  <c r="B13"/>
  <c r="G134"/>
  <c r="D134"/>
  <c r="B134"/>
  <c r="A134"/>
  <c r="G24"/>
  <c r="D24"/>
  <c r="B24"/>
  <c r="A24"/>
  <c r="G99"/>
  <c r="D99"/>
  <c r="B99"/>
  <c r="A99"/>
  <c r="G133"/>
  <c r="D133"/>
  <c r="B133"/>
  <c r="A133"/>
  <c r="G21"/>
  <c r="D21"/>
  <c r="B21"/>
  <c r="A21"/>
  <c r="G80"/>
  <c r="D80"/>
  <c r="B80"/>
  <c r="A80"/>
  <c r="G132"/>
  <c r="D132"/>
  <c r="B132"/>
  <c r="A132"/>
  <c r="G131"/>
  <c r="D131"/>
  <c r="B131"/>
  <c r="A131"/>
  <c r="G130"/>
  <c r="D130"/>
  <c r="B130"/>
  <c r="A130"/>
  <c r="G129"/>
  <c r="D129"/>
  <c r="B129"/>
  <c r="A129"/>
  <c r="G12"/>
  <c r="D12"/>
  <c r="B12"/>
  <c r="G86"/>
  <c r="D86"/>
  <c r="B86"/>
  <c r="A86"/>
  <c r="G62"/>
  <c r="D62"/>
  <c r="B62"/>
  <c r="A62"/>
  <c r="G73"/>
  <c r="D73"/>
  <c r="B73"/>
  <c r="A73"/>
  <c r="G85"/>
  <c r="D85"/>
  <c r="B85"/>
  <c r="A85"/>
  <c r="G39"/>
  <c r="D39"/>
  <c r="B39"/>
  <c r="A39"/>
  <c r="G104"/>
  <c r="D104"/>
  <c r="B104"/>
  <c r="A104"/>
  <c r="G128"/>
  <c r="D128"/>
  <c r="B128"/>
  <c r="A128"/>
  <c r="G127"/>
  <c r="D127"/>
  <c r="B127"/>
  <c r="A127"/>
  <c r="G11"/>
  <c r="D11"/>
  <c r="B11"/>
  <c r="A11"/>
  <c r="G10"/>
  <c r="D10"/>
  <c r="B10"/>
  <c r="G9"/>
  <c r="D9"/>
  <c r="B9"/>
  <c r="A9"/>
  <c r="G89"/>
  <c r="D89"/>
  <c r="B89"/>
  <c r="A89"/>
  <c r="G59"/>
  <c r="D59"/>
  <c r="B59"/>
  <c r="A59"/>
  <c r="G63"/>
  <c r="D63"/>
  <c r="B63"/>
  <c r="A63"/>
  <c r="G51"/>
  <c r="D51"/>
  <c r="B51"/>
  <c r="A51"/>
  <c r="G15"/>
  <c r="D15"/>
  <c r="B15"/>
  <c r="A15"/>
  <c r="G8"/>
  <c r="D8"/>
  <c r="B8"/>
  <c r="G36"/>
  <c r="D36"/>
  <c r="B36"/>
  <c r="A36"/>
  <c r="G47"/>
  <c r="D47"/>
  <c r="B47"/>
  <c r="A47"/>
  <c r="G126"/>
  <c r="D126"/>
  <c r="B126"/>
  <c r="A126"/>
  <c r="G125"/>
  <c r="D125"/>
  <c r="B125"/>
  <c r="A125"/>
  <c r="G7"/>
  <c r="D7"/>
  <c r="B7"/>
  <c r="G84"/>
  <c r="D84"/>
  <c r="B84"/>
  <c r="A84"/>
  <c r="G87"/>
  <c r="D87"/>
  <c r="B87"/>
  <c r="A87"/>
  <c r="G19"/>
  <c r="D19"/>
  <c r="B19"/>
  <c r="A19"/>
  <c r="G124"/>
  <c r="D124"/>
  <c r="B124"/>
  <c r="A124"/>
  <c r="G42"/>
  <c r="D42"/>
  <c r="B42"/>
  <c r="A42"/>
  <c r="G123"/>
  <c r="D123"/>
  <c r="B123"/>
  <c r="A123"/>
  <c r="G94"/>
  <c r="D94"/>
  <c r="B94"/>
  <c r="A94"/>
  <c r="G6"/>
  <c r="D6"/>
  <c r="B6"/>
  <c r="A6"/>
  <c r="G49"/>
  <c r="D49"/>
  <c r="B49"/>
  <c r="A49"/>
  <c r="G75"/>
  <c r="D75"/>
  <c r="B75"/>
  <c r="A75"/>
  <c r="G91"/>
  <c r="D91"/>
  <c r="B91"/>
  <c r="A91"/>
  <c r="G82"/>
  <c r="D82"/>
  <c r="B82"/>
  <c r="A82"/>
  <c r="G122"/>
  <c r="D122"/>
  <c r="B122"/>
  <c r="A122"/>
  <c r="G5"/>
  <c r="D5"/>
  <c r="B5"/>
  <c r="A5"/>
  <c r="G90"/>
  <c r="D90"/>
  <c r="B90"/>
  <c r="A90"/>
  <c r="G83"/>
  <c r="D83"/>
  <c r="B83"/>
  <c r="A83"/>
  <c r="G32"/>
  <c r="D32"/>
  <c r="B32"/>
  <c r="A32"/>
  <c r="G18"/>
  <c r="D18"/>
  <c r="B18"/>
  <c r="A18"/>
  <c r="G50"/>
  <c r="D50"/>
  <c r="B50"/>
  <c r="A50"/>
  <c r="G35"/>
  <c r="D35"/>
  <c r="B35"/>
  <c r="A35"/>
  <c r="G100"/>
  <c r="D100"/>
  <c r="B100"/>
  <c r="A100"/>
  <c r="G121"/>
  <c r="D121"/>
  <c r="B121"/>
  <c r="A121"/>
  <c r="G23"/>
  <c r="D23"/>
  <c r="B23"/>
  <c r="A23"/>
  <c r="G120"/>
  <c r="D120"/>
  <c r="B120"/>
  <c r="A120"/>
  <c r="G20"/>
  <c r="D20"/>
  <c r="B20"/>
  <c r="A20"/>
  <c r="G26"/>
  <c r="D26"/>
  <c r="B26"/>
  <c r="A26"/>
  <c r="G69"/>
  <c r="D69"/>
  <c r="B69"/>
  <c r="A69"/>
  <c r="G77"/>
  <c r="D77"/>
  <c r="B77"/>
  <c r="A77"/>
  <c r="G64"/>
  <c r="D64"/>
  <c r="B64"/>
  <c r="A64"/>
  <c r="G16"/>
  <c r="D16"/>
  <c r="B16"/>
  <c r="A16"/>
  <c r="G119"/>
  <c r="D119"/>
  <c r="B119"/>
  <c r="A119"/>
  <c r="G118"/>
  <c r="D118"/>
  <c r="B118"/>
  <c r="A118"/>
  <c r="G53"/>
  <c r="D53"/>
  <c r="B53"/>
  <c r="A53"/>
  <c r="G76"/>
  <c r="D76"/>
  <c r="B76"/>
  <c r="A76"/>
  <c r="G81"/>
  <c r="D81"/>
  <c r="B81"/>
  <c r="A81"/>
  <c r="G55"/>
  <c r="D55"/>
  <c r="B55"/>
  <c r="A55"/>
  <c r="G17"/>
  <c r="D17"/>
  <c r="B17"/>
  <c r="A17"/>
  <c r="G117"/>
  <c r="D117"/>
  <c r="B117"/>
  <c r="A117"/>
  <c r="G116"/>
  <c r="D116"/>
  <c r="B116"/>
  <c r="A116"/>
  <c r="G41"/>
  <c r="D41"/>
  <c r="B41"/>
  <c r="A41"/>
  <c r="G103"/>
  <c r="D103"/>
  <c r="B103"/>
  <c r="A103"/>
  <c r="G115"/>
  <c r="D115"/>
  <c r="B115"/>
  <c r="A115"/>
  <c r="G67"/>
  <c r="D67"/>
  <c r="B67"/>
  <c r="A67"/>
  <c r="G31"/>
  <c r="D31"/>
  <c r="B31"/>
  <c r="A31"/>
  <c r="G79"/>
  <c r="D79"/>
  <c r="B79"/>
  <c r="A79"/>
  <c r="G52"/>
  <c r="D52"/>
  <c r="B52"/>
  <c r="A52"/>
  <c r="G114"/>
  <c r="D114"/>
  <c r="B114"/>
  <c r="A114"/>
  <c r="G102"/>
  <c r="D102"/>
  <c r="B102"/>
  <c r="A102"/>
  <c r="G60"/>
  <c r="D60"/>
  <c r="B60"/>
  <c r="A60"/>
  <c r="G66"/>
  <c r="D66"/>
  <c r="B66"/>
  <c r="A66"/>
  <c r="G113"/>
  <c r="D113"/>
  <c r="B113"/>
  <c r="A113"/>
  <c r="G14"/>
  <c r="D14"/>
  <c r="B14"/>
  <c r="A14"/>
  <c r="G38"/>
  <c r="D38"/>
  <c r="B38"/>
  <c r="A38"/>
  <c r="G25"/>
  <c r="D25"/>
  <c r="B25"/>
  <c r="A25"/>
  <c r="G71"/>
  <c r="D71"/>
  <c r="B71"/>
  <c r="A71"/>
  <c r="G112"/>
  <c r="D112"/>
  <c r="B112"/>
  <c r="A112"/>
  <c r="G43"/>
  <c r="D43"/>
  <c r="B43"/>
  <c r="A43"/>
  <c r="G54"/>
  <c r="D54"/>
  <c r="B54"/>
  <c r="A54"/>
  <c r="G34"/>
  <c r="D34"/>
  <c r="B34"/>
  <c r="A34"/>
  <c r="G57"/>
  <c r="D57"/>
  <c r="B57"/>
  <c r="A57"/>
  <c r="G56"/>
  <c r="D56"/>
  <c r="B56"/>
  <c r="A56"/>
  <c r="G111"/>
  <c r="D111"/>
  <c r="B111"/>
  <c r="A111"/>
  <c r="G22"/>
  <c r="D22"/>
  <c r="B22"/>
  <c r="A22"/>
  <c r="G61"/>
  <c r="D61"/>
  <c r="B61"/>
  <c r="A61"/>
  <c r="G110"/>
  <c r="D110"/>
  <c r="B110"/>
  <c r="A110"/>
  <c r="G46"/>
  <c r="D46"/>
  <c r="B46"/>
  <c r="A46"/>
  <c r="G101"/>
  <c r="D101"/>
  <c r="B101"/>
  <c r="A101"/>
  <c r="G58"/>
  <c r="D58"/>
  <c r="B58"/>
  <c r="A58"/>
  <c r="G109"/>
  <c r="D109"/>
  <c r="B109"/>
  <c r="A109"/>
  <c r="G96"/>
  <c r="D96"/>
  <c r="B96"/>
  <c r="A96"/>
  <c r="G95"/>
  <c r="D95"/>
  <c r="B95"/>
  <c r="A95"/>
  <c r="G44"/>
  <c r="D44"/>
  <c r="B44"/>
  <c r="A44"/>
  <c r="G40"/>
  <c r="D40"/>
  <c r="B40"/>
  <c r="A40"/>
  <c r="G108"/>
  <c r="D108"/>
  <c r="B108"/>
  <c r="A108"/>
  <c r="G27"/>
  <c r="D27"/>
  <c r="B27"/>
  <c r="A27"/>
  <c r="G78"/>
  <c r="D78"/>
  <c r="B78"/>
  <c r="A78"/>
  <c r="G68"/>
  <c r="D68"/>
  <c r="B68"/>
  <c r="A68"/>
  <c r="G107"/>
  <c r="D107"/>
  <c r="B107"/>
  <c r="A107"/>
  <c r="G29"/>
  <c r="D29"/>
  <c r="B29"/>
  <c r="A29"/>
  <c r="G28"/>
  <c r="D28"/>
  <c r="B28"/>
  <c r="A28"/>
  <c r="G48"/>
  <c r="D48"/>
  <c r="B48"/>
  <c r="A48"/>
  <c r="G88"/>
  <c r="D88"/>
  <c r="B88"/>
  <c r="A88"/>
  <c r="G106"/>
  <c r="D106"/>
  <c r="B106"/>
  <c r="A106"/>
  <c r="G74"/>
  <c r="D74"/>
  <c r="B74"/>
  <c r="A74"/>
  <c r="G45"/>
  <c r="D45"/>
  <c r="B45"/>
  <c r="A45"/>
  <c r="G72"/>
  <c r="D72"/>
  <c r="B72"/>
  <c r="A72"/>
  <c r="G105"/>
  <c r="D105"/>
  <c r="B105"/>
  <c r="A105"/>
  <c r="F133" i="18"/>
  <c r="F27"/>
  <c r="F44"/>
  <c r="F11"/>
  <c r="F132"/>
  <c r="F97"/>
  <c r="F70"/>
  <c r="F86"/>
  <c r="F92"/>
  <c r="F10"/>
  <c r="F31"/>
  <c r="F20"/>
  <c r="F131"/>
  <c r="F130"/>
  <c r="F24"/>
  <c r="F45"/>
  <c r="F118"/>
  <c r="F73"/>
  <c r="F75"/>
  <c r="F129"/>
  <c r="F9"/>
  <c r="F113"/>
  <c r="F66"/>
  <c r="F40"/>
  <c r="F110"/>
  <c r="F42"/>
  <c r="F104"/>
  <c r="F128"/>
  <c r="F127"/>
  <c r="F105"/>
  <c r="F8"/>
  <c r="F103"/>
  <c r="F102"/>
  <c r="F67"/>
  <c r="F100"/>
  <c r="F52"/>
  <c r="F23"/>
  <c r="F7"/>
  <c r="F80"/>
  <c r="F60"/>
  <c r="F94"/>
  <c r="F58"/>
  <c r="F6"/>
  <c r="F95"/>
  <c r="F126"/>
  <c r="F33"/>
  <c r="F125"/>
  <c r="F38"/>
  <c r="F16"/>
  <c r="F85"/>
  <c r="F84"/>
  <c r="F28"/>
  <c r="F54"/>
  <c r="F63"/>
  <c r="F93"/>
  <c r="F124"/>
  <c r="F78"/>
  <c r="F77"/>
  <c r="F87"/>
  <c r="F30"/>
  <c r="F134"/>
  <c r="F123"/>
  <c r="F32"/>
  <c r="F55"/>
  <c r="F122"/>
  <c r="F18"/>
  <c r="F121"/>
  <c r="F17"/>
  <c r="F19"/>
  <c r="F41"/>
  <c r="F76"/>
  <c r="F71"/>
  <c r="F14"/>
  <c r="F61"/>
  <c r="F65"/>
  <c r="F62"/>
  <c r="F89"/>
  <c r="F57"/>
  <c r="F82"/>
  <c r="F15"/>
  <c r="F26"/>
  <c r="F53"/>
  <c r="F37"/>
  <c r="F51"/>
  <c r="F34"/>
  <c r="F120"/>
  <c r="F119"/>
  <c r="F47"/>
  <c r="F64"/>
  <c r="F88"/>
  <c r="F48"/>
  <c r="F43"/>
  <c r="F79"/>
  <c r="F69"/>
  <c r="F12"/>
  <c r="F117"/>
  <c r="F29"/>
  <c r="F83"/>
  <c r="F49"/>
  <c r="F35"/>
  <c r="F39"/>
  <c r="F25"/>
  <c r="F56"/>
  <c r="F74"/>
  <c r="F116"/>
  <c r="F22"/>
  <c r="F72"/>
  <c r="F115"/>
  <c r="F50"/>
  <c r="F101"/>
  <c r="F59"/>
  <c r="F114"/>
  <c r="F99"/>
  <c r="F98"/>
  <c r="F21"/>
  <c r="F112"/>
  <c r="F111"/>
  <c r="F109"/>
  <c r="F90"/>
  <c r="F46"/>
  <c r="F108"/>
  <c r="F13"/>
  <c r="F107"/>
  <c r="F106"/>
  <c r="F68"/>
  <c r="F81"/>
  <c r="F91"/>
  <c r="F36"/>
  <c r="F96"/>
  <c r="F5"/>
  <c r="D133"/>
  <c r="B133"/>
  <c r="A133"/>
  <c r="D27"/>
  <c r="B27"/>
  <c r="A27"/>
  <c r="D44"/>
  <c r="B44"/>
  <c r="A44"/>
  <c r="D11"/>
  <c r="B11"/>
  <c r="A11"/>
  <c r="D132"/>
  <c r="B132"/>
  <c r="A132"/>
  <c r="D97"/>
  <c r="B97"/>
  <c r="A97"/>
  <c r="D70"/>
  <c r="B70"/>
  <c r="A70"/>
  <c r="D86"/>
  <c r="B86"/>
  <c r="A86"/>
  <c r="D92"/>
  <c r="B92"/>
  <c r="A92"/>
  <c r="D10"/>
  <c r="B10"/>
  <c r="A10"/>
  <c r="D31"/>
  <c r="B31"/>
  <c r="A31"/>
  <c r="D20"/>
  <c r="B20"/>
  <c r="A20"/>
  <c r="D131"/>
  <c r="B131"/>
  <c r="A131"/>
  <c r="D130"/>
  <c r="B130"/>
  <c r="A130"/>
  <c r="D24"/>
  <c r="B24"/>
  <c r="A24"/>
  <c r="D45"/>
  <c r="B45"/>
  <c r="A45"/>
  <c r="D118"/>
  <c r="B118"/>
  <c r="A118"/>
  <c r="D73"/>
  <c r="B73"/>
  <c r="A73"/>
  <c r="D75"/>
  <c r="B75"/>
  <c r="A75"/>
  <c r="D129"/>
  <c r="B129"/>
  <c r="A129"/>
  <c r="D9"/>
  <c r="B9"/>
  <c r="A9"/>
  <c r="D113"/>
  <c r="B113"/>
  <c r="A113"/>
  <c r="D66"/>
  <c r="B66"/>
  <c r="A66"/>
  <c r="D40"/>
  <c r="B40"/>
  <c r="A40"/>
  <c r="D110"/>
  <c r="B110"/>
  <c r="A110"/>
  <c r="D42"/>
  <c r="B42"/>
  <c r="A42"/>
  <c r="D104"/>
  <c r="B104"/>
  <c r="A104"/>
  <c r="D128"/>
  <c r="B128"/>
  <c r="A128"/>
  <c r="D127"/>
  <c r="B127"/>
  <c r="A127"/>
  <c r="D105"/>
  <c r="B105"/>
  <c r="A105"/>
  <c r="D8"/>
  <c r="B8"/>
  <c r="A8"/>
  <c r="D103"/>
  <c r="B103"/>
  <c r="A103"/>
  <c r="D102"/>
  <c r="B102"/>
  <c r="A102"/>
  <c r="D67"/>
  <c r="B67"/>
  <c r="A67"/>
  <c r="D100"/>
  <c r="B100"/>
  <c r="A100"/>
  <c r="D52"/>
  <c r="B52"/>
  <c r="A52"/>
  <c r="D23"/>
  <c r="B23"/>
  <c r="A23"/>
  <c r="D7"/>
  <c r="B7"/>
  <c r="A7"/>
  <c r="D80"/>
  <c r="B80"/>
  <c r="A80"/>
  <c r="D60"/>
  <c r="B60"/>
  <c r="A60"/>
  <c r="D94"/>
  <c r="B94"/>
  <c r="A94"/>
  <c r="D58"/>
  <c r="B58"/>
  <c r="A58"/>
  <c r="D6"/>
  <c r="B6"/>
  <c r="A6"/>
  <c r="D95"/>
  <c r="B95"/>
  <c r="A95"/>
  <c r="D126"/>
  <c r="B126"/>
  <c r="A126"/>
  <c r="D33"/>
  <c r="B33"/>
  <c r="A33"/>
  <c r="D125"/>
  <c r="B125"/>
  <c r="A125"/>
  <c r="D38"/>
  <c r="B38"/>
  <c r="A38"/>
  <c r="D16"/>
  <c r="B16"/>
  <c r="A16"/>
  <c r="D85"/>
  <c r="B85"/>
  <c r="A85"/>
  <c r="D84"/>
  <c r="B84"/>
  <c r="A84"/>
  <c r="D28"/>
  <c r="B28"/>
  <c r="A28"/>
  <c r="D54"/>
  <c r="B54"/>
  <c r="A54"/>
  <c r="D63"/>
  <c r="B63"/>
  <c r="A63"/>
  <c r="D93"/>
  <c r="B93"/>
  <c r="A93"/>
  <c r="D124"/>
  <c r="B124"/>
  <c r="A124"/>
  <c r="D78"/>
  <c r="B78"/>
  <c r="A78"/>
  <c r="D77"/>
  <c r="B77"/>
  <c r="A77"/>
  <c r="D87"/>
  <c r="B87"/>
  <c r="A87"/>
  <c r="D30"/>
  <c r="B30"/>
  <c r="A30"/>
  <c r="D134"/>
  <c r="B134"/>
  <c r="A134"/>
  <c r="D123"/>
  <c r="B123"/>
  <c r="A123"/>
  <c r="D32"/>
  <c r="B32"/>
  <c r="A32"/>
  <c r="D55"/>
  <c r="B55"/>
  <c r="A55"/>
  <c r="D122"/>
  <c r="B122"/>
  <c r="A122"/>
  <c r="D18"/>
  <c r="B18"/>
  <c r="A18"/>
  <c r="D121"/>
  <c r="B121"/>
  <c r="A121"/>
  <c r="D17"/>
  <c r="B17"/>
  <c r="A17"/>
  <c r="D19"/>
  <c r="B19"/>
  <c r="A19"/>
  <c r="D41"/>
  <c r="B41"/>
  <c r="A41"/>
  <c r="D76"/>
  <c r="B76"/>
  <c r="A76"/>
  <c r="D71"/>
  <c r="B71"/>
  <c r="A71"/>
  <c r="D14"/>
  <c r="B14"/>
  <c r="A14"/>
  <c r="D61"/>
  <c r="B61"/>
  <c r="A61"/>
  <c r="D65"/>
  <c r="B65"/>
  <c r="A65"/>
  <c r="D62"/>
  <c r="B62"/>
  <c r="A62"/>
  <c r="D89"/>
  <c r="B89"/>
  <c r="A89"/>
  <c r="D57"/>
  <c r="B57"/>
  <c r="A57"/>
  <c r="D82"/>
  <c r="B82"/>
  <c r="A82"/>
  <c r="D15"/>
  <c r="B15"/>
  <c r="A15"/>
  <c r="D26"/>
  <c r="B26"/>
  <c r="A26"/>
  <c r="D53"/>
  <c r="B53"/>
  <c r="A53"/>
  <c r="D37"/>
  <c r="B37"/>
  <c r="A37"/>
  <c r="D51"/>
  <c r="B51"/>
  <c r="A51"/>
  <c r="D34"/>
  <c r="B34"/>
  <c r="A34"/>
  <c r="D120"/>
  <c r="B120"/>
  <c r="A120"/>
  <c r="D119"/>
  <c r="B119"/>
  <c r="A119"/>
  <c r="D47"/>
  <c r="B47"/>
  <c r="A47"/>
  <c r="D64"/>
  <c r="B64"/>
  <c r="A64"/>
  <c r="D88"/>
  <c r="B88"/>
  <c r="A88"/>
  <c r="D48"/>
  <c r="B48"/>
  <c r="A48"/>
  <c r="D43"/>
  <c r="B43"/>
  <c r="A43"/>
  <c r="D79"/>
  <c r="B79"/>
  <c r="A79"/>
  <c r="D69"/>
  <c r="B69"/>
  <c r="A69"/>
  <c r="D12"/>
  <c r="B12"/>
  <c r="A12"/>
  <c r="D117"/>
  <c r="B117"/>
  <c r="A117"/>
  <c r="D29"/>
  <c r="B29"/>
  <c r="A29"/>
  <c r="D83"/>
  <c r="B83"/>
  <c r="A83"/>
  <c r="D49"/>
  <c r="B49"/>
  <c r="A49"/>
  <c r="D35"/>
  <c r="B35"/>
  <c r="A35"/>
  <c r="D39"/>
  <c r="B39"/>
  <c r="A39"/>
  <c r="D25"/>
  <c r="B25"/>
  <c r="A25"/>
  <c r="D56"/>
  <c r="B56"/>
  <c r="A56"/>
  <c r="D74"/>
  <c r="B74"/>
  <c r="A74"/>
  <c r="D116"/>
  <c r="B116"/>
  <c r="A116"/>
  <c r="D22"/>
  <c r="B22"/>
  <c r="A22"/>
  <c r="D72"/>
  <c r="B72"/>
  <c r="A72"/>
  <c r="D115"/>
  <c r="B115"/>
  <c r="A115"/>
  <c r="D50"/>
  <c r="B50"/>
  <c r="A50"/>
  <c r="D101"/>
  <c r="B101"/>
  <c r="A101"/>
  <c r="D59"/>
  <c r="B59"/>
  <c r="A59"/>
  <c r="D114"/>
  <c r="B114"/>
  <c r="A114"/>
  <c r="D99"/>
  <c r="B99"/>
  <c r="A99"/>
  <c r="D98"/>
  <c r="B98"/>
  <c r="A98"/>
  <c r="D21"/>
  <c r="B21"/>
  <c r="A21"/>
  <c r="D112"/>
  <c r="B112"/>
  <c r="A112"/>
  <c r="D111"/>
  <c r="B111"/>
  <c r="A111"/>
  <c r="D109"/>
  <c r="B109"/>
  <c r="A109"/>
  <c r="D90"/>
  <c r="B90"/>
  <c r="A90"/>
  <c r="D46"/>
  <c r="B46"/>
  <c r="A46"/>
  <c r="D108"/>
  <c r="B108"/>
  <c r="A108"/>
  <c r="D13"/>
  <c r="B13"/>
  <c r="A13"/>
  <c r="D107"/>
  <c r="B107"/>
  <c r="A107"/>
  <c r="D106"/>
  <c r="B106"/>
  <c r="A106"/>
  <c r="D68"/>
  <c r="B68"/>
  <c r="A68"/>
  <c r="D81"/>
  <c r="B81"/>
  <c r="A81"/>
  <c r="D91"/>
  <c r="B91"/>
  <c r="A91"/>
  <c r="D36"/>
  <c r="B36"/>
  <c r="A36"/>
  <c r="D96"/>
  <c r="B96"/>
  <c r="A96"/>
  <c r="D5"/>
  <c r="B5"/>
  <c r="A5"/>
  <c r="AE87" i="1"/>
  <c r="K32" i="24" l="1"/>
  <c r="E34"/>
  <c r="K40"/>
  <c r="E42"/>
  <c r="E36" i="18"/>
  <c r="E106"/>
  <c r="E46"/>
  <c r="E112"/>
  <c r="E114"/>
  <c r="E115"/>
  <c r="E74"/>
  <c r="E35"/>
  <c r="E117"/>
  <c r="E43"/>
  <c r="E47"/>
  <c r="E51"/>
  <c r="E15"/>
  <c r="E62"/>
  <c r="E71"/>
  <c r="E17"/>
  <c r="E55"/>
  <c r="E30"/>
  <c r="E124"/>
  <c r="E28"/>
  <c r="E38"/>
  <c r="E95"/>
  <c r="E60"/>
  <c r="E52"/>
  <c r="E103"/>
  <c r="E128"/>
  <c r="E40"/>
  <c r="E129"/>
  <c r="E45"/>
  <c r="E20"/>
  <c r="E86"/>
  <c r="E11"/>
  <c r="E47" i="24"/>
  <c r="E61"/>
  <c r="E117"/>
  <c r="E86"/>
  <c r="T92"/>
  <c r="E29" i="22"/>
  <c r="E17"/>
  <c r="E56"/>
  <c r="E95"/>
  <c r="E59"/>
  <c r="E79"/>
  <c r="E35"/>
  <c r="E97"/>
  <c r="E90"/>
  <c r="K51" i="24"/>
  <c r="K53"/>
  <c r="T68"/>
  <c r="K91"/>
  <c r="E126"/>
  <c r="T128"/>
  <c r="T132"/>
  <c r="E7"/>
  <c r="E11"/>
  <c r="T23"/>
  <c r="T29"/>
  <c r="T31"/>
  <c r="T37"/>
  <c r="T39"/>
  <c r="T45"/>
  <c r="T47"/>
  <c r="E71"/>
  <c r="T73"/>
  <c r="E75"/>
  <c r="T77"/>
  <c r="E79"/>
  <c r="T81"/>
  <c r="T85"/>
  <c r="E94"/>
  <c r="T96"/>
  <c r="T100"/>
  <c r="E63"/>
  <c r="E78"/>
  <c r="T80"/>
  <c r="T84"/>
  <c r="E99"/>
  <c r="T101"/>
  <c r="T112"/>
  <c r="T116"/>
  <c r="T129"/>
  <c r="T133"/>
  <c r="F35" i="23"/>
  <c r="E5" i="24"/>
  <c r="Q18"/>
  <c r="T20"/>
  <c r="E31"/>
  <c r="E43"/>
  <c r="Q53"/>
  <c r="E57"/>
  <c r="E59"/>
  <c r="Q61"/>
  <c r="E70"/>
  <c r="T72"/>
  <c r="E74"/>
  <c r="T76"/>
  <c r="E77"/>
  <c r="T89"/>
  <c r="T93"/>
  <c r="E102"/>
  <c r="T104"/>
  <c r="T108"/>
  <c r="E109"/>
  <c r="E119"/>
  <c r="T121"/>
  <c r="E123"/>
  <c r="T125"/>
  <c r="K130"/>
  <c r="E134"/>
  <c r="E65"/>
  <c r="E67"/>
  <c r="T69"/>
  <c r="E95"/>
  <c r="T97"/>
  <c r="E110"/>
  <c r="E55" i="22"/>
  <c r="E72"/>
  <c r="Q50" i="24"/>
  <c r="F65" i="11" s="1"/>
  <c r="E52" i="24"/>
  <c r="E69"/>
  <c r="K90"/>
  <c r="E101"/>
  <c r="K122"/>
  <c r="E133"/>
  <c r="T8"/>
  <c r="T16"/>
  <c r="E19"/>
  <c r="E21"/>
  <c r="K21"/>
  <c r="E27"/>
  <c r="T33"/>
  <c r="T35"/>
  <c r="E38"/>
  <c r="T49"/>
  <c r="E51"/>
  <c r="Q54"/>
  <c r="F67" i="11" s="1"/>
  <c r="E56" i="24"/>
  <c r="Q57"/>
  <c r="K59"/>
  <c r="K61"/>
  <c r="Q62"/>
  <c r="F43" i="11" s="1"/>
  <c r="E64" i="24"/>
  <c r="Q65"/>
  <c r="K67"/>
  <c r="K75"/>
  <c r="K99"/>
  <c r="K107"/>
  <c r="K123"/>
  <c r="K5"/>
  <c r="E20"/>
  <c r="E23"/>
  <c r="E39"/>
  <c r="E73"/>
  <c r="K78"/>
  <c r="E81"/>
  <c r="K86"/>
  <c r="T88"/>
  <c r="E89"/>
  <c r="K94"/>
  <c r="E97"/>
  <c r="K102"/>
  <c r="E105"/>
  <c r="K110"/>
  <c r="E113"/>
  <c r="K118"/>
  <c r="E121"/>
  <c r="K126"/>
  <c r="E129"/>
  <c r="K134"/>
  <c r="E5" i="18"/>
  <c r="E37" i="22"/>
  <c r="F112" i="23"/>
  <c r="E8" i="24"/>
  <c r="T12"/>
  <c r="E13"/>
  <c r="E16"/>
  <c r="T27"/>
  <c r="E30"/>
  <c r="E35"/>
  <c r="T41"/>
  <c r="T43"/>
  <c r="K44"/>
  <c r="E46"/>
  <c r="K55"/>
  <c r="K57"/>
  <c r="Q58"/>
  <c r="F47" i="11" s="1"/>
  <c r="E60" i="24"/>
  <c r="K63"/>
  <c r="K65"/>
  <c r="K71"/>
  <c r="E82"/>
  <c r="K87"/>
  <c r="E90"/>
  <c r="E98"/>
  <c r="K103"/>
  <c r="E106"/>
  <c r="E114"/>
  <c r="K119"/>
  <c r="E122"/>
  <c r="E130"/>
  <c r="T6"/>
  <c r="E16" i="11"/>
  <c r="K6" i="24"/>
  <c r="B16" i="11"/>
  <c r="G16" s="1"/>
  <c r="E6" i="24"/>
  <c r="T25"/>
  <c r="E50" i="11"/>
  <c r="K25" i="24"/>
  <c r="B50" i="11"/>
  <c r="G50" s="1"/>
  <c r="E25" i="24"/>
  <c r="K9"/>
  <c r="T10"/>
  <c r="B51" i="11"/>
  <c r="G51" s="1"/>
  <c r="K10" i="24"/>
  <c r="E51" i="11"/>
  <c r="E10" i="24"/>
  <c r="E121" i="22"/>
  <c r="E68"/>
  <c r="E83"/>
  <c r="K13" i="24"/>
  <c r="T14"/>
  <c r="B49" i="11"/>
  <c r="G49" s="1"/>
  <c r="E49"/>
  <c r="K14" i="24"/>
  <c r="E14"/>
  <c r="D8" i="11"/>
  <c r="E24" i="24"/>
  <c r="E109" i="22"/>
  <c r="E49"/>
  <c r="E88"/>
  <c r="E58"/>
  <c r="E43"/>
  <c r="Q6" i="24"/>
  <c r="F16" i="11" s="1"/>
  <c r="K17" i="24"/>
  <c r="Q25"/>
  <c r="F50" i="11" s="1"/>
  <c r="T18" i="24"/>
  <c r="K18"/>
  <c r="E18"/>
  <c r="F105" i="21"/>
  <c r="F43"/>
  <c r="F22"/>
  <c r="F97"/>
  <c r="F90"/>
  <c r="F66"/>
  <c r="F52"/>
  <c r="F110"/>
  <c r="F30"/>
  <c r="E30" i="22"/>
  <c r="K24" i="24"/>
  <c r="K7"/>
  <c r="Q8"/>
  <c r="F64" i="11" s="1"/>
  <c r="K11" i="24"/>
  <c r="Q12"/>
  <c r="F48" i="11" s="1"/>
  <c r="K15" i="24"/>
  <c r="Q16"/>
  <c r="F26" i="11" s="1"/>
  <c r="K19" i="24"/>
  <c r="Q20"/>
  <c r="F81" i="11" s="1"/>
  <c r="Q23" i="24"/>
  <c r="F73" i="11" s="1"/>
  <c r="K26" i="24"/>
  <c r="Q27"/>
  <c r="F52" i="11" s="1"/>
  <c r="E29" i="24"/>
  <c r="K30"/>
  <c r="Q31"/>
  <c r="F40" i="11" s="1"/>
  <c r="E33" i="24"/>
  <c r="K34"/>
  <c r="Q35"/>
  <c r="E37"/>
  <c r="K38"/>
  <c r="Q39"/>
  <c r="F22" i="11" s="1"/>
  <c r="E41" i="24"/>
  <c r="K42"/>
  <c r="Q43"/>
  <c r="E45"/>
  <c r="K46"/>
  <c r="Q47"/>
  <c r="E49"/>
  <c r="Q51"/>
  <c r="Q55"/>
  <c r="F39" i="11" s="1"/>
  <c r="Q59" i="24"/>
  <c r="Q63"/>
  <c r="Q66"/>
  <c r="F19" i="11" s="1"/>
  <c r="E68" i="24"/>
  <c r="K69"/>
  <c r="T70"/>
  <c r="Q70"/>
  <c r="F61" i="11" s="1"/>
  <c r="E72" i="24"/>
  <c r="K73"/>
  <c r="T74"/>
  <c r="Q74"/>
  <c r="E76"/>
  <c r="K77"/>
  <c r="T78"/>
  <c r="Q78"/>
  <c r="E80"/>
  <c r="K81"/>
  <c r="T82"/>
  <c r="Q82"/>
  <c r="F32" i="11" s="1"/>
  <c r="E84" i="24"/>
  <c r="K85"/>
  <c r="T86"/>
  <c r="Q86"/>
  <c r="F7" i="11" s="1"/>
  <c r="E88" i="24"/>
  <c r="K89"/>
  <c r="T90"/>
  <c r="Q90"/>
  <c r="F84" i="11" s="1"/>
  <c r="E92" i="24"/>
  <c r="K93"/>
  <c r="T94"/>
  <c r="Q94"/>
  <c r="E96"/>
  <c r="K97"/>
  <c r="T98"/>
  <c r="Q98"/>
  <c r="F30" i="11" s="1"/>
  <c r="E100" i="24"/>
  <c r="K101"/>
  <c r="T102"/>
  <c r="Q102"/>
  <c r="E104"/>
  <c r="K105"/>
  <c r="T106"/>
  <c r="Q106"/>
  <c r="F74" i="11" s="1"/>
  <c r="E108" i="24"/>
  <c r="K109"/>
  <c r="T110"/>
  <c r="Q110"/>
  <c r="E112"/>
  <c r="K113"/>
  <c r="T114"/>
  <c r="Q114"/>
  <c r="F71" i="11" s="1"/>
  <c r="E116" i="24"/>
  <c r="K117"/>
  <c r="T118"/>
  <c r="Q118"/>
  <c r="E120"/>
  <c r="K121"/>
  <c r="T122"/>
  <c r="Q122"/>
  <c r="F66" i="11" s="1"/>
  <c r="E124" i="24"/>
  <c r="K125"/>
  <c r="T126"/>
  <c r="Q126"/>
  <c r="F18" i="11" s="1"/>
  <c r="E128" i="24"/>
  <c r="K129"/>
  <c r="T130"/>
  <c r="Q130"/>
  <c r="F5" i="11" s="1"/>
  <c r="E132" i="24"/>
  <c r="K133"/>
  <c r="T134"/>
  <c r="Q134"/>
  <c r="F9" i="11" s="1"/>
  <c r="B26"/>
  <c r="G26" s="1"/>
  <c r="B46"/>
  <c r="B31"/>
  <c r="G31" s="1"/>
  <c r="B72"/>
  <c r="G72" s="1"/>
  <c r="B4"/>
  <c r="G4" s="1"/>
  <c r="B19"/>
  <c r="G19" s="1"/>
  <c r="B70"/>
  <c r="G70" s="1"/>
  <c r="B7"/>
  <c r="G7" s="1"/>
  <c r="B84"/>
  <c r="G84" s="1"/>
  <c r="B58"/>
  <c r="G58" s="1"/>
  <c r="B17"/>
  <c r="G17" s="1"/>
  <c r="B63"/>
  <c r="G63" s="1"/>
  <c r="B56"/>
  <c r="G56" s="1"/>
  <c r="B66"/>
  <c r="G66" s="1"/>
  <c r="B24"/>
  <c r="G24" s="1"/>
  <c r="B53"/>
  <c r="G53" s="1"/>
  <c r="D80"/>
  <c r="D37"/>
  <c r="D23"/>
  <c r="D38"/>
  <c r="D67"/>
  <c r="D28"/>
  <c r="D61"/>
  <c r="D32"/>
  <c r="D85"/>
  <c r="D71"/>
  <c r="D18"/>
  <c r="D5"/>
  <c r="D9"/>
  <c r="E81"/>
  <c r="E8"/>
  <c r="E57"/>
  <c r="E77"/>
  <c r="E12"/>
  <c r="E14"/>
  <c r="E39"/>
  <c r="E43"/>
  <c r="E82"/>
  <c r="E54"/>
  <c r="E62"/>
  <c r="E45"/>
  <c r="E30"/>
  <c r="E27"/>
  <c r="E76"/>
  <c r="E86"/>
  <c r="E42"/>
  <c r="E44"/>
  <c r="F86" i="23"/>
  <c r="F51"/>
  <c r="F60"/>
  <c r="T7" i="24"/>
  <c r="Q7"/>
  <c r="E9"/>
  <c r="T11"/>
  <c r="Q11"/>
  <c r="F33" i="11" s="1"/>
  <c r="T15" i="24"/>
  <c r="Q15"/>
  <c r="F15" i="11" s="1"/>
  <c r="E17" i="24"/>
  <c r="T19"/>
  <c r="Q19"/>
  <c r="F80" i="11" s="1"/>
  <c r="T26" i="24"/>
  <c r="Q26"/>
  <c r="F78" i="11" s="1"/>
  <c r="E28" i="24"/>
  <c r="K29"/>
  <c r="T30"/>
  <c r="Q30"/>
  <c r="E32"/>
  <c r="K33"/>
  <c r="T34"/>
  <c r="Q34"/>
  <c r="E36"/>
  <c r="K37"/>
  <c r="T38"/>
  <c r="Q38"/>
  <c r="F59" i="11" s="1"/>
  <c r="E40" i="24"/>
  <c r="K41"/>
  <c r="T42"/>
  <c r="Q42"/>
  <c r="F25" i="11" s="1"/>
  <c r="E44" i="24"/>
  <c r="K45"/>
  <c r="T46"/>
  <c r="Q46"/>
  <c r="F38" i="11" s="1"/>
  <c r="E48" i="24"/>
  <c r="K49"/>
  <c r="T53"/>
  <c r="E55"/>
  <c r="T57"/>
  <c r="T61"/>
  <c r="T65"/>
  <c r="K68"/>
  <c r="Q69"/>
  <c r="F60" i="11" s="1"/>
  <c r="K72" i="24"/>
  <c r="Q73"/>
  <c r="F82" i="11" s="1"/>
  <c r="K76" i="24"/>
  <c r="Q77"/>
  <c r="K80"/>
  <c r="Q81"/>
  <c r="F83" i="11" s="1"/>
  <c r="E83" i="24"/>
  <c r="K84"/>
  <c r="Q85"/>
  <c r="E87"/>
  <c r="K88"/>
  <c r="Q89"/>
  <c r="F62" i="11" s="1"/>
  <c r="E91" i="24"/>
  <c r="K92"/>
  <c r="Q93"/>
  <c r="F45" i="11" s="1"/>
  <c r="K96" i="24"/>
  <c r="Q97"/>
  <c r="F13" i="11" s="1"/>
  <c r="K100" i="24"/>
  <c r="Q101"/>
  <c r="F17" i="11" s="1"/>
  <c r="K104" i="24"/>
  <c r="Q105"/>
  <c r="E107"/>
  <c r="K108"/>
  <c r="Q109"/>
  <c r="F27" i="11" s="1"/>
  <c r="K112" i="24"/>
  <c r="Q113"/>
  <c r="E115"/>
  <c r="K116"/>
  <c r="Q117"/>
  <c r="F35" i="11" s="1"/>
  <c r="K120" i="24"/>
  <c r="Q121"/>
  <c r="F86" i="11" s="1"/>
  <c r="K124" i="24"/>
  <c r="Q125"/>
  <c r="F20" i="11" s="1"/>
  <c r="E127" i="24"/>
  <c r="K128"/>
  <c r="Q129"/>
  <c r="F41" i="11" s="1"/>
  <c r="E131" i="24"/>
  <c r="K132"/>
  <c r="Q133"/>
  <c r="F11" i="11" s="1"/>
  <c r="B15"/>
  <c r="G15" s="1"/>
  <c r="B81"/>
  <c r="G81" s="1"/>
  <c r="B12"/>
  <c r="G12" s="1"/>
  <c r="B82"/>
  <c r="G82" s="1"/>
  <c r="B62"/>
  <c r="G62" s="1"/>
  <c r="B45"/>
  <c r="G45" s="1"/>
  <c r="B30"/>
  <c r="G30" s="1"/>
  <c r="B27"/>
  <c r="G27" s="1"/>
  <c r="B86"/>
  <c r="G86" s="1"/>
  <c r="D69"/>
  <c r="D65"/>
  <c r="D47"/>
  <c r="D10"/>
  <c r="D75"/>
  <c r="D74"/>
  <c r="E34"/>
  <c r="E80"/>
  <c r="E73"/>
  <c r="E52"/>
  <c r="E37"/>
  <c r="E23"/>
  <c r="E38"/>
  <c r="E67"/>
  <c r="E28"/>
  <c r="E61"/>
  <c r="E32"/>
  <c r="E79"/>
  <c r="E6"/>
  <c r="E13"/>
  <c r="E85"/>
  <c r="E71"/>
  <c r="E68"/>
  <c r="E18"/>
  <c r="E5"/>
  <c r="E9"/>
  <c r="K28" i="24"/>
  <c r="Q29"/>
  <c r="F31" i="11" s="1"/>
  <c r="Q33" i="24"/>
  <c r="K36"/>
  <c r="Q37"/>
  <c r="Q41"/>
  <c r="F12" i="11" s="1"/>
  <c r="Q45" i="24"/>
  <c r="K48"/>
  <c r="Q49"/>
  <c r="F72" i="11" s="1"/>
  <c r="Q68" i="24"/>
  <c r="Q72"/>
  <c r="Q76"/>
  <c r="K79"/>
  <c r="Q80"/>
  <c r="K83"/>
  <c r="Q84"/>
  <c r="Q88"/>
  <c r="F79" i="11" s="1"/>
  <c r="Q92" i="24"/>
  <c r="F6" i="11" s="1"/>
  <c r="K95" i="24"/>
  <c r="Q96"/>
  <c r="F29" i="11" s="1"/>
  <c r="Q100" i="24"/>
  <c r="Q104"/>
  <c r="Q108"/>
  <c r="K111"/>
  <c r="Q112"/>
  <c r="F21" i="11" s="1"/>
  <c r="K115" i="24"/>
  <c r="Q116"/>
  <c r="F56" i="11" s="1"/>
  <c r="Q120" i="24"/>
  <c r="F68" i="11" s="1"/>
  <c r="Q124" i="24"/>
  <c r="K127"/>
  <c r="Q128"/>
  <c r="F24" i="11" s="1"/>
  <c r="K131" i="24"/>
  <c r="Q132"/>
  <c r="F53" i="11" s="1"/>
  <c r="B80"/>
  <c r="G80" s="1"/>
  <c r="B73"/>
  <c r="G73" s="1"/>
  <c r="B52"/>
  <c r="G52" s="1"/>
  <c r="B38"/>
  <c r="G38" s="1"/>
  <c r="B61"/>
  <c r="G61" s="1"/>
  <c r="B32"/>
  <c r="G32" s="1"/>
  <c r="B79"/>
  <c r="G79" s="1"/>
  <c r="B6"/>
  <c r="G6" s="1"/>
  <c r="B13"/>
  <c r="G13" s="1"/>
  <c r="B71"/>
  <c r="G71" s="1"/>
  <c r="B68"/>
  <c r="G68" s="1"/>
  <c r="B18"/>
  <c r="G18" s="1"/>
  <c r="B5"/>
  <c r="G5" s="1"/>
  <c r="B9"/>
  <c r="G9" s="1"/>
  <c r="D33"/>
  <c r="D59"/>
  <c r="D25"/>
  <c r="D4"/>
  <c r="D19"/>
  <c r="D7"/>
  <c r="D84"/>
  <c r="D66"/>
  <c r="E64"/>
  <c r="E48"/>
  <c r="E78"/>
  <c r="E40"/>
  <c r="E22"/>
  <c r="E65"/>
  <c r="E47"/>
  <c r="E60"/>
  <c r="E83"/>
  <c r="E29"/>
  <c r="E74"/>
  <c r="E21"/>
  <c r="E35"/>
  <c r="E20"/>
  <c r="E41"/>
  <c r="E11"/>
  <c r="F121" i="23"/>
  <c r="T5" i="24"/>
  <c r="Q5"/>
  <c r="K8"/>
  <c r="T9"/>
  <c r="Q9"/>
  <c r="F34" i="11" s="1"/>
  <c r="K12" i="24"/>
  <c r="T13"/>
  <c r="Q13"/>
  <c r="E15"/>
  <c r="K16"/>
  <c r="T17"/>
  <c r="Q17"/>
  <c r="F55" i="11" s="1"/>
  <c r="K20" i="24"/>
  <c r="T21"/>
  <c r="T22"/>
  <c r="K22"/>
  <c r="K23"/>
  <c r="T24"/>
  <c r="Q24"/>
  <c r="F8" i="11" s="1"/>
  <c r="E26" i="24"/>
  <c r="K27"/>
  <c r="T28"/>
  <c r="Q28"/>
  <c r="F57" i="11" s="1"/>
  <c r="K31" i="24"/>
  <c r="T32"/>
  <c r="Q32"/>
  <c r="F37" i="11" s="1"/>
  <c r="K35" i="24"/>
  <c r="T36"/>
  <c r="Q36"/>
  <c r="F77" i="11" s="1"/>
  <c r="K39" i="24"/>
  <c r="T40"/>
  <c r="Q40"/>
  <c r="F23" i="11" s="1"/>
  <c r="K43" i="24"/>
  <c r="T44"/>
  <c r="Q44"/>
  <c r="F69" i="11" s="1"/>
  <c r="K47" i="24"/>
  <c r="T48"/>
  <c r="Q48"/>
  <c r="F14" i="11" s="1"/>
  <c r="T51" i="24"/>
  <c r="E53"/>
  <c r="T55"/>
  <c r="T59"/>
  <c r="T63"/>
  <c r="T67"/>
  <c r="Q67"/>
  <c r="T71"/>
  <c r="Q71"/>
  <c r="T75"/>
  <c r="Q75"/>
  <c r="T79"/>
  <c r="Q79"/>
  <c r="F70" i="11" s="1"/>
  <c r="T83" i="24"/>
  <c r="Q83"/>
  <c r="F54" i="11" s="1"/>
  <c r="T87" i="24"/>
  <c r="Q87"/>
  <c r="F10" i="11" s="1"/>
  <c r="T91" i="24"/>
  <c r="Q91"/>
  <c r="F75" i="11" s="1"/>
  <c r="T95" i="24"/>
  <c r="Q95"/>
  <c r="F58" i="11" s="1"/>
  <c r="K98" i="24"/>
  <c r="T99"/>
  <c r="Q99"/>
  <c r="T103"/>
  <c r="Q103"/>
  <c r="T107"/>
  <c r="Q107"/>
  <c r="F85" i="11" s="1"/>
  <c r="T111" i="24"/>
  <c r="Q111"/>
  <c r="F63" i="11" s="1"/>
  <c r="T115" i="24"/>
  <c r="Q115"/>
  <c r="F76" i="11" s="1"/>
  <c r="T119" i="24"/>
  <c r="Q119"/>
  <c r="T123"/>
  <c r="Q123"/>
  <c r="T127"/>
  <c r="Q127"/>
  <c r="F42" i="11" s="1"/>
  <c r="T131" i="24"/>
  <c r="Q131"/>
  <c r="F44" i="11" s="1"/>
  <c r="B64"/>
  <c r="G64" s="1"/>
  <c r="B48"/>
  <c r="G48" s="1"/>
  <c r="B55"/>
  <c r="G55" s="1"/>
  <c r="B36"/>
  <c r="B78"/>
  <c r="G78" s="1"/>
  <c r="B40"/>
  <c r="G40" s="1"/>
  <c r="B22"/>
  <c r="G22" s="1"/>
  <c r="B69"/>
  <c r="G69" s="1"/>
  <c r="B60"/>
  <c r="G60" s="1"/>
  <c r="B83"/>
  <c r="G83" s="1"/>
  <c r="B10"/>
  <c r="G10" s="1"/>
  <c r="B75"/>
  <c r="G75" s="1"/>
  <c r="B29"/>
  <c r="G29" s="1"/>
  <c r="B74"/>
  <c r="G74" s="1"/>
  <c r="B21"/>
  <c r="G21" s="1"/>
  <c r="B35"/>
  <c r="G35" s="1"/>
  <c r="B20"/>
  <c r="G20" s="1"/>
  <c r="B41"/>
  <c r="G41" s="1"/>
  <c r="B11"/>
  <c r="G11" s="1"/>
  <c r="D39"/>
  <c r="D43"/>
  <c r="E33"/>
  <c r="E26"/>
  <c r="E46"/>
  <c r="E31"/>
  <c r="E59"/>
  <c r="E25"/>
  <c r="E72"/>
  <c r="E70"/>
  <c r="E7"/>
  <c r="E84"/>
  <c r="E58"/>
  <c r="E17"/>
  <c r="E63"/>
  <c r="E56"/>
  <c r="E66"/>
  <c r="E24"/>
  <c r="E53"/>
  <c r="Q22" i="24"/>
  <c r="F36" i="11" s="1"/>
  <c r="E22" i="24"/>
  <c r="G36" i="11"/>
  <c r="Q21" i="24"/>
  <c r="F46" i="11" s="1"/>
  <c r="G46"/>
  <c r="F104" i="21"/>
  <c r="F44"/>
  <c r="F45"/>
  <c r="F69"/>
  <c r="F59"/>
  <c r="F64"/>
  <c r="F41"/>
  <c r="F108"/>
  <c r="F111"/>
  <c r="F17"/>
  <c r="F18"/>
  <c r="F23"/>
  <c r="F65"/>
  <c r="F63"/>
  <c r="F106"/>
  <c r="F47"/>
  <c r="F95"/>
  <c r="F107"/>
  <c r="F109"/>
  <c r="F74"/>
  <c r="F76"/>
  <c r="F34"/>
  <c r="F98"/>
  <c r="F94"/>
  <c r="F31"/>
  <c r="F112"/>
  <c r="F6"/>
  <c r="F37"/>
  <c r="F19"/>
  <c r="F119"/>
  <c r="F121"/>
  <c r="F124"/>
  <c r="F126"/>
  <c r="F28"/>
  <c r="F96"/>
  <c r="F9"/>
  <c r="F38"/>
  <c r="F129"/>
  <c r="F130"/>
  <c r="F10"/>
  <c r="F29"/>
  <c r="F70"/>
  <c r="F85"/>
  <c r="F134"/>
  <c r="F32"/>
  <c r="F67"/>
  <c r="F66" i="23"/>
  <c r="F89"/>
  <c r="F30"/>
  <c r="F25"/>
  <c r="F17"/>
  <c r="F67"/>
  <c r="F109"/>
  <c r="F71"/>
  <c r="F13"/>
  <c r="F18"/>
  <c r="F21"/>
  <c r="F26"/>
  <c r="F32"/>
  <c r="F77"/>
  <c r="F43"/>
  <c r="F132"/>
  <c r="F117"/>
  <c r="F37"/>
  <c r="F83"/>
  <c r="F11"/>
  <c r="F120"/>
  <c r="F74"/>
  <c r="F110"/>
  <c r="F93"/>
  <c r="F116"/>
  <c r="F57"/>
  <c r="E82" i="28"/>
  <c r="E73"/>
  <c r="E74"/>
  <c r="E31"/>
  <c r="E133"/>
  <c r="E134"/>
  <c r="E66"/>
  <c r="E97"/>
  <c r="E14"/>
  <c r="E13"/>
  <c r="E99"/>
  <c r="E25"/>
  <c r="E129"/>
  <c r="E54"/>
  <c r="E112"/>
  <c r="E34"/>
  <c r="E36"/>
  <c r="E104"/>
  <c r="E106"/>
  <c r="E92"/>
  <c r="E64"/>
  <c r="E116"/>
  <c r="E119"/>
  <c r="E59"/>
  <c r="E88"/>
  <c r="E41"/>
  <c r="E101"/>
  <c r="E83"/>
  <c r="E109"/>
  <c r="E75"/>
  <c r="E89"/>
  <c r="E35"/>
  <c r="E126"/>
  <c r="E67"/>
  <c r="E42"/>
  <c r="E50"/>
  <c r="E90"/>
  <c r="E122"/>
  <c r="E125"/>
  <c r="E43"/>
  <c r="E48"/>
  <c r="E5"/>
  <c r="E111"/>
  <c r="E47"/>
  <c r="E52"/>
  <c r="E49"/>
  <c r="E51"/>
  <c r="E79"/>
  <c r="E53"/>
  <c r="E93"/>
  <c r="E12"/>
  <c r="E40"/>
  <c r="E57"/>
  <c r="E130"/>
  <c r="E108"/>
  <c r="E117"/>
  <c r="E61"/>
  <c r="E21"/>
  <c r="E6"/>
  <c r="E7"/>
  <c r="E55"/>
  <c r="E26"/>
  <c r="E24"/>
  <c r="E62"/>
  <c r="E68"/>
  <c r="E58"/>
  <c r="E30"/>
  <c r="E69"/>
  <c r="E45"/>
  <c r="E39"/>
  <c r="E8"/>
  <c r="E9"/>
  <c r="E77"/>
  <c r="E78"/>
  <c r="E81"/>
  <c r="E120"/>
  <c r="E80"/>
  <c r="E65"/>
  <c r="E44"/>
  <c r="E84"/>
  <c r="E85"/>
  <c r="E17"/>
  <c r="E33"/>
  <c r="E63"/>
  <c r="E16"/>
  <c r="E131"/>
  <c r="E123"/>
  <c r="E37"/>
  <c r="E127"/>
  <c r="E94"/>
  <c r="E76"/>
  <c r="E71"/>
  <c r="E46"/>
  <c r="E23"/>
  <c r="E10"/>
  <c r="E100"/>
  <c r="E98"/>
  <c r="E102"/>
  <c r="E103"/>
  <c r="E60"/>
  <c r="E105"/>
  <c r="E56"/>
  <c r="E91"/>
  <c r="E11"/>
  <c r="E95"/>
  <c r="E110"/>
  <c r="E87"/>
  <c r="E115"/>
  <c r="E113"/>
  <c r="E86"/>
  <c r="E32"/>
  <c r="E128"/>
  <c r="E132"/>
  <c r="E118"/>
  <c r="E18"/>
  <c r="E27"/>
  <c r="E28"/>
  <c r="E114"/>
  <c r="E72"/>
  <c r="E29"/>
  <c r="E20"/>
  <c r="E70"/>
  <c r="E124"/>
  <c r="E121"/>
  <c r="E96"/>
  <c r="E38"/>
  <c r="E107"/>
  <c r="E19"/>
  <c r="E15"/>
  <c r="E22"/>
  <c r="E96" i="18"/>
  <c r="E108"/>
  <c r="E111"/>
  <c r="E99"/>
  <c r="E50"/>
  <c r="E116"/>
  <c r="E39"/>
  <c r="E64"/>
  <c r="E130"/>
  <c r="E105"/>
  <c r="E33"/>
  <c r="E123"/>
  <c r="E57"/>
  <c r="E25"/>
  <c r="E91"/>
  <c r="E107"/>
  <c r="E90"/>
  <c r="E21"/>
  <c r="E59"/>
  <c r="E72"/>
  <c r="E56"/>
  <c r="E49"/>
  <c r="E12"/>
  <c r="E48"/>
  <c r="E119"/>
  <c r="E37"/>
  <c r="E82"/>
  <c r="E65"/>
  <c r="E76"/>
  <c r="E121"/>
  <c r="E32"/>
  <c r="E87"/>
  <c r="E93"/>
  <c r="E84"/>
  <c r="E125"/>
  <c r="E6"/>
  <c r="E80"/>
  <c r="E100"/>
  <c r="E8"/>
  <c r="E104"/>
  <c r="E66"/>
  <c r="E75"/>
  <c r="E24"/>
  <c r="E31"/>
  <c r="E70"/>
  <c r="E44"/>
  <c r="E132"/>
  <c r="E9"/>
  <c r="E23"/>
  <c r="E19"/>
  <c r="E133"/>
  <c r="E92"/>
  <c r="E118"/>
  <c r="E110"/>
  <c r="E102"/>
  <c r="E94"/>
  <c r="E16"/>
  <c r="E78"/>
  <c r="E122"/>
  <c r="E14"/>
  <c r="E26"/>
  <c r="E88"/>
  <c r="E22"/>
  <c r="E13"/>
  <c r="E68"/>
  <c r="E29"/>
  <c r="E79"/>
  <c r="E97"/>
  <c r="E113"/>
  <c r="E7"/>
  <c r="E63"/>
  <c r="E41"/>
  <c r="E120"/>
  <c r="E109"/>
  <c r="E131"/>
  <c r="E127"/>
  <c r="E126"/>
  <c r="E54"/>
  <c r="E134"/>
  <c r="E89"/>
  <c r="E34"/>
  <c r="E83"/>
  <c r="E98"/>
  <c r="E27"/>
  <c r="E10"/>
  <c r="E73"/>
  <c r="E42"/>
  <c r="E67"/>
  <c r="E58"/>
  <c r="E85"/>
  <c r="E77"/>
  <c r="E18"/>
  <c r="E61"/>
  <c r="E53"/>
  <c r="E69"/>
  <c r="E101"/>
  <c r="E81"/>
  <c r="E32" i="22"/>
  <c r="E91"/>
  <c r="E13"/>
  <c r="E92"/>
  <c r="E117"/>
  <c r="E119"/>
  <c r="E22"/>
  <c r="E133"/>
  <c r="E74"/>
  <c r="E48"/>
  <c r="E5"/>
  <c r="E81"/>
  <c r="E107"/>
  <c r="E73"/>
  <c r="E66"/>
  <c r="E132"/>
  <c r="E60"/>
  <c r="E54"/>
  <c r="E27"/>
  <c r="E45"/>
  <c r="E89"/>
  <c r="E108"/>
  <c r="E80"/>
  <c r="K60" i="24"/>
  <c r="E50"/>
  <c r="T52"/>
  <c r="Q52"/>
  <c r="E54"/>
  <c r="T56"/>
  <c r="Q56"/>
  <c r="F4" i="11" s="1"/>
  <c r="E58" i="24"/>
  <c r="T60"/>
  <c r="Q60"/>
  <c r="F28" i="11" s="1"/>
  <c r="E62" i="24"/>
  <c r="T64"/>
  <c r="Q64"/>
  <c r="E66"/>
  <c r="K64"/>
  <c r="H5"/>
  <c r="N5"/>
  <c r="H6"/>
  <c r="N6"/>
  <c r="H7"/>
  <c r="N7"/>
  <c r="H8"/>
  <c r="N8"/>
  <c r="H9"/>
  <c r="N9"/>
  <c r="H10"/>
  <c r="N10"/>
  <c r="H11"/>
  <c r="N11"/>
  <c r="H12"/>
  <c r="N12"/>
  <c r="H13"/>
  <c r="N13"/>
  <c r="H14"/>
  <c r="N14"/>
  <c r="H15"/>
  <c r="N15"/>
  <c r="H16"/>
  <c r="N16"/>
  <c r="H17"/>
  <c r="N17"/>
  <c r="H18"/>
  <c r="N18"/>
  <c r="H19"/>
  <c r="N19"/>
  <c r="H20"/>
  <c r="N20"/>
  <c r="H21"/>
  <c r="N21"/>
  <c r="H22"/>
  <c r="N22"/>
  <c r="H23"/>
  <c r="N23"/>
  <c r="H24"/>
  <c r="N24"/>
  <c r="H25"/>
  <c r="N25"/>
  <c r="H26"/>
  <c r="N26"/>
  <c r="H27"/>
  <c r="N27"/>
  <c r="H28"/>
  <c r="N28"/>
  <c r="H29"/>
  <c r="N29"/>
  <c r="H30"/>
  <c r="N30"/>
  <c r="H31"/>
  <c r="N31"/>
  <c r="H32"/>
  <c r="N32"/>
  <c r="H33"/>
  <c r="N33"/>
  <c r="H34"/>
  <c r="N34"/>
  <c r="H35"/>
  <c r="N35"/>
  <c r="H36"/>
  <c r="N36"/>
  <c r="H37"/>
  <c r="N37"/>
  <c r="H38"/>
  <c r="N38"/>
  <c r="H39"/>
  <c r="N39"/>
  <c r="H40"/>
  <c r="N40"/>
  <c r="H41"/>
  <c r="N41"/>
  <c r="H42"/>
  <c r="N42"/>
  <c r="H43"/>
  <c r="N43"/>
  <c r="H44"/>
  <c r="N44"/>
  <c r="H45"/>
  <c r="N45"/>
  <c r="H46"/>
  <c r="N46"/>
  <c r="H47"/>
  <c r="N47"/>
  <c r="H48"/>
  <c r="N48"/>
  <c r="H49"/>
  <c r="N49"/>
  <c r="K50"/>
  <c r="K54"/>
  <c r="K58"/>
  <c r="K62"/>
  <c r="K66"/>
  <c r="K52"/>
  <c r="K56"/>
  <c r="T50"/>
  <c r="T54"/>
  <c r="T58"/>
  <c r="T62"/>
  <c r="T66"/>
  <c r="H50"/>
  <c r="N50"/>
  <c r="H51"/>
  <c r="N51"/>
  <c r="H52"/>
  <c r="N52"/>
  <c r="H53"/>
  <c r="N53"/>
  <c r="H54"/>
  <c r="N54"/>
  <c r="H55"/>
  <c r="N55"/>
  <c r="H56"/>
  <c r="N56"/>
  <c r="H57"/>
  <c r="N57"/>
  <c r="H58"/>
  <c r="N58"/>
  <c r="H59"/>
  <c r="N59"/>
  <c r="H60"/>
  <c r="N60"/>
  <c r="H61"/>
  <c r="N61"/>
  <c r="H62"/>
  <c r="N62"/>
  <c r="H63"/>
  <c r="N63"/>
  <c r="H64"/>
  <c r="N64"/>
  <c r="H65"/>
  <c r="N65"/>
  <c r="H66"/>
  <c r="N66"/>
  <c r="H67"/>
  <c r="N67"/>
  <c r="H68"/>
  <c r="N68"/>
  <c r="H69"/>
  <c r="N69"/>
  <c r="H70"/>
  <c r="N70"/>
  <c r="H71"/>
  <c r="N71"/>
  <c r="H72"/>
  <c r="N72"/>
  <c r="H73"/>
  <c r="N73"/>
  <c r="H74"/>
  <c r="N74"/>
  <c r="H75"/>
  <c r="N75"/>
  <c r="H76"/>
  <c r="N76"/>
  <c r="H77"/>
  <c r="N77"/>
  <c r="H78"/>
  <c r="N78"/>
  <c r="H79"/>
  <c r="N79"/>
  <c r="H80"/>
  <c r="N80"/>
  <c r="H81"/>
  <c r="N81"/>
  <c r="H82"/>
  <c r="N82"/>
  <c r="H83"/>
  <c r="N83"/>
  <c r="H84"/>
  <c r="N84"/>
  <c r="H85"/>
  <c r="N85"/>
  <c r="H86"/>
  <c r="N86"/>
  <c r="H87"/>
  <c r="N87"/>
  <c r="H88"/>
  <c r="N88"/>
  <c r="H89"/>
  <c r="N89"/>
  <c r="H90"/>
  <c r="N90"/>
  <c r="H91"/>
  <c r="N91"/>
  <c r="H92"/>
  <c r="N92"/>
  <c r="H93"/>
  <c r="N93"/>
  <c r="H94"/>
  <c r="N94"/>
  <c r="H95"/>
  <c r="N95"/>
  <c r="H96"/>
  <c r="N96"/>
  <c r="H97"/>
  <c r="N97"/>
  <c r="H98"/>
  <c r="N98"/>
  <c r="H99"/>
  <c r="N99"/>
  <c r="H100"/>
  <c r="N100"/>
  <c r="H101"/>
  <c r="N101"/>
  <c r="H102"/>
  <c r="N102"/>
  <c r="H103"/>
  <c r="N103"/>
  <c r="H104"/>
  <c r="N104"/>
  <c r="H105"/>
  <c r="N105"/>
  <c r="H106"/>
  <c r="N106"/>
  <c r="H107"/>
  <c r="N107"/>
  <c r="H108"/>
  <c r="N108"/>
  <c r="H109"/>
  <c r="N109"/>
  <c r="H110"/>
  <c r="N110"/>
  <c r="H111"/>
  <c r="N111"/>
  <c r="H112"/>
  <c r="N112"/>
  <c r="H113"/>
  <c r="N113"/>
  <c r="H114"/>
  <c r="N114"/>
  <c r="H115"/>
  <c r="N115"/>
  <c r="H116"/>
  <c r="N116"/>
  <c r="H117"/>
  <c r="N117"/>
  <c r="H118"/>
  <c r="N118"/>
  <c r="H119"/>
  <c r="N119"/>
  <c r="H120"/>
  <c r="N120"/>
  <c r="H121"/>
  <c r="N121"/>
  <c r="H122"/>
  <c r="N122"/>
  <c r="H123"/>
  <c r="N123"/>
  <c r="H124"/>
  <c r="N124"/>
  <c r="H125"/>
  <c r="N125"/>
  <c r="H126"/>
  <c r="N126"/>
  <c r="H127"/>
  <c r="N127"/>
  <c r="H128"/>
  <c r="N128"/>
  <c r="H129"/>
  <c r="N129"/>
  <c r="H130"/>
  <c r="N130"/>
  <c r="H131"/>
  <c r="N131"/>
  <c r="H132"/>
  <c r="N132"/>
  <c r="H133"/>
  <c r="N133"/>
  <c r="H134"/>
  <c r="N134"/>
  <c r="F70" i="23"/>
  <c r="F102"/>
  <c r="F133"/>
  <c r="F100"/>
  <c r="F91"/>
  <c r="F123"/>
  <c r="F10"/>
  <c r="F78"/>
  <c r="F90"/>
  <c r="F125"/>
  <c r="F126"/>
  <c r="F62"/>
  <c r="F99"/>
  <c r="F107"/>
  <c r="F41"/>
  <c r="F76"/>
  <c r="F73"/>
  <c r="F114"/>
  <c r="F101"/>
  <c r="F12"/>
  <c r="F122"/>
  <c r="F106"/>
  <c r="F59"/>
  <c r="F44"/>
  <c r="F98"/>
  <c r="F65"/>
  <c r="F50"/>
  <c r="F94"/>
  <c r="F53"/>
  <c r="F81"/>
  <c r="F82"/>
  <c r="F63"/>
  <c r="F119"/>
  <c r="F7"/>
  <c r="F33"/>
  <c r="F48"/>
  <c r="F16"/>
  <c r="F39"/>
  <c r="F92"/>
  <c r="F105"/>
  <c r="F134"/>
  <c r="F54"/>
  <c r="F84"/>
  <c r="F72"/>
  <c r="F24"/>
  <c r="F127"/>
  <c r="F22"/>
  <c r="F129"/>
  <c r="F45"/>
  <c r="F75"/>
  <c r="F85"/>
  <c r="F104"/>
  <c r="F115"/>
  <c r="F88"/>
  <c r="F58"/>
  <c r="F23"/>
  <c r="F46"/>
  <c r="F40"/>
  <c r="F19"/>
  <c r="F31"/>
  <c r="F103"/>
  <c r="F5"/>
  <c r="F108"/>
  <c r="F6"/>
  <c r="F56"/>
  <c r="F68"/>
  <c r="F8"/>
  <c r="F9"/>
  <c r="F111"/>
  <c r="F52"/>
  <c r="F69"/>
  <c r="F49"/>
  <c r="F14"/>
  <c r="F80"/>
  <c r="F15"/>
  <c r="F28"/>
  <c r="F113"/>
  <c r="F55"/>
  <c r="F95"/>
  <c r="F20"/>
  <c r="F96"/>
  <c r="F118"/>
  <c r="F128"/>
  <c r="F47"/>
  <c r="F34"/>
  <c r="F97"/>
  <c r="F27"/>
  <c r="E120" i="22"/>
  <c r="E61"/>
  <c r="E14"/>
  <c r="E77"/>
  <c r="E12"/>
  <c r="E25"/>
  <c r="E78"/>
  <c r="E23"/>
  <c r="E94"/>
  <c r="E102"/>
  <c r="E110"/>
  <c r="E118"/>
  <c r="E126"/>
  <c r="E44"/>
  <c r="E19"/>
  <c r="E53"/>
  <c r="E98"/>
  <c r="E18"/>
  <c r="E26"/>
  <c r="E57"/>
  <c r="E129"/>
  <c r="E122"/>
  <c r="E34"/>
  <c r="E124"/>
  <c r="E24"/>
  <c r="E86"/>
  <c r="E127"/>
  <c r="E128"/>
  <c r="E134"/>
  <c r="E67"/>
  <c r="E85"/>
  <c r="E75"/>
  <c r="E63"/>
  <c r="E38"/>
  <c r="E65"/>
  <c r="E105"/>
  <c r="E50"/>
  <c r="E113"/>
  <c r="E101"/>
  <c r="E39"/>
  <c r="E104"/>
  <c r="E111"/>
  <c r="E21"/>
  <c r="E42"/>
  <c r="E41"/>
  <c r="E87"/>
  <c r="E7"/>
  <c r="E131"/>
  <c r="E33"/>
  <c r="E9"/>
  <c r="E123"/>
  <c r="E84"/>
  <c r="E70"/>
  <c r="E96"/>
  <c r="E116"/>
  <c r="E100"/>
  <c r="E46"/>
  <c r="E11"/>
  <c r="E82"/>
  <c r="E106"/>
  <c r="E16"/>
  <c r="E28"/>
  <c r="E71"/>
  <c r="E31"/>
  <c r="E51"/>
  <c r="E15"/>
  <c r="E69"/>
  <c r="E6"/>
  <c r="E76"/>
  <c r="E115"/>
  <c r="E8"/>
  <c r="E112"/>
  <c r="E20"/>
  <c r="E64"/>
  <c r="E125"/>
  <c r="E62"/>
  <c r="E10"/>
  <c r="E103"/>
  <c r="E93"/>
  <c r="E99"/>
  <c r="E40"/>
  <c r="E52"/>
  <c r="E36"/>
  <c r="E114"/>
  <c r="E130"/>
  <c r="F81" i="21"/>
  <c r="F62"/>
  <c r="F12"/>
  <c r="F71"/>
  <c r="F48"/>
  <c r="F33"/>
  <c r="F86"/>
  <c r="F72"/>
  <c r="F49"/>
  <c r="F21"/>
  <c r="F14"/>
  <c r="F50"/>
  <c r="F116"/>
  <c r="F87"/>
  <c r="F92"/>
  <c r="F73"/>
  <c r="F7"/>
  <c r="F39"/>
  <c r="F80"/>
  <c r="F93"/>
  <c r="F113"/>
  <c r="F114"/>
  <c r="F5"/>
  <c r="F117"/>
  <c r="F77"/>
  <c r="F99"/>
  <c r="F125"/>
  <c r="F100"/>
  <c r="F127"/>
  <c r="F79"/>
  <c r="F57"/>
  <c r="F20"/>
  <c r="F24"/>
  <c r="F51"/>
  <c r="F36"/>
  <c r="F61"/>
  <c r="F46"/>
  <c r="F103"/>
  <c r="F27"/>
  <c r="F53"/>
  <c r="F16"/>
  <c r="F89"/>
  <c r="F115"/>
  <c r="F118"/>
  <c r="F120"/>
  <c r="F123"/>
  <c r="F68"/>
  <c r="F15"/>
  <c r="F102"/>
  <c r="F132"/>
  <c r="F133"/>
  <c r="F54"/>
  <c r="F56"/>
  <c r="F82"/>
  <c r="F84"/>
  <c r="F60"/>
  <c r="F55"/>
  <c r="F26"/>
  <c r="F78"/>
  <c r="F122"/>
  <c r="F35"/>
  <c r="F42"/>
  <c r="F11"/>
  <c r="F101"/>
  <c r="F128"/>
  <c r="F40"/>
  <c r="F75"/>
  <c r="F91"/>
  <c r="F58"/>
  <c r="F88"/>
  <c r="F131"/>
  <c r="F83"/>
  <c r="F25"/>
  <c r="F8"/>
  <c r="F13"/>
  <c r="F105" i="20"/>
  <c r="F72"/>
  <c r="F45"/>
  <c r="F74"/>
  <c r="F106"/>
  <c r="F88"/>
  <c r="F48"/>
  <c r="F28"/>
  <c r="F29"/>
  <c r="F107"/>
  <c r="F68"/>
  <c r="F78"/>
  <c r="F27"/>
  <c r="F108"/>
  <c r="F40"/>
  <c r="F44"/>
  <c r="F95"/>
  <c r="F96"/>
  <c r="F109"/>
  <c r="F58"/>
  <c r="F101"/>
  <c r="F46"/>
  <c r="F110"/>
  <c r="F61"/>
  <c r="F22"/>
  <c r="F111"/>
  <c r="F56"/>
  <c r="F57"/>
  <c r="F34"/>
  <c r="F54"/>
  <c r="F43"/>
  <c r="F112"/>
  <c r="F71"/>
  <c r="F25"/>
  <c r="F38"/>
  <c r="F14"/>
  <c r="F113"/>
  <c r="F66"/>
  <c r="F60"/>
  <c r="F102"/>
  <c r="F114"/>
  <c r="F52"/>
  <c r="F79"/>
  <c r="F31"/>
  <c r="F67"/>
  <c r="F115"/>
  <c r="F103"/>
  <c r="F41"/>
  <c r="F116"/>
  <c r="F117"/>
  <c r="F17"/>
  <c r="F55"/>
  <c r="F81"/>
  <c r="F76"/>
  <c r="F53"/>
  <c r="F118"/>
  <c r="F119"/>
  <c r="F16"/>
  <c r="F64"/>
  <c r="F77"/>
  <c r="F69"/>
  <c r="F26"/>
  <c r="F20"/>
  <c r="F120"/>
  <c r="F23"/>
  <c r="F121"/>
  <c r="F100"/>
  <c r="F35"/>
  <c r="F50"/>
  <c r="F18"/>
  <c r="F32"/>
  <c r="F83"/>
  <c r="F90"/>
  <c r="F5"/>
  <c r="F122"/>
  <c r="F82"/>
  <c r="F91"/>
  <c r="F75"/>
  <c r="F49"/>
  <c r="F6"/>
  <c r="F94"/>
  <c r="F123"/>
  <c r="F42"/>
  <c r="F124"/>
  <c r="F19"/>
  <c r="F87"/>
  <c r="F84"/>
  <c r="F7"/>
  <c r="F125"/>
  <c r="F126"/>
  <c r="F47"/>
  <c r="F36"/>
  <c r="F8"/>
  <c r="F15"/>
  <c r="F51"/>
  <c r="F63"/>
  <c r="F59"/>
  <c r="F89"/>
  <c r="F9"/>
  <c r="F10"/>
  <c r="F11"/>
  <c r="F127"/>
  <c r="F128"/>
  <c r="F104"/>
  <c r="F39"/>
  <c r="F85"/>
  <c r="F73"/>
  <c r="F62"/>
  <c r="F86"/>
  <c r="F12"/>
  <c r="F129"/>
  <c r="F130"/>
  <c r="F131"/>
  <c r="F132"/>
  <c r="F80"/>
  <c r="F21"/>
  <c r="F133"/>
  <c r="F99"/>
  <c r="F24"/>
  <c r="F134"/>
  <c r="F13"/>
  <c r="F92"/>
  <c r="F70"/>
  <c r="F65"/>
  <c r="F93"/>
  <c r="F97"/>
  <c r="F98"/>
  <c r="F37"/>
  <c r="F30"/>
  <c r="F33"/>
  <c r="AE127" i="1"/>
  <c r="AD127"/>
  <c r="AC127"/>
  <c r="AD108"/>
  <c r="K108" l="1"/>
  <c r="AE110"/>
  <c r="AD110"/>
  <c r="AC110"/>
  <c r="K110" l="1"/>
  <c r="AE95" l="1"/>
  <c r="K74" l="1"/>
  <c r="K75"/>
  <c r="K76"/>
  <c r="K77"/>
  <c r="K78"/>
  <c r="K79"/>
  <c r="AE130"/>
  <c r="AD130"/>
  <c r="AC130"/>
  <c r="AE15" l="1"/>
  <c r="AD15"/>
  <c r="AC15"/>
  <c r="AE136" l="1"/>
  <c r="AD136"/>
  <c r="AC136"/>
  <c r="AE84"/>
  <c r="AD84"/>
  <c r="AC84"/>
  <c r="AD87"/>
  <c r="AC87"/>
  <c r="AC89"/>
  <c r="AD89"/>
  <c r="AE83"/>
  <c r="AD83"/>
  <c r="AC83"/>
  <c r="AC75"/>
  <c r="AA75"/>
  <c r="AB74"/>
  <c r="AC74" s="1"/>
  <c r="T75"/>
  <c r="U75"/>
  <c r="AE59"/>
  <c r="AD59"/>
  <c r="AC59"/>
  <c r="AD55"/>
  <c r="AC55"/>
  <c r="U54"/>
  <c r="T54"/>
  <c r="U53"/>
  <c r="T53"/>
  <c r="X52"/>
  <c r="X51"/>
  <c r="X46"/>
  <c r="AC46" s="1"/>
  <c r="AE45"/>
  <c r="AD45"/>
  <c r="AC45"/>
  <c r="AD18"/>
  <c r="AC18"/>
  <c r="AE88" l="1"/>
  <c r="AD88"/>
  <c r="AC88"/>
  <c r="AE91"/>
  <c r="AD91"/>
  <c r="AC91"/>
  <c r="AD92" l="1"/>
  <c r="AC92"/>
  <c r="K93"/>
  <c r="AD93"/>
  <c r="AC93"/>
  <c r="E94" l="1"/>
  <c r="X94"/>
  <c r="AE94" s="1"/>
  <c r="AE96"/>
  <c r="X96"/>
  <c r="AC96" s="1"/>
  <c r="AE97"/>
  <c r="AD97"/>
  <c r="AC97"/>
  <c r="K100"/>
  <c r="K97"/>
  <c r="AE98"/>
  <c r="AD98"/>
  <c r="AC98"/>
  <c r="AD94" l="1"/>
  <c r="AD96"/>
  <c r="AC94"/>
  <c r="K98"/>
  <c r="AE100"/>
  <c r="AD100"/>
  <c r="AC100"/>
  <c r="AE16" l="1"/>
  <c r="AD16"/>
  <c r="AC16"/>
  <c r="AE13"/>
  <c r="AD13"/>
  <c r="AC13"/>
  <c r="AE101"/>
  <c r="AD101"/>
  <c r="AC101"/>
  <c r="AE103"/>
  <c r="AD103"/>
  <c r="AC103"/>
  <c r="K109"/>
  <c r="AE111"/>
  <c r="AD111"/>
  <c r="AC111"/>
  <c r="K111"/>
  <c r="AE113" l="1"/>
  <c r="AD113"/>
  <c r="AC113"/>
  <c r="AE114"/>
  <c r="AD114"/>
  <c r="AC114"/>
  <c r="K112" l="1"/>
  <c r="K114"/>
  <c r="AC116"/>
  <c r="K116"/>
  <c r="AE117"/>
  <c r="AD117"/>
  <c r="AC117"/>
  <c r="K117"/>
  <c r="AE119"/>
  <c r="AD119"/>
  <c r="AC119"/>
  <c r="K119"/>
  <c r="AD120"/>
  <c r="AE121"/>
  <c r="AD121"/>
  <c r="AC121"/>
  <c r="K121"/>
  <c r="K124"/>
  <c r="AE125"/>
  <c r="AC125"/>
  <c r="K125" l="1"/>
  <c r="K126"/>
  <c r="K127"/>
  <c r="U128"/>
  <c r="T128"/>
  <c r="K128"/>
  <c r="AE131"/>
  <c r="AB131"/>
  <c r="AD131" s="1"/>
  <c r="K129"/>
  <c r="K130"/>
  <c r="K131"/>
  <c r="AD132"/>
  <c r="K132"/>
  <c r="AE133"/>
  <c r="AD133"/>
  <c r="AC133"/>
  <c r="K134"/>
  <c r="K135"/>
  <c r="K136"/>
  <c r="T136"/>
  <c r="AE138"/>
  <c r="AD138"/>
  <c r="AC138"/>
  <c r="AD137"/>
  <c r="AC137"/>
  <c r="AC131" l="1"/>
  <c r="K138"/>
  <c r="K137"/>
  <c r="AD11"/>
  <c r="AC11"/>
  <c r="AD106"/>
  <c r="AC106"/>
  <c r="K106"/>
  <c r="K103"/>
  <c r="AE102"/>
  <c r="AD102"/>
  <c r="AC102"/>
  <c r="K102"/>
  <c r="K101"/>
  <c r="K73"/>
  <c r="AE71"/>
  <c r="I26" i="21" s="1"/>
  <c r="AD71" i="1"/>
  <c r="AC71"/>
  <c r="K71"/>
  <c r="K70"/>
  <c r="AD30"/>
  <c r="U66" i="24" l="1"/>
  <c r="H19" i="11" s="1"/>
  <c r="I26" i="20"/>
  <c r="V66" i="24"/>
  <c r="G26" i="21"/>
  <c r="H26"/>
  <c r="K64" i="1"/>
  <c r="K67"/>
  <c r="AC65"/>
  <c r="AE65"/>
  <c r="K65"/>
  <c r="AE63" l="1"/>
  <c r="K63"/>
  <c r="I62"/>
  <c r="AE61"/>
  <c r="AD61"/>
  <c r="AC61"/>
  <c r="U61"/>
  <c r="T61"/>
  <c r="K61"/>
  <c r="AC60"/>
  <c r="AA60"/>
  <c r="AD60" s="1"/>
  <c r="K60"/>
  <c r="K59"/>
  <c r="U57"/>
  <c r="T57"/>
  <c r="K57"/>
  <c r="K56"/>
  <c r="K55"/>
  <c r="K54"/>
  <c r="K53"/>
  <c r="AB54"/>
  <c r="AC54" s="1"/>
  <c r="AE54"/>
  <c r="AE53"/>
  <c r="AD53"/>
  <c r="AC53"/>
  <c r="AE51"/>
  <c r="AD51"/>
  <c r="K51"/>
  <c r="AE49"/>
  <c r="AD49"/>
  <c r="AC49"/>
  <c r="K49"/>
  <c r="K46"/>
  <c r="K45"/>
  <c r="AE44"/>
  <c r="AD44"/>
  <c r="AC44"/>
  <c r="AE43"/>
  <c r="AD43"/>
  <c r="AC43"/>
  <c r="U43"/>
  <c r="T43"/>
  <c r="AE41"/>
  <c r="AC41"/>
  <c r="AD41"/>
  <c r="AA54" l="1"/>
  <c r="AD54" s="1"/>
  <c r="A141" l="1"/>
  <c r="AE139" l="1"/>
  <c r="AD139"/>
  <c r="AC139"/>
  <c r="U139"/>
  <c r="T139"/>
  <c r="K139"/>
  <c r="U138"/>
  <c r="T138"/>
  <c r="U137"/>
  <c r="T137"/>
  <c r="AD135"/>
  <c r="U135"/>
  <c r="T135"/>
  <c r="AE134"/>
  <c r="AD134"/>
  <c r="AC134"/>
  <c r="U134"/>
  <c r="T134"/>
  <c r="U133"/>
  <c r="T133"/>
  <c r="K133"/>
  <c r="U132"/>
  <c r="T132"/>
  <c r="U131"/>
  <c r="T131"/>
  <c r="U129"/>
  <c r="T129"/>
  <c r="U127"/>
  <c r="T127"/>
  <c r="U126"/>
  <c r="T126"/>
  <c r="AD125"/>
  <c r="U125"/>
  <c r="T125"/>
  <c r="U124"/>
  <c r="T124"/>
  <c r="T123"/>
  <c r="I123"/>
  <c r="U123" s="1"/>
  <c r="T122"/>
  <c r="I122"/>
  <c r="U122" s="1"/>
  <c r="U121"/>
  <c r="T121"/>
  <c r="AC120"/>
  <c r="U120"/>
  <c r="T120"/>
  <c r="K120"/>
  <c r="I118"/>
  <c r="U118" s="1"/>
  <c r="U117"/>
  <c r="T117"/>
  <c r="AE116"/>
  <c r="AD116" s="1"/>
  <c r="U116"/>
  <c r="T116"/>
  <c r="I115"/>
  <c r="T115" s="1"/>
  <c r="U114"/>
  <c r="T114"/>
  <c r="I113"/>
  <c r="T113" s="1"/>
  <c r="U112"/>
  <c r="T112"/>
  <c r="U111"/>
  <c r="T111"/>
  <c r="I107"/>
  <c r="U107" s="1"/>
  <c r="T106"/>
  <c r="I105"/>
  <c r="U105" s="1"/>
  <c r="I104"/>
  <c r="T104" s="1"/>
  <c r="U103"/>
  <c r="T103"/>
  <c r="U101"/>
  <c r="T101"/>
  <c r="U100"/>
  <c r="T100"/>
  <c r="T99"/>
  <c r="I99"/>
  <c r="U99" s="1"/>
  <c r="U98"/>
  <c r="T98"/>
  <c r="I96"/>
  <c r="U96" s="1"/>
  <c r="I95"/>
  <c r="T95" s="1"/>
  <c r="U94"/>
  <c r="T94"/>
  <c r="K94"/>
  <c r="U93"/>
  <c r="T93"/>
  <c r="U92"/>
  <c r="T92"/>
  <c r="K92"/>
  <c r="U91"/>
  <c r="T91"/>
  <c r="I90"/>
  <c r="U90" s="1"/>
  <c r="U88"/>
  <c r="T88"/>
  <c r="K88"/>
  <c r="U87"/>
  <c r="T87"/>
  <c r="U86"/>
  <c r="T86"/>
  <c r="U85"/>
  <c r="T85"/>
  <c r="U84"/>
  <c r="T84"/>
  <c r="I82"/>
  <c r="U82" s="1"/>
  <c r="I81"/>
  <c r="T81" s="1"/>
  <c r="I80"/>
  <c r="U80" s="1"/>
  <c r="U79"/>
  <c r="T79"/>
  <c r="U78"/>
  <c r="T78"/>
  <c r="U77"/>
  <c r="T77"/>
  <c r="U76"/>
  <c r="T76"/>
  <c r="T74"/>
  <c r="U73"/>
  <c r="T73"/>
  <c r="U72"/>
  <c r="T72"/>
  <c r="K72"/>
  <c r="U71"/>
  <c r="T71"/>
  <c r="U70"/>
  <c r="T70"/>
  <c r="I68"/>
  <c r="T68" s="1"/>
  <c r="U67"/>
  <c r="T67"/>
  <c r="T66"/>
  <c r="I66"/>
  <c r="U66" s="1"/>
  <c r="AB65"/>
  <c r="AD65" s="1"/>
  <c r="T65"/>
  <c r="S65"/>
  <c r="O66"/>
  <c r="T64"/>
  <c r="T82" l="1"/>
  <c r="M118"/>
  <c r="T96"/>
  <c r="T107"/>
  <c r="M99"/>
  <c r="T118"/>
  <c r="M66"/>
  <c r="O99"/>
  <c r="T105"/>
  <c r="O118"/>
  <c r="N66"/>
  <c r="T80"/>
  <c r="T90"/>
  <c r="AE120"/>
  <c r="U64"/>
  <c r="U65"/>
  <c r="U68"/>
  <c r="U74"/>
  <c r="U81"/>
  <c r="U104"/>
  <c r="U106"/>
  <c r="U113"/>
  <c r="N115"/>
  <c r="P115"/>
  <c r="U115"/>
  <c r="N99"/>
  <c r="P99"/>
  <c r="M115"/>
  <c r="O115"/>
  <c r="N118"/>
  <c r="P118"/>
  <c r="U62"/>
  <c r="T60"/>
  <c r="S60"/>
  <c r="U60" s="1"/>
  <c r="U59"/>
  <c r="T59"/>
  <c r="T58"/>
  <c r="U56"/>
  <c r="T56"/>
  <c r="U55"/>
  <c r="T55"/>
  <c r="T50"/>
  <c r="U49"/>
  <c r="T49"/>
  <c r="I48"/>
  <c r="U48" s="1"/>
  <c r="U47"/>
  <c r="U46"/>
  <c r="T46"/>
  <c r="U45"/>
  <c r="T45"/>
  <c r="U44"/>
  <c r="T44"/>
  <c r="K44"/>
  <c r="U42"/>
  <c r="T42"/>
  <c r="K42"/>
  <c r="U41"/>
  <c r="T41"/>
  <c r="K41"/>
  <c r="I40"/>
  <c r="U40" s="1"/>
  <c r="I39"/>
  <c r="U39" s="1"/>
  <c r="I38"/>
  <c r="U38" s="1"/>
  <c r="AE37"/>
  <c r="AD37"/>
  <c r="AC37"/>
  <c r="U37"/>
  <c r="T37"/>
  <c r="K37"/>
  <c r="AE36"/>
  <c r="AD36"/>
  <c r="AC36"/>
  <c r="U36"/>
  <c r="T36"/>
  <c r="K36"/>
  <c r="U35"/>
  <c r="T35"/>
  <c r="AE34"/>
  <c r="AD34"/>
  <c r="U34"/>
  <c r="T34"/>
  <c r="AE33"/>
  <c r="T40" l="1"/>
  <c r="T38"/>
  <c r="T47"/>
  <c r="T39"/>
  <c r="T48"/>
  <c r="T62"/>
  <c r="AD33"/>
  <c r="AC33"/>
  <c r="U33"/>
  <c r="T33"/>
  <c r="K33"/>
  <c r="AE32"/>
  <c r="AD32"/>
  <c r="U32"/>
  <c r="T32"/>
  <c r="K32"/>
  <c r="AD31"/>
  <c r="AC31"/>
  <c r="U31"/>
  <c r="T31"/>
  <c r="K31" l="1"/>
  <c r="U30"/>
  <c r="T30"/>
  <c r="AG29"/>
  <c r="AD29"/>
  <c r="AC29"/>
  <c r="Z29"/>
  <c r="U29"/>
  <c r="T29"/>
  <c r="K29"/>
  <c r="AA28"/>
  <c r="AD28" s="1"/>
  <c r="U28"/>
  <c r="T28"/>
  <c r="K28"/>
  <c r="U27"/>
  <c r="T27"/>
  <c r="K27"/>
  <c r="AD26"/>
  <c r="U26"/>
  <c r="T26"/>
  <c r="K26"/>
  <c r="U25"/>
  <c r="T25"/>
  <c r="K25"/>
  <c r="U24"/>
  <c r="T24"/>
  <c r="K24"/>
  <c r="U23"/>
  <c r="T23"/>
  <c r="AG22"/>
  <c r="AC22"/>
  <c r="AA22"/>
  <c r="U22"/>
  <c r="T22"/>
  <c r="K22"/>
  <c r="AG21"/>
  <c r="AE21"/>
  <c r="AD21"/>
  <c r="AC21"/>
  <c r="U21"/>
  <c r="T21"/>
  <c r="AE20"/>
  <c r="AD20"/>
  <c r="AC20"/>
  <c r="I20"/>
  <c r="T20" s="1"/>
  <c r="AE19"/>
  <c r="AD19"/>
  <c r="AC19"/>
  <c r="U19"/>
  <c r="T19"/>
  <c r="K19"/>
  <c r="Z18"/>
  <c r="U18"/>
  <c r="K20" l="1"/>
  <c r="U20"/>
  <c r="AD22"/>
  <c r="N18"/>
  <c r="I18"/>
  <c r="T18" s="1"/>
  <c r="AD17"/>
  <c r="AC17"/>
  <c r="Z17"/>
  <c r="U17"/>
  <c r="T17"/>
  <c r="K17"/>
  <c r="U16"/>
  <c r="T16"/>
  <c r="U15"/>
  <c r="T15"/>
  <c r="K15"/>
  <c r="U14"/>
  <c r="T14"/>
  <c r="U13"/>
  <c r="T13"/>
  <c r="K13"/>
  <c r="U12"/>
  <c r="T12"/>
  <c r="U11" l="1"/>
  <c r="T11"/>
  <c r="K11" l="1"/>
  <c r="U10"/>
  <c r="T10"/>
  <c r="K10"/>
  <c r="U51" l="1"/>
  <c r="I52"/>
  <c r="T52" s="1"/>
  <c r="U52" l="1"/>
  <c r="T51"/>
  <c r="I50"/>
  <c r="U50" s="1"/>
  <c r="I58"/>
  <c r="U58" s="1"/>
  <c r="T63"/>
  <c r="U63" l="1"/>
  <c r="I69" l="1"/>
  <c r="U69" s="1"/>
  <c r="T69" l="1"/>
</calcChain>
</file>

<file path=xl/comments1.xml><?xml version="1.0" encoding="utf-8"?>
<comments xmlns="http://schemas.openxmlformats.org/spreadsheetml/2006/main">
  <authors>
    <author>Flo</author>
    <author>Flobo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2009 (date for beneficiairies)
UNPOP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 UNPOP</t>
        </r>
      </text>
    </comment>
    <comment ref="AB15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2006
UN POP  (rev2010)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 UNPOP</t>
        </r>
      </text>
    </comment>
    <comment ref="D34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2008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(UN Pop)</t>
        </r>
      </text>
    </comment>
    <comment ref="X36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Total non contributory pensioners (all ages and any type of pension): 88164 in 2012</t>
        </r>
      </text>
    </comment>
    <comment ref="AA36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D3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2008 (UNPOP)
</t>
        </r>
      </text>
    </comment>
    <comment ref="AA3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2008 (UNPOP)
</t>
        </r>
      </text>
    </comment>
    <comment ref="D4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2008 data UNPOP
</t>
        </r>
      </text>
    </comment>
    <comment ref="D4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(UNPOP)
</t>
        </r>
      </text>
    </comment>
    <comment ref="D44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(to be confirmed)</t>
        </r>
      </text>
    </comment>
    <comment ref="Y4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http://pub.stat.ee/px-web.2001/Dialog/Saveshow.asp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Y4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Recipients of both Kela
and employment pension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
</t>
        </r>
      </text>
    </comment>
    <comment ref="D49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AA49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AA5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2008 UNPOP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D5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AA5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D56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Y5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http://statinfo.ksh.hu/Statinfo/haViewer.jsp</t>
        </r>
      </text>
    </comment>
    <comment ref="D6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2010?</t>
        </r>
      </text>
    </comment>
    <comment ref="D6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UNPOP?</t>
        </r>
      </text>
    </comment>
    <comment ref="X6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 (approximate)</t>
        </r>
      </text>
    </comment>
    <comment ref="AA6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65+ from UNPOP (2008)</t>
        </r>
      </text>
    </comment>
    <comment ref="D6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2009/2010
http://www.rlc.fao.org/es/prioridades/seguridad/ingreso6/documentos/Presentaciones/Mesa%20Redonda/Faith%20Innerarity_Jamaica.pdf</t>
        </r>
      </text>
    </comment>
    <comment ref="F6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Among 60+
poor: 51051
non poor: 245760
Without pension from NIS: 71.3
162825 over 65 years</t>
        </r>
      </text>
    </comment>
    <comment ref="X6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51846 in 2010/11
Helpage</t>
        </r>
      </text>
    </comment>
    <comment ref="D7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2009 UNPOP
</t>
        </r>
      </text>
    </comment>
    <comment ref="X7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household with elderly above 64 (65+)
http://www.gender.go.ke/index.php/SP-Programmes/older-persons-cash-transfer-programme.html</t>
        </r>
      </text>
    </comment>
    <comment ref="Y8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http://pension.gov.mv/stat/index.html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2010?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2010?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Y9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http://www.msd.govt.nz/about-msd-and-our-work/publications-resources/statistics/statistical-report/statistical-report-2008/superannuation-and-pensions/superannuation.html
3179 pensioners of less than 60 and 9781 60-64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D10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2011??</t>
        </r>
      </text>
    </comment>
    <comment ref="D102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2010?</t>
        </r>
      </text>
    </comment>
    <comment ref="D11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UN population prospects</t>
        </r>
      </text>
    </comment>
    <comment ref="AA11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UN population prospects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2011 UNPOP</t>
        </r>
      </text>
    </comment>
    <comment ref="D116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 UNPOP</t>
        </r>
      </text>
    </comment>
    <comment ref="D117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2011 UNPOP</t>
        </r>
      </text>
    </comment>
    <comment ref="D119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2010</t>
        </r>
      </text>
    </comment>
    <comment ref="D12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2010?</t>
        </r>
      </text>
    </comment>
    <comment ref="D125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SocioEconomicSurvey 2010</t>
        </r>
      </text>
    </comment>
    <comment ref="AC125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Number of beneficiaries aged 65+: 5928820 in 2010 (SES)</t>
        </r>
      </text>
    </comment>
    <comment ref="Y13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http://www.socialprotection.go.ug/index.php</t>
        </r>
      </text>
    </comment>
    <comment ref="AA13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
UNPOP 2010Rev</t>
        </r>
      </text>
    </comment>
    <comment ref="AB13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2012
UNPOP 2010Rev</t>
        </r>
      </text>
    </comment>
    <comment ref="AA13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2007 UNPOP</t>
        </r>
      </text>
    </comment>
    <comment ref="AB13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2007 UNPOP</t>
        </r>
      </text>
    </comment>
    <comment ref="Y132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http://www.norfolkinsight.org.uk/dataviews/view?viewId=153</t>
        </r>
      </text>
    </comment>
    <comment ref="Y13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http://www.ssa.gov/policy/docs/statcomps/supplement/2012/7a.html#table7.a1
SSA</t>
        </r>
      </text>
    </comment>
    <comment ref="AH133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Total benefit payment for people aged 65 and over
2011 
Source: SSA http://www.ssa.gov/policy/docs/statcomps/supplement/2012/7a.html#table7.a1</t>
        </r>
      </text>
    </comment>
    <comment ref="D134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2010?</t>
        </r>
      </text>
    </comment>
    <comment ref="AA134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2010 UNPOP</t>
        </r>
      </text>
    </comment>
  </commentList>
</comments>
</file>

<file path=xl/sharedStrings.xml><?xml version="1.0" encoding="utf-8"?>
<sst xmlns="http://schemas.openxmlformats.org/spreadsheetml/2006/main" count="3123" uniqueCount="578">
  <si>
    <t>New Zealand Dollars</t>
  </si>
  <si>
    <t>Norway</t>
  </si>
  <si>
    <t>Norway kroner</t>
  </si>
  <si>
    <t>Panama</t>
  </si>
  <si>
    <t>100 a los 70</t>
  </si>
  <si>
    <t>Paraguay</t>
  </si>
  <si>
    <t>Philippines</t>
  </si>
  <si>
    <t xml:space="preserve">Ph Pesos </t>
  </si>
  <si>
    <t>77 (in process of extension)</t>
  </si>
  <si>
    <t>Samoa</t>
  </si>
  <si>
    <t>Senior Citizens Benefit</t>
  </si>
  <si>
    <t>Tala</t>
  </si>
  <si>
    <t>Seychelles</t>
  </si>
  <si>
    <t>Old-age pension (social security fund)</t>
  </si>
  <si>
    <t>Slovenia</t>
  </si>
  <si>
    <t>South Africa</t>
  </si>
  <si>
    <t>Grant for Older Persons</t>
  </si>
  <si>
    <t>Rand</t>
  </si>
  <si>
    <t>Means-tested (affluence-tested)</t>
  </si>
  <si>
    <t>Spain</t>
  </si>
  <si>
    <t>Non Contributory Pension for retirement ( Pension no Contributiva de Jubilacion)</t>
  </si>
  <si>
    <t>Swaziland</t>
  </si>
  <si>
    <t>Old Age Grant</t>
  </si>
  <si>
    <t>Emalangeni</t>
  </si>
  <si>
    <t>Sweden</t>
  </si>
  <si>
    <t>Kronor</t>
  </si>
  <si>
    <t>Tajikistan</t>
  </si>
  <si>
    <t>somoni</t>
  </si>
  <si>
    <t>Thailand</t>
  </si>
  <si>
    <t>Baht</t>
  </si>
  <si>
    <t>Timor-Leste</t>
  </si>
  <si>
    <t>Trinidad and Tobago</t>
  </si>
  <si>
    <t>T&amp;T$</t>
  </si>
  <si>
    <t>Turkmenistan</t>
  </si>
  <si>
    <t>Manat</t>
  </si>
  <si>
    <t>Ukraine</t>
  </si>
  <si>
    <t>Social pension</t>
  </si>
  <si>
    <t>Hryvnias</t>
  </si>
  <si>
    <t>United Kingdom</t>
  </si>
  <si>
    <t>Pounds</t>
  </si>
  <si>
    <t>United States of America</t>
  </si>
  <si>
    <t>United States Dollars</t>
  </si>
  <si>
    <t>Uruguay</t>
  </si>
  <si>
    <t>Uzbekestan</t>
  </si>
  <si>
    <t>Viet Nam</t>
  </si>
  <si>
    <t>2004 (2007 in current form)</t>
  </si>
  <si>
    <t>Dong</t>
  </si>
  <si>
    <t>Zambia</t>
  </si>
  <si>
    <t>Social Cash Transfer Programme, Katete (Pilot)</t>
  </si>
  <si>
    <t>Kwacha</t>
  </si>
  <si>
    <t>Canadian Dollars</t>
  </si>
  <si>
    <t>Universal (with recovery from high-income earners)</t>
  </si>
  <si>
    <t>Cape Verde</t>
  </si>
  <si>
    <t xml:space="preserve"> Escudos</t>
  </si>
  <si>
    <t>Chile</t>
  </si>
  <si>
    <t>Means-tested (currently only the poorest 32 municipalities)</t>
  </si>
  <si>
    <t>Estonia</t>
  </si>
  <si>
    <t>Finland</t>
  </si>
  <si>
    <t>France</t>
  </si>
  <si>
    <t>Georgia</t>
  </si>
  <si>
    <t>lari</t>
  </si>
  <si>
    <t>Greece</t>
  </si>
  <si>
    <t>Hong Kong</t>
  </si>
  <si>
    <t>HK$</t>
  </si>
  <si>
    <t>Iceland</t>
  </si>
  <si>
    <t xml:space="preserve">Iceland Kronur  </t>
  </si>
  <si>
    <t>Universal (with affluence test)</t>
  </si>
  <si>
    <t>India</t>
  </si>
  <si>
    <t>Indira Gandhi National Old Age Pension Scheme</t>
  </si>
  <si>
    <t>1995 (2007 in current form)</t>
  </si>
  <si>
    <t>Rupees</t>
  </si>
  <si>
    <t>Ireland</t>
  </si>
  <si>
    <t>Israel</t>
  </si>
  <si>
    <t>New Shekel</t>
  </si>
  <si>
    <t>Italy</t>
  </si>
  <si>
    <t>Jamaica</t>
  </si>
  <si>
    <t>The Programme for Advancement through Health and Education (PATH)</t>
  </si>
  <si>
    <t>J$</t>
  </si>
  <si>
    <t>Kazakhstan</t>
  </si>
  <si>
    <t>State social benefit</t>
  </si>
  <si>
    <t>Kenya</t>
  </si>
  <si>
    <t>Older Persons Cash Transfer</t>
  </si>
  <si>
    <t>Kenya Shillings</t>
  </si>
  <si>
    <t>Hunger Safety Net Programme, Pilot (universal pension)</t>
  </si>
  <si>
    <t>Kiribati</t>
  </si>
  <si>
    <t>Korea, Republic of</t>
  </si>
  <si>
    <t>Won</t>
  </si>
  <si>
    <t>Kosovo</t>
  </si>
  <si>
    <t>Old age "basic pension"</t>
  </si>
  <si>
    <t>Euro</t>
  </si>
  <si>
    <t>Kyrgyzstan</t>
  </si>
  <si>
    <t>Som</t>
  </si>
  <si>
    <t>63 (m) 58 (w)</t>
  </si>
  <si>
    <t>Latvia</t>
  </si>
  <si>
    <t>Lats</t>
  </si>
  <si>
    <t>Lesotho</t>
  </si>
  <si>
    <t>Maloti</t>
  </si>
  <si>
    <t>Lithuania</t>
  </si>
  <si>
    <t>Litas</t>
  </si>
  <si>
    <t>62.5 (m) 62 (w)</t>
  </si>
  <si>
    <t>Maldives</t>
  </si>
  <si>
    <t>Old-age Basic Pension</t>
  </si>
  <si>
    <t xml:space="preserve">Rufiyaa </t>
  </si>
  <si>
    <t>Malta</t>
  </si>
  <si>
    <t>Old-age noncontributory pension</t>
  </si>
  <si>
    <t>Mauritius</t>
  </si>
  <si>
    <t>Basic Retirement Pension</t>
  </si>
  <si>
    <t>Rupee</t>
  </si>
  <si>
    <t>Mexico</t>
  </si>
  <si>
    <t>Universal (Mexico city)</t>
  </si>
  <si>
    <t>70 y mas</t>
  </si>
  <si>
    <t>Universal (small towns/rural)</t>
  </si>
  <si>
    <t>www.pension-watch.net</t>
  </si>
  <si>
    <t>Country</t>
  </si>
  <si>
    <t>Poverty rate</t>
  </si>
  <si>
    <t>Name of scheme</t>
  </si>
  <si>
    <t>Year introduced</t>
  </si>
  <si>
    <t>Local currency</t>
  </si>
  <si>
    <t>US$</t>
  </si>
  <si>
    <t>% of GDP per capita</t>
  </si>
  <si>
    <t>Moldova, Republic of</t>
  </si>
  <si>
    <t>State Social Allocation for Older Persons</t>
  </si>
  <si>
    <t>Lei</t>
  </si>
  <si>
    <t>Mongolia</t>
  </si>
  <si>
    <t>Social welfare pension</t>
  </si>
  <si>
    <t>Tugriks</t>
  </si>
  <si>
    <t>Namibia</t>
  </si>
  <si>
    <t>Old Age Pension (OAP)</t>
  </si>
  <si>
    <t>1992 (other social pension previously)</t>
  </si>
  <si>
    <t>N$</t>
  </si>
  <si>
    <t>Nepal</t>
  </si>
  <si>
    <t>1995 - first payment (Extended in 2008)</t>
  </si>
  <si>
    <t>70 (60 in some areas)</t>
  </si>
  <si>
    <t>Netherlands</t>
  </si>
  <si>
    <t>Old-age pension</t>
  </si>
  <si>
    <t>New Zealand</t>
  </si>
  <si>
    <t>Superannuation</t>
  </si>
  <si>
    <t>PPP $</t>
  </si>
  <si>
    <t>Age</t>
  </si>
  <si>
    <t>Targeting</t>
  </si>
  <si>
    <t>% population 60+ covered</t>
  </si>
  <si>
    <t>Total cost (% of GDP)</t>
  </si>
  <si>
    <t>Income</t>
  </si>
  <si>
    <t>Version: 23 June 2011</t>
  </si>
  <si>
    <t>Benefit level</t>
  </si>
  <si>
    <t>Population 60+</t>
  </si>
  <si>
    <t>Share 60+</t>
  </si>
  <si>
    <t>Level</t>
  </si>
  <si>
    <t>% of poverty line</t>
  </si>
  <si>
    <t>Number of recipients</t>
  </si>
  <si>
    <t>Antigua and Barbuda</t>
  </si>
  <si>
    <t>no data</t>
  </si>
  <si>
    <t>East Caribbean Dollar</t>
  </si>
  <si>
    <t>High income: nonOECD</t>
  </si>
  <si>
    <t>Argentina</t>
  </si>
  <si>
    <t>Pesos</t>
  </si>
  <si>
    <t>Means-tested</t>
  </si>
  <si>
    <t>Upper middle income</t>
  </si>
  <si>
    <t>Australia</t>
  </si>
  <si>
    <t>Age Pension</t>
  </si>
  <si>
    <t>Australian Dollars</t>
  </si>
  <si>
    <t>High income: OECD</t>
  </si>
  <si>
    <t>Azerbaijan</t>
  </si>
  <si>
    <t>New Manat</t>
  </si>
  <si>
    <t>67(m) 62 (w)</t>
  </si>
  <si>
    <t>Pensions-tested</t>
  </si>
  <si>
    <t>Lower middle income</t>
  </si>
  <si>
    <t>Bahamas</t>
  </si>
  <si>
    <t>Bahamas $</t>
  </si>
  <si>
    <t>Bangladesh</t>
  </si>
  <si>
    <t>Old Age Allowance</t>
  </si>
  <si>
    <t>Taka</t>
  </si>
  <si>
    <t>Low income</t>
  </si>
  <si>
    <t>Barbados</t>
  </si>
  <si>
    <t>Non-contributory Old Age Pension</t>
  </si>
  <si>
    <t>Barbados $</t>
  </si>
  <si>
    <t>65 and 6 months</t>
  </si>
  <si>
    <t>Belarus</t>
  </si>
  <si>
    <t>60 (M) 55 (W)</t>
  </si>
  <si>
    <t>Beligium</t>
  </si>
  <si>
    <t>Euros</t>
  </si>
  <si>
    <t>Belize</t>
  </si>
  <si>
    <t>Belize Dollars</t>
  </si>
  <si>
    <t>Bermuda</t>
  </si>
  <si>
    <t>B$</t>
  </si>
  <si>
    <t>Bolivia</t>
  </si>
  <si>
    <t>Renta Dignidad or Renta Universal de Vejez (previously Bonosol)</t>
  </si>
  <si>
    <t>Bolivianos</t>
  </si>
  <si>
    <t>Universal</t>
  </si>
  <si>
    <t>Botswana</t>
  </si>
  <si>
    <t>Pulas</t>
  </si>
  <si>
    <t>Brazil</t>
  </si>
  <si>
    <t>Previdencia Rural (Rural Pension)</t>
  </si>
  <si>
    <t>Reais</t>
  </si>
  <si>
    <t>/</t>
  </si>
  <si>
    <t>Beneficio de Prestacao Continuada (BPC / Continuous Cash Benefit)</t>
  </si>
  <si>
    <t>1995 (adapted from RMZ, 1974)</t>
  </si>
  <si>
    <t>Brunei Darussalam</t>
  </si>
  <si>
    <t>Old Age pension</t>
  </si>
  <si>
    <t>Brunei Dollar</t>
  </si>
  <si>
    <t>High Income: nonOECD</t>
  </si>
  <si>
    <t>Bulgaria</t>
  </si>
  <si>
    <t>Leva</t>
  </si>
  <si>
    <t>Pension Basica Solidaria de Vejez (PBS-Vejez)</t>
  </si>
  <si>
    <t>Peso</t>
  </si>
  <si>
    <t>Cook Islands</t>
  </si>
  <si>
    <t>Old Age Pension</t>
  </si>
  <si>
    <t>NZ Dollar</t>
  </si>
  <si>
    <t>Costa Rica</t>
  </si>
  <si>
    <t>Colon</t>
  </si>
  <si>
    <t>Cyprus</t>
  </si>
  <si>
    <t>Social Pension Scheme</t>
  </si>
  <si>
    <t>Denmark</t>
  </si>
  <si>
    <t>Danish Kroner</t>
  </si>
  <si>
    <t>Dominican republic</t>
  </si>
  <si>
    <t>Ecuador</t>
  </si>
  <si>
    <t>US Dollars</t>
  </si>
  <si>
    <t>El Salvador</t>
  </si>
  <si>
    <t>US dollars</t>
  </si>
  <si>
    <t>Annual level</t>
  </si>
  <si>
    <t>Source</t>
  </si>
  <si>
    <t>OECD (http://www.oecd.org/document/49/0,3746,en_2649_34757_42992113_1_1_1_1,00.html)</t>
  </si>
  <si>
    <t>Austria</t>
  </si>
  <si>
    <t>Canada basic</t>
  </si>
  <si>
    <t>Canada Targeted</t>
  </si>
  <si>
    <t>Canada targeted pension</t>
  </si>
  <si>
    <t>% population 65 covered</t>
  </si>
  <si>
    <t>Czech republic</t>
  </si>
  <si>
    <t>Basic pension</t>
  </si>
  <si>
    <t>Targeted pension</t>
  </si>
  <si>
    <t>Minimum pension</t>
  </si>
  <si>
    <t>Germany</t>
  </si>
  <si>
    <t>Hungary</t>
  </si>
  <si>
    <t>Japan</t>
  </si>
  <si>
    <t>Basic</t>
  </si>
  <si>
    <t>Poland</t>
  </si>
  <si>
    <t>Portugal</t>
  </si>
  <si>
    <t>Slovakia</t>
  </si>
  <si>
    <t>Switzerland</t>
  </si>
  <si>
    <t>Swiss francs</t>
  </si>
  <si>
    <t>65 for men and 62 for women</t>
  </si>
  <si>
    <t>Helpage, ADB</t>
  </si>
  <si>
    <t>Population 65+</t>
  </si>
  <si>
    <t>Population eligible age</t>
  </si>
  <si>
    <t>% population eligible age</t>
  </si>
  <si>
    <t>Rechercher profil de pauvreté par age</t>
  </si>
  <si>
    <t>http://www.aps.gob.bo/NR/rdonlyres/D7BADF6E-B2D1-4E93-A233-71ACBDA08A2E/12668/EstadisticasRentaDignidad_al_20111130.pdf</t>
  </si>
  <si>
    <t xml:space="preserve">Pensions not Related to Labour Activity Fund </t>
  </si>
  <si>
    <t>total benefit expenditure</t>
  </si>
  <si>
    <t>Eurostat  2009</t>
  </si>
  <si>
    <t>Eurostat 2008</t>
  </si>
  <si>
    <t>Benefit per beneficiary</t>
  </si>
  <si>
    <t>http://www.trabajo.gov.ar/left/estadisticas/descargas/bess/boletin2trim_2011.pdf</t>
  </si>
  <si>
    <r>
      <t xml:space="preserve">HelpAge International </t>
    </r>
    <r>
      <rPr>
        <b/>
        <i/>
        <sz val="8"/>
        <color indexed="10"/>
        <rFont val="Verdana"/>
        <family val="2"/>
      </rPr>
      <t>Social Pensions Database</t>
    </r>
  </si>
  <si>
    <t>Social assistance programmes database</t>
  </si>
  <si>
    <t>2008 cost barrientos</t>
  </si>
  <si>
    <t>Pensiones Asistenciales</t>
  </si>
  <si>
    <t>(2011) http://www.spensiones.cl/safpstats/stats/pageCCEE.php?menu=sps&amp;item=nbmpm</t>
  </si>
  <si>
    <t>Social assistance database barrientos
Superintendiencia http://www.spensiones.cl/safpstats/stats/pageCCEE.php?menu=sps&amp;item=nbmpm
Estimated cost Barrientos</t>
  </si>
  <si>
    <t>Allowance for Widow, Deserted and Destitute Women</t>
  </si>
  <si>
    <t>ILO social security inquiry</t>
  </si>
  <si>
    <t>Social old-age pension (social assistance</t>
  </si>
  <si>
    <t>Rubles</t>
  </si>
  <si>
    <t>National Statistical Committee of the Republic of Belarus (Belstat)</t>
  </si>
  <si>
    <t>2008 (Eurostat)</t>
  </si>
  <si>
    <t>OECD (http://www.oecd.org/document/49/0,3746,en_2649_34757_42992113_1_1_1_1,00.html) and Eurostat</t>
  </si>
  <si>
    <t>2008 - SSI</t>
  </si>
  <si>
    <t>2008 Eurostat</t>
  </si>
  <si>
    <t>Pensión por Vejez (Programa de Pensiones No-Contributivas)</t>
  </si>
  <si>
    <t>to be updated</t>
  </si>
  <si>
    <t>To be updated</t>
  </si>
  <si>
    <t>i</t>
  </si>
  <si>
    <t>Social assistance database</t>
  </si>
  <si>
    <t>Old Age Allowance (THA)</t>
  </si>
  <si>
    <t>Check year for beneficiaries (denominateur 2010)</t>
  </si>
  <si>
    <t>ADB</t>
  </si>
  <si>
    <t>Year</t>
  </si>
  <si>
    <t>2011?</t>
  </si>
  <si>
    <t>Old Age Assistance Programme</t>
  </si>
  <si>
    <t>Armenia</t>
  </si>
  <si>
    <t>Old Age Social Pension</t>
  </si>
  <si>
    <t>Drams</t>
  </si>
  <si>
    <t>Minimum wage</t>
  </si>
  <si>
    <t>Average wage</t>
  </si>
  <si>
    <t>65 (men) 64 (women)</t>
  </si>
  <si>
    <t>2009 and 2008</t>
  </si>
  <si>
    <t>Ausgleichszulage (Austrian Compensatory Supplement)</t>
  </si>
  <si>
    <t>65 (men) and 60 (women)</t>
  </si>
  <si>
    <t>Countries</t>
  </si>
  <si>
    <t xml:space="preserve">  |  </t>
  </si>
  <si>
    <t>% GDP per capita</t>
  </si>
  <si>
    <t>% Minimum wage</t>
  </si>
  <si>
    <t>% average wage</t>
  </si>
  <si>
    <t>Social Allowance (Old Age)</t>
  </si>
  <si>
    <t>Old Age Non-Contributory Pension (OANCP)</t>
  </si>
  <si>
    <t>IGO/GRAPA (Income Guarantee for the Elderly)</t>
  </si>
  <si>
    <t>2001 (current form)</t>
  </si>
  <si>
    <t>60 (men) 55 (women)</t>
  </si>
  <si>
    <t>67 (men) 65 (women)</t>
  </si>
  <si>
    <t>Non-contibutory old age pension</t>
  </si>
  <si>
    <t>Non-Contributory Pension Programme (NCP)</t>
  </si>
  <si>
    <t>1996 (Bonosol), 2008 (Renta Dignidad)</t>
  </si>
  <si>
    <t>1991 (extended)</t>
  </si>
  <si>
    <t>Tested on eligibility to pension and individual having worked in agricultural or subsistence production.</t>
  </si>
  <si>
    <t xml:space="preserve">Means tested </t>
  </si>
  <si>
    <t>Pension de la Securite Vieillesse (S.V.) (Old Age Security Pension)</t>
  </si>
  <si>
    <t>http://www.servicecanada.gc.ca/eng/isp/oas/oasrates.shtml</t>
  </si>
  <si>
    <r>
      <t>2012</t>
    </r>
    <r>
      <rPr>
        <sz val="8"/>
        <color theme="1"/>
        <rFont val="Calibri"/>
        <family val="2"/>
      </rPr>
      <t xml:space="preserve"> (Maximum amount. The maximum amount includes the new top-ups for the GIS and the Allowances effective July 1, 2011 . More information is available on Seniors section of the Service Canada website)</t>
    </r>
  </si>
  <si>
    <t>Pensao Social Minima (Minimum Social Pension)</t>
  </si>
  <si>
    <t>2006 (consolidated scheme)</t>
  </si>
  <si>
    <t>2009 (Survey) [Official data 23000]</t>
  </si>
  <si>
    <t>Household survey 2009</t>
  </si>
  <si>
    <t>Colombia</t>
  </si>
  <si>
    <t>Programa de Proteccion Social al Adulto Mayor (PPSAM) (Social Protection Programme for Older People) (Regional scheme)</t>
  </si>
  <si>
    <t>57 (men) and 52 (women)</t>
  </si>
  <si>
    <t>Programa Regimen No Contributivo</t>
  </si>
  <si>
    <t>2009 and 2007</t>
  </si>
  <si>
    <t>Luxembourg</t>
  </si>
  <si>
    <t>60-79</t>
  </si>
  <si>
    <t>Year/source</t>
  </si>
  <si>
    <t>2008/ ILO social security inquiry</t>
  </si>
  <si>
    <t>Caja Costarricense de Seguro Social  (in ILO/SSI)</t>
  </si>
  <si>
    <t>Folkepension [national pension - Universal basic pension]</t>
  </si>
  <si>
    <t>Programa Nonagenarios (Nonagarians Programme)</t>
  </si>
  <si>
    <t>2003 (in current form)</t>
  </si>
  <si>
    <t>Pension para Adultos Mayores (Pension for Older People/ Bono de Desarollo Humano )</t>
  </si>
  <si>
    <t>Pension Basica Universal (Universal basic pension)</t>
  </si>
  <si>
    <t>2012?</t>
  </si>
  <si>
    <t>National Pension</t>
  </si>
  <si>
    <t>Kansanelake (Old Age Pension)</t>
  </si>
  <si>
    <t>ASPA (allocation de solidarité aux personnes âgées)</t>
  </si>
  <si>
    <t>Guatemala</t>
  </si>
  <si>
    <t>Programa de aporte economico o del Adulto Mayor (Economic contribution programme for older people)</t>
  </si>
  <si>
    <t>Quetzal</t>
  </si>
  <si>
    <t>2011??</t>
  </si>
  <si>
    <t>Pension to uninsured elderly</t>
  </si>
  <si>
    <t>Check year</t>
  </si>
  <si>
    <t>Guyana</t>
  </si>
  <si>
    <t>1944 (first scheme introduced), 1993 (scheme became universal)</t>
  </si>
  <si>
    <t>Guyanese Dollar</t>
  </si>
  <si>
    <t>Normal/higher old age allowance</t>
  </si>
  <si>
    <t>65 (normal OAA), 70 (Higher OAA)</t>
  </si>
  <si>
    <t>Idoskoruak jaradeka (Old Age Allowance)</t>
  </si>
  <si>
    <t>Forints</t>
  </si>
  <si>
    <t>lífeyristryggingar almannatrygginga (National Basic Pension)</t>
  </si>
  <si>
    <t>2010?</t>
  </si>
  <si>
    <t xml:space="preserve">Indonesia </t>
  </si>
  <si>
    <t>Program Jaminan Sosial Lanjut Usia (Elderly Social Security Programme) (Pilot)</t>
  </si>
  <si>
    <t>Rupiah</t>
  </si>
  <si>
    <t>70 (60 if chronically ill)</t>
  </si>
  <si>
    <t>Income support benefit | Special old age benefit</t>
  </si>
  <si>
    <t>65-67 (men) and 60-64 (women)</t>
  </si>
  <si>
    <t>Targeted pension [Social allowance]</t>
  </si>
  <si>
    <t>Tenge</t>
  </si>
  <si>
    <t>Coverage</t>
  </si>
  <si>
    <t>Percentage eligible population</t>
  </si>
  <si>
    <t>Level of benefit</t>
  </si>
  <si>
    <t>63 (men) 58 (women)</t>
  </si>
  <si>
    <t>Pilot began in 2006/2007 budget year</t>
  </si>
  <si>
    <t>Pilot began in 2008</t>
  </si>
  <si>
    <t>Elderly pension</t>
  </si>
  <si>
    <t>Pension alimentaria</t>
  </si>
  <si>
    <t>Guarani</t>
  </si>
  <si>
    <t>Peru</t>
  </si>
  <si>
    <t>Pension 65</t>
  </si>
  <si>
    <t>Soles</t>
  </si>
  <si>
    <t xml:space="preserve">Means-tested </t>
  </si>
  <si>
    <t>Pensao Social de Velhice (Old Age Social Pension)</t>
  </si>
  <si>
    <t>Social assistance benefit (clause 3)</t>
  </si>
  <si>
    <t>Social assistance benefit (clause 2)</t>
  </si>
  <si>
    <t>Venezuela, Bolivarian Republic of</t>
  </si>
  <si>
    <t>Gran Mision Amor Mayor</t>
  </si>
  <si>
    <t>Bolivars</t>
  </si>
  <si>
    <t>60 (men) and 55 (women)</t>
  </si>
  <si>
    <t>Old age supplemental income benefit</t>
  </si>
  <si>
    <t>Pension credit (Guarantee Credit)</t>
  </si>
  <si>
    <t>1909 (first scheme introduced)</t>
  </si>
  <si>
    <t>1935 (first national scheme introduced)</t>
  </si>
  <si>
    <t>1995 (1919 first scheme introduced)</t>
  </si>
  <si>
    <t>Social pension + social pension supplement</t>
  </si>
  <si>
    <t>Uganda</t>
  </si>
  <si>
    <t>Senior Citizens Grant (Pilot in 14 districts)</t>
  </si>
  <si>
    <t>Uganda Shillings</t>
  </si>
  <si>
    <t>65 (60 in Karamoja Region)</t>
  </si>
  <si>
    <t xml:space="preserve">Social Allowance </t>
  </si>
  <si>
    <t>62 (men) 57 (women)</t>
  </si>
  <si>
    <t>2007 (SSI)</t>
  </si>
  <si>
    <t>Turkey</t>
  </si>
  <si>
    <t>Means-tested Old Age Pension</t>
  </si>
  <si>
    <t>Turkish Lira</t>
  </si>
  <si>
    <t>Senior Citizens' Pension</t>
  </si>
  <si>
    <t>1939 (first scheme introduced), 2010 (entitlement to a pension legislated)</t>
  </si>
  <si>
    <t>Support allowance for the elderly</t>
  </si>
  <si>
    <t>2010 (Socioeconomic survey)</t>
  </si>
  <si>
    <t>Old age pension</t>
  </si>
  <si>
    <t>65 (men) 60 (women)</t>
  </si>
  <si>
    <t>Garantipension (Guaranteed pension)</t>
  </si>
  <si>
    <t>2010???</t>
  </si>
  <si>
    <t>Suriname</t>
  </si>
  <si>
    <t>State Old Age Pension (Algemene Oudedags Voorzieningsfonds (AOV))</t>
  </si>
  <si>
    <t>Surinamese Dollar</t>
  </si>
  <si>
    <t>1927/8 first scheme introduced for whites, 1944 scheme extended to whole population, 1996 full parity reached.</t>
  </si>
  <si>
    <t>State pension</t>
  </si>
  <si>
    <t>Saint Vincent and the Grenadines</t>
  </si>
  <si>
    <t>Elderly Assistance Benefit</t>
  </si>
  <si>
    <t>67 (in 2009 - the time of implementation)</t>
  </si>
  <si>
    <t>Balboas</t>
  </si>
  <si>
    <t>Grunnpensjon (Basic Pension)</t>
  </si>
  <si>
    <t>62 (Flexible)</t>
  </si>
  <si>
    <t>Nigeria</t>
  </si>
  <si>
    <t>Ekiti State Social Security Scheme (Ekiti State only)</t>
  </si>
  <si>
    <t>Naira</t>
  </si>
  <si>
    <t>65 (residents of Ekiti State only)</t>
  </si>
  <si>
    <t>Pension Alimentaria Ciudadana</t>
  </si>
  <si>
    <t>62(men) 57(women)</t>
  </si>
  <si>
    <t>Antigua and Barbuda  |  Old Age Assistance Programme</t>
  </si>
  <si>
    <t/>
  </si>
  <si>
    <t>Argentina  |  Pensiones Asistenciales</t>
  </si>
  <si>
    <t>Armenia  |  Old Age Social Pension</t>
  </si>
  <si>
    <t>Australia  |  Age Pension</t>
  </si>
  <si>
    <t>Austria  |  Ausgleichszulage (Austrian Compensatory Supplement)</t>
  </si>
  <si>
    <t>Azerbaijan  |  Social Allowance (Old Age)</t>
  </si>
  <si>
    <t>Bahamas  |  Old Age Non-Contributory Pension (OANCP)</t>
  </si>
  <si>
    <t>Bangladesh  |  Old Age Allowance</t>
  </si>
  <si>
    <t>Bangladesh  |  Allowance for Widow, Deserted and Destitute Women</t>
  </si>
  <si>
    <t>Barbados  |  Non-contributory Old Age Pension</t>
  </si>
  <si>
    <t>Belarus  |  Social old-age pension (social assistance</t>
  </si>
  <si>
    <t>Beligium  |  IGO/GRAPA (Income Guarantee for the Elderly)</t>
  </si>
  <si>
    <t>Belize  |  Non-Contributory Pension Programme (NCP)</t>
  </si>
  <si>
    <t>Bermuda  |  Non-contibutory old age pension</t>
  </si>
  <si>
    <t>Bolivia  |  Renta Dignidad or Renta Universal de Vejez (previously Bonosol)</t>
  </si>
  <si>
    <t>Botswana  |  Old Age Pension (OAP)</t>
  </si>
  <si>
    <t>Brazil  |  Previdencia Rural (Rural Pension)</t>
  </si>
  <si>
    <t>Brazil  |  Beneficio de Prestacao Continuada (BPC / Continuous Cash Benefit)</t>
  </si>
  <si>
    <t>Brunei Darussalam  |  Old Age pension</t>
  </si>
  <si>
    <t xml:space="preserve">Bulgaria  |  Pensions not Related to Labour Activity Fund </t>
  </si>
  <si>
    <t>Canada Targeted  |  Canada targeted pension</t>
  </si>
  <si>
    <t>Canada basic  |  Pension de la Securite Vieillesse (S.V.) (Old Age Security Pension)</t>
  </si>
  <si>
    <t>Cape Verde  |  Pensao Social Minima (Minimum Social Pension)</t>
  </si>
  <si>
    <t>Chile  |  Pension Basica Solidaria de Vejez (PBS-Vejez)</t>
  </si>
  <si>
    <t>Colombia  |  Programa de Proteccion Social al Adulto Mayor (PPSAM) (Social Protection Programme for Older People) (Regional scheme)</t>
  </si>
  <si>
    <t>Cook Islands  |  Old Age Pension</t>
  </si>
  <si>
    <t>Costa Rica  |  Programa Regimen No Contributivo</t>
  </si>
  <si>
    <t>Cyprus  |  Social Pension Scheme</t>
  </si>
  <si>
    <t>Czech republic  |  Basic pension</t>
  </si>
  <si>
    <t>Czech republic  |  Targeted pension</t>
  </si>
  <si>
    <t>Czech republic  |  Minimum pension</t>
  </si>
  <si>
    <t>Denmark  |  Folkepension [national pension - Universal basic pension]</t>
  </si>
  <si>
    <t>Dominican republic  |  Programa Nonagenarios (Nonagarians Programme)</t>
  </si>
  <si>
    <t>Ecuador  |  Pension para Adultos Mayores (Pension for Older People/ Bono de Desarollo Humano )</t>
  </si>
  <si>
    <t>El Salvador  |  Pension Basica Universal (Universal basic pension)</t>
  </si>
  <si>
    <t>Estonia  |  National Pension</t>
  </si>
  <si>
    <t>Finland  |  Kansanelake (Old Age Pension)</t>
  </si>
  <si>
    <t>France  |  ASPA (allocation de solidarité aux personnes âgées)</t>
  </si>
  <si>
    <t>France  |  Minimum pension</t>
  </si>
  <si>
    <t>Georgia  |  Old Age Pension</t>
  </si>
  <si>
    <t>Germany  |  Targeted pension</t>
  </si>
  <si>
    <t>Greece  |  Pension to uninsured elderly</t>
  </si>
  <si>
    <t>Greece  |  Minimum pension</t>
  </si>
  <si>
    <t>Guatemala  |  Programa de aporte economico o del Adulto Mayor (Economic contribution programme for older people)</t>
  </si>
  <si>
    <t>Guyana  |  Old Age Pension</t>
  </si>
  <si>
    <t>Hong Kong  |  Normal/higher old age allowance</t>
  </si>
  <si>
    <t>Hungary  |  Minimum pension</t>
  </si>
  <si>
    <t>Hungary  |  Idoskoruak jaradeka (Old Age Allowance)</t>
  </si>
  <si>
    <t>Iceland  |  Targeted pension</t>
  </si>
  <si>
    <t>Iceland  |  lífeyristryggingar almannatrygginga (National Basic Pension)</t>
  </si>
  <si>
    <t>India  |  Indira Gandhi National Old Age Pension Scheme</t>
  </si>
  <si>
    <t>Indonesia   |  Program Jaminan Sosial Lanjut Usia (Elderly Social Security Programme) (Pilot)</t>
  </si>
  <si>
    <t>Ireland  |  Basic pension</t>
  </si>
  <si>
    <t>Ireland  |  Targeted pension</t>
  </si>
  <si>
    <t>Israel  |  Income support benefit | Special old age benefit</t>
  </si>
  <si>
    <t>Italy  |  Targeted pension [Social allowance]</t>
  </si>
  <si>
    <t>Italy  |  Minimum pension</t>
  </si>
  <si>
    <t>Jamaica  |  The Programme for Advancement through Health and Education (PATH)</t>
  </si>
  <si>
    <t>Japan  |  Basic pension</t>
  </si>
  <si>
    <t>Japan  |  Targeted pension</t>
  </si>
  <si>
    <t>Kazakhstan  |  State social benefit</t>
  </si>
  <si>
    <t>Kenya  |  Older Persons Cash Transfer</t>
  </si>
  <si>
    <t>Kenya  |  Hunger Safety Net Programme, Pilot (universal pension)</t>
  </si>
  <si>
    <t>Kiribati  |  Elderly pension</t>
  </si>
  <si>
    <t>Korea, Republic of  |  Basic</t>
  </si>
  <si>
    <t>Korea, Republic of  |  Targeted pension</t>
  </si>
  <si>
    <t>Kosovo  |  Old age "basic pension"</t>
  </si>
  <si>
    <t>Kyrgyzstan  |  no data</t>
  </si>
  <si>
    <t>Latvia  |  no data</t>
  </si>
  <si>
    <t>Lesotho  |  Old Age Pension</t>
  </si>
  <si>
    <t>Lithuania  |  no data</t>
  </si>
  <si>
    <t>Luxembourg  |  Basic pension</t>
  </si>
  <si>
    <t>Luxembourg  |  Targeted pension</t>
  </si>
  <si>
    <t>Luxembourg  |  Minimum pension</t>
  </si>
  <si>
    <t>Maldives  |  Old-age Basic Pension</t>
  </si>
  <si>
    <t>Malta  |  Old-age noncontributory pension</t>
  </si>
  <si>
    <t>Mauritius  |  Basic Retirement Pension</t>
  </si>
  <si>
    <t>Mexico  |  Pension Alimentaria Ciudadana</t>
  </si>
  <si>
    <t>Mexico  |  70 y mas</t>
  </si>
  <si>
    <t>Mexico  |  Minimum pension</t>
  </si>
  <si>
    <t>Moldova, Republic of  |  State Social Allocation for Older Persons</t>
  </si>
  <si>
    <t>Mongolia  |  Social welfare pension</t>
  </si>
  <si>
    <t>Namibia  |  Old Age Pension (OAP)</t>
  </si>
  <si>
    <t>Nepal  |  Old Age Allowance</t>
  </si>
  <si>
    <t>Netherlands  |  Old-age pension</t>
  </si>
  <si>
    <t>New Zealand  |  Superannuation</t>
  </si>
  <si>
    <t>Nigeria  |  Ekiti State Social Security Scheme (Ekiti State only)</t>
  </si>
  <si>
    <t>Norway  |  Grunnpensjon (Basic Pension)</t>
  </si>
  <si>
    <t>Norway  |  Minimum pension</t>
  </si>
  <si>
    <t>Panama  |  100 a los 70</t>
  </si>
  <si>
    <t>Paraguay  |  Pension alimentaria</t>
  </si>
  <si>
    <t>Peru  |  Pension 65</t>
  </si>
  <si>
    <t>Philippines  |  Old Age Grant</t>
  </si>
  <si>
    <t>Poland  |  Targeted pension</t>
  </si>
  <si>
    <t>Poland  |  Minimum pension</t>
  </si>
  <si>
    <t>Portugal  |  Pensao Social de Velhice (Old Age Social Pension)</t>
  </si>
  <si>
    <t>Portugal  |  Minimum pension</t>
  </si>
  <si>
    <t>Saint Vincent and the Grenadines  |  Elderly Assistance Benefit</t>
  </si>
  <si>
    <t>Samoa  |  Senior Citizens Benefit</t>
  </si>
  <si>
    <t>Seychelles  |  Old-age pension (social security fund)</t>
  </si>
  <si>
    <t>Slovakia  |  Targeted pension</t>
  </si>
  <si>
    <t>Slovenia  |  State pension</t>
  </si>
  <si>
    <t>Slovenia  |  Minimum pension</t>
  </si>
  <si>
    <t>South Africa  |  Grant for Older Persons</t>
  </si>
  <si>
    <t>Spain  |  Non Contributory Pension for retirement ( Pension no Contributiva de Jubilacion)</t>
  </si>
  <si>
    <t>Spain  |  Minimum pension</t>
  </si>
  <si>
    <t>Suriname  |  State Old Age Pension (Algemene Oudedags Voorzieningsfonds (AOV))</t>
  </si>
  <si>
    <t>Swaziland  |  Old Age Grant</t>
  </si>
  <si>
    <t>Sweden  |  Garantipension (Guaranteed pension)</t>
  </si>
  <si>
    <t>Switzerland  |  Targeted pension</t>
  </si>
  <si>
    <t>Switzerland  |  Minimum pension</t>
  </si>
  <si>
    <t>Tajikistan  |  Old age pension</t>
  </si>
  <si>
    <t>Thailand  |  Old Age Allowance (THA)</t>
  </si>
  <si>
    <t>Timor-Leste  |  Support allowance for the elderly</t>
  </si>
  <si>
    <t>Trinidad and Tobago  |  Senior Citizens' Pension</t>
  </si>
  <si>
    <t>Turkey  |  Means-tested Old Age Pension</t>
  </si>
  <si>
    <t xml:space="preserve">Turkmenistan  |  Social Allowance </t>
  </si>
  <si>
    <t>Uganda  |  Senior Citizens Grant (Pilot in 14 districts)</t>
  </si>
  <si>
    <t>Ukraine  |  Social pension + social pension supplement</t>
  </si>
  <si>
    <t>United Kingdom  |  Pension credit (Guarantee Credit)</t>
  </si>
  <si>
    <t>United States of America  |  Old age supplemental income benefit</t>
  </si>
  <si>
    <t>Uruguay  |  Pensión por Vejez (Programa de Pensiones No-Contributivas)</t>
  </si>
  <si>
    <t>Uzbekestan  |  Social pension</t>
  </si>
  <si>
    <t>Venezuela, Bolivarian Republic of  |  Gran Mision Amor Mayor</t>
  </si>
  <si>
    <t>Viet Nam  |  Social assistance benefit (clause 3)</t>
  </si>
  <si>
    <t>Viet Nam  |  Social assistance benefit (clause 2)</t>
  </si>
  <si>
    <t>Zambia  |  Social Cash Transfer Programme, Katete (Pilot)</t>
  </si>
  <si>
    <t>2009/SSI</t>
  </si>
  <si>
    <t>Basic old-age pension</t>
  </si>
  <si>
    <t>Social assistance allowance (old age)</t>
  </si>
  <si>
    <t>State social security benefit</t>
  </si>
  <si>
    <t>Old age social assistance pension</t>
  </si>
  <si>
    <t>Malaysia</t>
  </si>
  <si>
    <t xml:space="preserve">Bantuan Orang Tua </t>
  </si>
  <si>
    <t>Ringgit</t>
  </si>
  <si>
    <t>1950 (scheme first implemented), 1958 (scheme became universal)</t>
  </si>
  <si>
    <t>Amanecer</t>
  </si>
  <si>
    <t>Universal (Chiapas State)</t>
  </si>
  <si>
    <t>PPP</t>
  </si>
  <si>
    <t>.</t>
  </si>
  <si>
    <t>Eurostat 2006</t>
  </si>
  <si>
    <t>Non contributory pension. Coverage (percentage of eligible age) and level of benfit expressed in PPP$</t>
  </si>
  <si>
    <t>Venezuela</t>
  </si>
  <si>
    <t>Viet Nam [60-79 years old]</t>
  </si>
  <si>
    <t>Viet Nam  [80 years old and over]</t>
  </si>
  <si>
    <t xml:space="preserve">The Non-Contributory Assistance Age Pension (NAAP) </t>
  </si>
  <si>
    <t>2012  http://www.cepal.org/celade/noticias/paginas/9/46849/SaintVincentGrenadines.pdf</t>
  </si>
  <si>
    <t>Saint Kitts and Nevis</t>
  </si>
  <si>
    <t>62+</t>
  </si>
  <si>
    <t>2010 [http://www.socialsecurity.kn/res_publist.asp?SFType=3]</t>
  </si>
  <si>
    <t>2006 (http://www.finance.gov.tt/content/pub35.pdf</t>
  </si>
  <si>
    <t>2012
http://www.cepal.org/celade/noticias/paginas/9/46849/AntiguaBarbuda.pdf (p.12)</t>
  </si>
  <si>
    <t>Non contriB$utory and minimum pension level as a percentage of GDP per capita, minimum wage or average wage</t>
  </si>
  <si>
    <t>Percentage eligiB$le population</t>
  </si>
  <si>
    <t>Level of Benefit</t>
  </si>
  <si>
    <t>Percentage of population aged 60+</t>
  </si>
  <si>
    <t>Brazil [Rural pensionn]</t>
  </si>
  <si>
    <t>Brazil [BPC]</t>
  </si>
  <si>
    <t>% population 55+ covered</t>
  </si>
  <si>
    <t>Algeria</t>
  </si>
  <si>
    <t>Allocation forfaitaire de solidarité</t>
  </si>
  <si>
    <t>2009  http://www.ohchr.org/Documents/Issues/EPoverty/older/Algeria.pdf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</si>
</sst>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0.0"/>
    <numFmt numFmtId="166" formatCode="#,##0.0"/>
    <numFmt numFmtId="167" formatCode="###\ ###\ ##0"/>
    <numFmt numFmtId="168" formatCode="###.0\ ###\ ##0"/>
    <numFmt numFmtId="169" formatCode="###.00\ ###\ ##0"/>
  </numFmts>
  <fonts count="22">
    <font>
      <sz val="10"/>
      <name val="Verdana"/>
    </font>
    <font>
      <sz val="10"/>
      <color theme="1"/>
      <name val="Calibri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i/>
      <sz val="8"/>
      <color indexed="10"/>
      <name val="Verdana"/>
      <family val="2"/>
    </font>
    <font>
      <b/>
      <u/>
      <sz val="8"/>
      <color indexed="12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7"/>
      <name val="Verdana"/>
      <family val="2"/>
    </font>
    <font>
      <b/>
      <sz val="7"/>
      <color indexed="9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sz val="8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11"/>
      </patternFill>
    </fill>
    <fill>
      <patternFill patternType="solid">
        <fgColor theme="6" tint="0.39994506668294322"/>
        <bgColor indexed="3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indexed="9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indexed="9"/>
      </left>
      <right style="medium">
        <color indexed="9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9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9"/>
      </left>
      <right style="medium">
        <color indexed="9"/>
      </right>
      <top style="hair">
        <color theme="1" tint="0.24994659260841701"/>
      </top>
      <bottom style="thin">
        <color theme="1" tint="0.24994659260841701"/>
      </bottom>
      <diagonal/>
    </border>
    <border>
      <left style="medium">
        <color indexed="9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202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/>
    <xf numFmtId="3" fontId="3" fillId="2" borderId="0" xfId="0" applyNumberFormat="1" applyFont="1" applyFill="1"/>
    <xf numFmtId="0" fontId="3" fillId="2" borderId="0" xfId="0" applyFont="1" applyFill="1"/>
    <xf numFmtId="9" fontId="3" fillId="2" borderId="0" xfId="0" applyNumberFormat="1" applyFont="1" applyFill="1"/>
    <xf numFmtId="10" fontId="3" fillId="2" borderId="0" xfId="0" applyNumberFormat="1" applyFont="1" applyFill="1"/>
    <xf numFmtId="0" fontId="6" fillId="2" borderId="0" xfId="0" applyFont="1" applyFill="1"/>
    <xf numFmtId="0" fontId="8" fillId="2" borderId="0" xfId="1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9" fontId="9" fillId="2" borderId="0" xfId="0" applyNumberFormat="1" applyFont="1" applyFill="1"/>
    <xf numFmtId="10" fontId="9" fillId="2" borderId="0" xfId="0" applyNumberFormat="1" applyFont="1" applyFill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 wrapText="1"/>
    </xf>
    <xf numFmtId="164" fontId="9" fillId="2" borderId="0" xfId="0" applyNumberFormat="1" applyFont="1" applyFill="1" applyBorder="1" applyAlignment="1">
      <alignment vertical="top" wrapText="1"/>
    </xf>
    <xf numFmtId="9" fontId="9" fillId="2" borderId="0" xfId="0" applyNumberFormat="1" applyFont="1" applyFill="1" applyBorder="1" applyAlignment="1">
      <alignment vertical="top" wrapText="1"/>
    </xf>
    <xf numFmtId="0" fontId="9" fillId="2" borderId="0" xfId="0" applyNumberFormat="1" applyFont="1" applyFill="1" applyBorder="1" applyAlignment="1">
      <alignment vertical="top" wrapText="1"/>
    </xf>
    <xf numFmtId="3" fontId="9" fillId="2" borderId="0" xfId="0" applyNumberFormat="1" applyFont="1" applyFill="1" applyAlignment="1">
      <alignment vertical="top" wrapText="1"/>
    </xf>
    <xf numFmtId="0" fontId="9" fillId="2" borderId="0" xfId="0" applyNumberFormat="1" applyFont="1" applyFill="1" applyAlignment="1">
      <alignment vertical="top" wrapText="1"/>
    </xf>
    <xf numFmtId="1" fontId="9" fillId="2" borderId="0" xfId="0" applyNumberFormat="1" applyFont="1" applyFill="1" applyAlignment="1">
      <alignment vertical="top" wrapText="1"/>
    </xf>
    <xf numFmtId="9" fontId="9" fillId="2" borderId="0" xfId="0" applyNumberFormat="1" applyFont="1" applyFill="1" applyAlignment="1">
      <alignment vertical="top" wrapText="1"/>
    </xf>
    <xf numFmtId="9" fontId="9" fillId="2" borderId="0" xfId="2" applyNumberFormat="1" applyFont="1" applyFill="1" applyBorder="1" applyAlignment="1" applyProtection="1">
      <alignment vertical="top" wrapText="1"/>
    </xf>
    <xf numFmtId="10" fontId="9" fillId="2" borderId="0" xfId="2" applyNumberFormat="1" applyFont="1" applyFill="1" applyBorder="1" applyAlignment="1" applyProtection="1">
      <alignment vertical="top" wrapText="1"/>
    </xf>
    <xf numFmtId="0" fontId="9" fillId="2" borderId="2" xfId="0" applyFont="1" applyFill="1" applyBorder="1" applyAlignment="1">
      <alignment horizontal="left" vertical="center"/>
    </xf>
    <xf numFmtId="165" fontId="9" fillId="2" borderId="0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/>
    </xf>
    <xf numFmtId="167" fontId="3" fillId="2" borderId="0" xfId="0" applyNumberFormat="1" applyFont="1" applyFill="1"/>
    <xf numFmtId="167" fontId="9" fillId="2" borderId="0" xfId="0" applyNumberFormat="1" applyFont="1" applyFill="1"/>
    <xf numFmtId="167" fontId="9" fillId="2" borderId="0" xfId="2" applyNumberFormat="1" applyFont="1" applyFill="1" applyBorder="1" applyAlignment="1" applyProtection="1">
      <alignment vertical="top" wrapText="1"/>
    </xf>
    <xf numFmtId="0" fontId="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top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9" fontId="10" fillId="5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 wrapText="1"/>
    </xf>
    <xf numFmtId="9" fontId="10" fillId="3" borderId="4" xfId="2" applyNumberFormat="1" applyFont="1" applyFill="1" applyBorder="1" applyAlignment="1" applyProtection="1">
      <alignment horizontal="center" vertical="center" wrapText="1"/>
    </xf>
    <xf numFmtId="10" fontId="10" fillId="3" borderId="4" xfId="2" applyNumberFormat="1" applyFont="1" applyFill="1" applyBorder="1" applyAlignment="1" applyProtection="1">
      <alignment horizontal="center" vertical="center" wrapText="1"/>
    </xf>
    <xf numFmtId="167" fontId="10" fillId="3" borderId="4" xfId="2" applyNumberFormat="1" applyFont="1" applyFill="1" applyBorder="1" applyAlignment="1" applyProtection="1">
      <alignment horizontal="center" vertical="center" wrapText="1"/>
    </xf>
    <xf numFmtId="167" fontId="3" fillId="2" borderId="0" xfId="0" applyNumberFormat="1" applyFont="1" applyFill="1" applyAlignment="1">
      <alignment horizontal="right"/>
    </xf>
    <xf numFmtId="167" fontId="9" fillId="2" borderId="0" xfId="0" applyNumberFormat="1" applyFont="1" applyFill="1" applyAlignment="1">
      <alignment horizontal="right"/>
    </xf>
    <xf numFmtId="167" fontId="10" fillId="3" borderId="4" xfId="2" applyNumberFormat="1" applyFont="1" applyFill="1" applyBorder="1" applyAlignment="1" applyProtection="1">
      <alignment horizontal="right" vertical="center" wrapText="1"/>
    </xf>
    <xf numFmtId="167" fontId="9" fillId="2" borderId="0" xfId="2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/>
    <xf numFmtId="1" fontId="11" fillId="2" borderId="0" xfId="0" applyNumberFormat="1" applyFon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/>
    <xf numFmtId="1" fontId="13" fillId="2" borderId="0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1" fontId="15" fillId="2" borderId="0" xfId="0" applyNumberFormat="1" applyFont="1" applyFill="1" applyAlignment="1">
      <alignment vertical="top" wrapText="1"/>
    </xf>
    <xf numFmtId="0" fontId="3" fillId="7" borderId="0" xfId="0" applyFont="1" applyFill="1"/>
    <xf numFmtId="9" fontId="3" fillId="7" borderId="0" xfId="0" applyNumberFormat="1" applyFont="1" applyFill="1"/>
    <xf numFmtId="0" fontId="1" fillId="6" borderId="0" xfId="3"/>
    <xf numFmtId="0" fontId="1" fillId="6" borderId="6" xfId="3" applyBorder="1" applyAlignment="1">
      <alignment horizontal="left" vertical="center"/>
    </xf>
    <xf numFmtId="0" fontId="1" fillId="6" borderId="6" xfId="3" applyNumberFormat="1" applyBorder="1" applyAlignment="1">
      <alignment vertical="top" wrapText="1"/>
    </xf>
    <xf numFmtId="3" fontId="1" fillId="6" borderId="6" xfId="3" applyNumberFormat="1" applyBorder="1" applyAlignment="1">
      <alignment vertical="top" wrapText="1"/>
    </xf>
    <xf numFmtId="164" fontId="1" fillId="6" borderId="6" xfId="3" applyNumberFormat="1" applyBorder="1" applyAlignment="1">
      <alignment vertical="top" wrapText="1"/>
    </xf>
    <xf numFmtId="9" fontId="1" fillId="6" borderId="6" xfId="3" applyNumberFormat="1" applyBorder="1" applyAlignment="1">
      <alignment vertical="top" wrapText="1"/>
    </xf>
    <xf numFmtId="0" fontId="1" fillId="6" borderId="0" xfId="3" applyNumberFormat="1" applyBorder="1" applyAlignment="1">
      <alignment vertical="top" wrapText="1"/>
    </xf>
    <xf numFmtId="1" fontId="1" fillId="6" borderId="6" xfId="3" applyNumberFormat="1" applyBorder="1" applyAlignment="1">
      <alignment vertical="top" wrapText="1"/>
    </xf>
    <xf numFmtId="0" fontId="1" fillId="6" borderId="6" xfId="3" applyBorder="1" applyAlignment="1">
      <alignment horizontal="right" vertical="top" wrapText="1"/>
    </xf>
    <xf numFmtId="3" fontId="1" fillId="6" borderId="6" xfId="3" applyNumberFormat="1" applyBorder="1" applyAlignment="1" applyProtection="1">
      <alignment vertical="top" wrapText="1"/>
    </xf>
    <xf numFmtId="166" fontId="1" fillId="6" borderId="6" xfId="3" applyNumberFormat="1" applyBorder="1" applyAlignment="1" applyProtection="1">
      <alignment vertical="top" wrapText="1"/>
    </xf>
    <xf numFmtId="10" fontId="1" fillId="6" borderId="6" xfId="3" applyNumberFormat="1" applyBorder="1" applyAlignment="1" applyProtection="1">
      <alignment vertical="top" wrapText="1"/>
    </xf>
    <xf numFmtId="167" fontId="1" fillId="6" borderId="6" xfId="3" applyNumberFormat="1" applyBorder="1" applyAlignment="1" applyProtection="1">
      <alignment vertical="top" wrapText="1"/>
    </xf>
    <xf numFmtId="167" fontId="1" fillId="6" borderId="6" xfId="3" applyNumberFormat="1" applyBorder="1" applyAlignment="1" applyProtection="1">
      <alignment horizontal="right" vertical="top" wrapText="1"/>
    </xf>
    <xf numFmtId="0" fontId="1" fillId="6" borderId="7" xfId="3" applyBorder="1"/>
    <xf numFmtId="0" fontId="1" fillId="6" borderId="8" xfId="3" applyBorder="1" applyAlignment="1">
      <alignment horizontal="left" vertical="center"/>
    </xf>
    <xf numFmtId="0" fontId="1" fillId="6" borderId="8" xfId="3" applyNumberFormat="1" applyBorder="1" applyAlignment="1">
      <alignment vertical="top" wrapText="1"/>
    </xf>
    <xf numFmtId="3" fontId="1" fillId="6" borderId="8" xfId="3" applyNumberFormat="1" applyBorder="1" applyAlignment="1">
      <alignment vertical="top" wrapText="1"/>
    </xf>
    <xf numFmtId="164" fontId="1" fillId="6" borderId="8" xfId="3" applyNumberFormat="1" applyBorder="1" applyAlignment="1">
      <alignment vertical="top" wrapText="1"/>
    </xf>
    <xf numFmtId="9" fontId="1" fillId="6" borderId="8" xfId="3" applyNumberFormat="1" applyBorder="1" applyAlignment="1">
      <alignment vertical="top" wrapText="1"/>
    </xf>
    <xf numFmtId="1" fontId="1" fillId="6" borderId="8" xfId="3" applyNumberFormat="1" applyBorder="1" applyAlignment="1">
      <alignment vertical="top" wrapText="1"/>
    </xf>
    <xf numFmtId="165" fontId="1" fillId="6" borderId="8" xfId="3" applyNumberFormat="1" applyBorder="1" applyAlignment="1">
      <alignment vertical="top" wrapText="1"/>
    </xf>
    <xf numFmtId="0" fontId="1" fillId="6" borderId="8" xfId="3" applyBorder="1" applyAlignment="1">
      <alignment horizontal="right" vertical="top" wrapText="1"/>
    </xf>
    <xf numFmtId="3" fontId="1" fillId="6" borderId="8" xfId="3" applyNumberFormat="1" applyBorder="1" applyAlignment="1" applyProtection="1">
      <alignment vertical="top" wrapText="1"/>
    </xf>
    <xf numFmtId="165" fontId="1" fillId="6" borderId="8" xfId="3" applyNumberFormat="1" applyBorder="1" applyAlignment="1" applyProtection="1">
      <alignment vertical="top" wrapText="1"/>
    </xf>
    <xf numFmtId="166" fontId="1" fillId="6" borderId="8" xfId="3" applyNumberFormat="1" applyBorder="1" applyAlignment="1" applyProtection="1">
      <alignment vertical="top" wrapText="1"/>
    </xf>
    <xf numFmtId="10" fontId="1" fillId="6" borderId="8" xfId="3" applyNumberFormat="1" applyBorder="1" applyAlignment="1" applyProtection="1">
      <alignment vertical="top" wrapText="1"/>
    </xf>
    <xf numFmtId="167" fontId="1" fillId="6" borderId="8" xfId="3" applyNumberFormat="1" applyBorder="1" applyAlignment="1" applyProtection="1">
      <alignment vertical="top" wrapText="1"/>
    </xf>
    <xf numFmtId="167" fontId="1" fillId="6" borderId="8" xfId="3" applyNumberFormat="1" applyBorder="1" applyAlignment="1" applyProtection="1">
      <alignment horizontal="right" vertical="top" wrapText="1"/>
    </xf>
    <xf numFmtId="0" fontId="1" fillId="6" borderId="9" xfId="3" applyBorder="1"/>
    <xf numFmtId="0" fontId="1" fillId="6" borderId="0" xfId="3" applyAlignment="1">
      <alignment vertical="top" wrapText="1"/>
    </xf>
    <xf numFmtId="169" fontId="1" fillId="6" borderId="8" xfId="3" applyNumberFormat="1" applyBorder="1" applyAlignment="1" applyProtection="1">
      <alignment vertical="top" wrapText="1"/>
    </xf>
    <xf numFmtId="10" fontId="1" fillId="6" borderId="0" xfId="3" applyNumberFormat="1" applyBorder="1" applyAlignment="1" applyProtection="1">
      <alignment vertical="top" wrapText="1"/>
    </xf>
    <xf numFmtId="168" fontId="1" fillId="6" borderId="8" xfId="3" applyNumberFormat="1" applyBorder="1" applyAlignment="1" applyProtection="1">
      <alignment vertical="top" wrapText="1"/>
    </xf>
    <xf numFmtId="0" fontId="1" fillId="6" borderId="9" xfId="3" applyBorder="1" applyAlignment="1">
      <alignment wrapText="1"/>
    </xf>
    <xf numFmtId="0" fontId="1" fillId="6" borderId="10" xfId="3" applyNumberFormat="1" applyBorder="1" applyAlignment="1">
      <alignment vertical="top" wrapText="1"/>
    </xf>
    <xf numFmtId="3" fontId="1" fillId="6" borderId="10" xfId="3" applyNumberFormat="1" applyBorder="1" applyAlignment="1">
      <alignment vertical="top" wrapText="1"/>
    </xf>
    <xf numFmtId="164" fontId="1" fillId="6" borderId="10" xfId="3" applyNumberFormat="1" applyBorder="1" applyAlignment="1">
      <alignment vertical="top" wrapText="1"/>
    </xf>
    <xf numFmtId="9" fontId="1" fillId="6" borderId="10" xfId="3" applyNumberFormat="1" applyBorder="1" applyAlignment="1">
      <alignment vertical="top" wrapText="1"/>
    </xf>
    <xf numFmtId="1" fontId="1" fillId="6" borderId="10" xfId="3" applyNumberFormat="1" applyBorder="1" applyAlignment="1">
      <alignment vertical="top" wrapText="1"/>
    </xf>
    <xf numFmtId="0" fontId="1" fillId="6" borderId="10" xfId="3" applyBorder="1" applyAlignment="1">
      <alignment horizontal="right" vertical="top" wrapText="1"/>
    </xf>
    <xf numFmtId="3" fontId="1" fillId="6" borderId="10" xfId="3" applyNumberFormat="1" applyBorder="1" applyAlignment="1" applyProtection="1">
      <alignment vertical="top" wrapText="1"/>
    </xf>
    <xf numFmtId="10" fontId="1" fillId="6" borderId="10" xfId="3" applyNumberFormat="1" applyBorder="1" applyAlignment="1" applyProtection="1">
      <alignment vertical="top" wrapText="1"/>
    </xf>
    <xf numFmtId="167" fontId="1" fillId="6" borderId="10" xfId="3" applyNumberFormat="1" applyBorder="1" applyAlignment="1" applyProtection="1">
      <alignment vertical="top" wrapText="1"/>
    </xf>
    <xf numFmtId="167" fontId="1" fillId="6" borderId="10" xfId="3" applyNumberFormat="1" applyBorder="1" applyAlignment="1" applyProtection="1">
      <alignment horizontal="right" vertical="top" wrapText="1"/>
    </xf>
    <xf numFmtId="0" fontId="1" fillId="6" borderId="11" xfId="3" applyBorder="1"/>
    <xf numFmtId="165" fontId="3" fillId="2" borderId="0" xfId="0" applyNumberFormat="1" applyFont="1" applyFill="1"/>
    <xf numFmtId="3" fontId="1" fillId="8" borderId="8" xfId="3" applyNumberFormat="1" applyFill="1" applyBorder="1" applyAlignment="1" applyProtection="1">
      <alignment vertical="top" wrapText="1"/>
    </xf>
    <xf numFmtId="165" fontId="1" fillId="8" borderId="8" xfId="3" applyNumberFormat="1" applyFill="1" applyBorder="1" applyAlignment="1" applyProtection="1">
      <alignment vertical="top" wrapText="1"/>
    </xf>
    <xf numFmtId="10" fontId="1" fillId="8" borderId="8" xfId="3" applyNumberFormat="1" applyFill="1" applyBorder="1" applyAlignment="1" applyProtection="1">
      <alignment vertical="top" wrapText="1"/>
    </xf>
    <xf numFmtId="0" fontId="3" fillId="9" borderId="0" xfId="0" applyFont="1" applyFill="1"/>
    <xf numFmtId="165" fontId="3" fillId="9" borderId="0" xfId="0" applyNumberFormat="1" applyFont="1" applyFill="1"/>
    <xf numFmtId="0" fontId="19" fillId="10" borderId="0" xfId="0" applyFont="1" applyFill="1"/>
    <xf numFmtId="0" fontId="1" fillId="10" borderId="8" xfId="3" applyNumberFormat="1" applyFill="1" applyBorder="1" applyAlignment="1">
      <alignment vertical="top" wrapText="1"/>
    </xf>
    <xf numFmtId="0" fontId="1" fillId="8" borderId="0" xfId="3" applyFill="1"/>
    <xf numFmtId="0" fontId="1" fillId="8" borderId="8" xfId="3" applyNumberFormat="1" applyFill="1" applyBorder="1" applyAlignment="1">
      <alignment vertical="top" wrapText="1"/>
    </xf>
    <xf numFmtId="3" fontId="1" fillId="8" borderId="8" xfId="3" applyNumberFormat="1" applyFill="1" applyBorder="1" applyAlignment="1">
      <alignment vertical="top" wrapText="1"/>
    </xf>
    <xf numFmtId="164" fontId="1" fillId="8" borderId="8" xfId="3" applyNumberFormat="1" applyFill="1" applyBorder="1" applyAlignment="1">
      <alignment vertical="top" wrapText="1"/>
    </xf>
    <xf numFmtId="9" fontId="1" fillId="8" borderId="8" xfId="3" applyNumberFormat="1" applyFill="1" applyBorder="1" applyAlignment="1">
      <alignment vertical="top" wrapText="1"/>
    </xf>
    <xf numFmtId="1" fontId="1" fillId="8" borderId="8" xfId="3" applyNumberFormat="1" applyFill="1" applyBorder="1" applyAlignment="1">
      <alignment vertical="top" wrapText="1"/>
    </xf>
    <xf numFmtId="165" fontId="1" fillId="8" borderId="8" xfId="3" applyNumberFormat="1" applyFill="1" applyBorder="1" applyAlignment="1">
      <alignment vertical="top" wrapText="1"/>
    </xf>
    <xf numFmtId="0" fontId="1" fillId="8" borderId="8" xfId="3" applyFill="1" applyBorder="1" applyAlignment="1">
      <alignment horizontal="right" vertical="top" wrapText="1"/>
    </xf>
    <xf numFmtId="166" fontId="1" fillId="8" borderId="8" xfId="3" applyNumberFormat="1" applyFill="1" applyBorder="1" applyAlignment="1" applyProtection="1">
      <alignment vertical="top" wrapText="1"/>
    </xf>
    <xf numFmtId="167" fontId="1" fillId="8" borderId="8" xfId="3" applyNumberFormat="1" applyFill="1" applyBorder="1" applyAlignment="1" applyProtection="1">
      <alignment vertical="top" wrapText="1"/>
    </xf>
    <xf numFmtId="167" fontId="1" fillId="8" borderId="8" xfId="3" applyNumberFormat="1" applyFill="1" applyBorder="1" applyAlignment="1" applyProtection="1">
      <alignment horizontal="right" vertical="top" wrapText="1"/>
    </xf>
    <xf numFmtId="0" fontId="1" fillId="8" borderId="9" xfId="3" applyFill="1" applyBorder="1"/>
    <xf numFmtId="0" fontId="9" fillId="8" borderId="0" xfId="0" applyFont="1" applyFill="1"/>
    <xf numFmtId="1" fontId="3" fillId="2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1" fontId="10" fillId="3" borderId="4" xfId="0" applyNumberFormat="1" applyFont="1" applyFill="1" applyBorder="1" applyAlignment="1">
      <alignment horizontal="right" vertical="center" wrapText="1"/>
    </xf>
    <xf numFmtId="1" fontId="1" fillId="6" borderId="6" xfId="3" applyNumberFormat="1" applyBorder="1" applyAlignment="1" applyProtection="1">
      <alignment horizontal="right" vertical="top" wrapText="1"/>
    </xf>
    <xf numFmtId="1" fontId="1" fillId="6" borderId="8" xfId="3" quotePrefix="1" applyNumberFormat="1" applyBorder="1" applyAlignment="1" applyProtection="1">
      <alignment horizontal="right" vertical="top" wrapText="1"/>
    </xf>
    <xf numFmtId="1" fontId="1" fillId="6" borderId="8" xfId="3" applyNumberFormat="1" applyBorder="1" applyAlignment="1" applyProtection="1">
      <alignment horizontal="right" vertical="top" wrapText="1"/>
    </xf>
    <xf numFmtId="1" fontId="1" fillId="8" borderId="8" xfId="3" applyNumberFormat="1" applyFill="1" applyBorder="1" applyAlignment="1" applyProtection="1">
      <alignment horizontal="right" vertical="top" wrapText="1"/>
    </xf>
    <xf numFmtId="1" fontId="1" fillId="6" borderId="10" xfId="3" applyNumberFormat="1" applyBorder="1" applyAlignment="1" applyProtection="1">
      <alignment horizontal="right" vertical="top" wrapText="1"/>
    </xf>
    <xf numFmtId="1" fontId="9" fillId="2" borderId="0" xfId="0" applyNumberFormat="1" applyFont="1" applyFill="1" applyAlignment="1">
      <alignment horizontal="right" vertical="top" wrapText="1"/>
    </xf>
    <xf numFmtId="165" fontId="3" fillId="11" borderId="0" xfId="0" applyNumberFormat="1" applyFont="1" applyFill="1" applyAlignment="1">
      <alignment horizontal="right"/>
    </xf>
    <xf numFmtId="165" fontId="3" fillId="11" borderId="0" xfId="0" applyNumberFormat="1" applyFont="1" applyFill="1"/>
    <xf numFmtId="0" fontId="1" fillId="2" borderId="0" xfId="3" applyFill="1"/>
    <xf numFmtId="0" fontId="1" fillId="2" borderId="8" xfId="3" applyFill="1" applyBorder="1" applyAlignment="1">
      <alignment horizontal="left" vertical="center"/>
    </xf>
    <xf numFmtId="0" fontId="1" fillId="2" borderId="8" xfId="3" applyNumberFormat="1" applyFill="1" applyBorder="1" applyAlignment="1">
      <alignment vertical="top" wrapText="1"/>
    </xf>
    <xf numFmtId="3" fontId="1" fillId="2" borderId="8" xfId="3" applyNumberFormat="1" applyFill="1" applyBorder="1" applyAlignment="1">
      <alignment vertical="top" wrapText="1"/>
    </xf>
    <xf numFmtId="164" fontId="1" fillId="2" borderId="8" xfId="3" applyNumberFormat="1" applyFill="1" applyBorder="1" applyAlignment="1">
      <alignment vertical="top" wrapText="1"/>
    </xf>
    <xf numFmtId="9" fontId="1" fillId="2" borderId="8" xfId="3" applyNumberFormat="1" applyFill="1" applyBorder="1" applyAlignment="1">
      <alignment vertical="top" wrapText="1"/>
    </xf>
    <xf numFmtId="1" fontId="1" fillId="2" borderId="8" xfId="3" applyNumberFormat="1" applyFill="1" applyBorder="1" applyAlignment="1">
      <alignment vertical="top" wrapText="1"/>
    </xf>
    <xf numFmtId="165" fontId="1" fillId="2" borderId="8" xfId="3" applyNumberFormat="1" applyFill="1" applyBorder="1" applyAlignment="1">
      <alignment vertical="top" wrapText="1"/>
    </xf>
    <xf numFmtId="0" fontId="1" fillId="2" borderId="8" xfId="3" applyFill="1" applyBorder="1" applyAlignment="1">
      <alignment horizontal="right" vertical="top" wrapText="1"/>
    </xf>
    <xf numFmtId="0" fontId="1" fillId="2" borderId="8" xfId="3" applyFill="1" applyBorder="1"/>
    <xf numFmtId="1" fontId="1" fillId="2" borderId="8" xfId="3" applyNumberFormat="1" applyFill="1" applyBorder="1" applyAlignment="1">
      <alignment horizontal="right"/>
    </xf>
    <xf numFmtId="3" fontId="1" fillId="2" borderId="8" xfId="3" applyNumberFormat="1" applyFill="1" applyBorder="1" applyAlignment="1" applyProtection="1">
      <alignment vertical="top" wrapText="1"/>
    </xf>
    <xf numFmtId="165" fontId="1" fillId="2" borderId="8" xfId="3" applyNumberFormat="1" applyFill="1" applyBorder="1" applyAlignment="1" applyProtection="1">
      <alignment vertical="top" wrapText="1"/>
    </xf>
    <xf numFmtId="166" fontId="1" fillId="2" borderId="8" xfId="3" applyNumberFormat="1" applyFill="1" applyBorder="1" applyAlignment="1" applyProtection="1">
      <alignment vertical="top" wrapText="1"/>
    </xf>
    <xf numFmtId="10" fontId="1" fillId="2" borderId="8" xfId="3" applyNumberFormat="1" applyFill="1" applyBorder="1" applyAlignment="1" applyProtection="1">
      <alignment vertical="top" wrapText="1"/>
    </xf>
    <xf numFmtId="167" fontId="1" fillId="2" borderId="8" xfId="3" applyNumberFormat="1" applyFill="1" applyBorder="1" applyAlignment="1" applyProtection="1">
      <alignment vertical="top" wrapText="1"/>
    </xf>
    <xf numFmtId="167" fontId="1" fillId="2" borderId="8" xfId="3" applyNumberFormat="1" applyFill="1" applyBorder="1" applyAlignment="1" applyProtection="1">
      <alignment horizontal="right" vertical="top" wrapText="1"/>
    </xf>
    <xf numFmtId="0" fontId="1" fillId="2" borderId="9" xfId="3" applyFill="1" applyBorder="1"/>
    <xf numFmtId="164" fontId="3" fillId="2" borderId="0" xfId="0" applyNumberFormat="1" applyFont="1" applyFill="1"/>
    <xf numFmtId="164" fontId="0" fillId="0" borderId="0" xfId="0" applyNumberFormat="1"/>
    <xf numFmtId="1" fontId="1" fillId="2" borderId="8" xfId="3" applyNumberFormat="1" applyFill="1" applyBorder="1" applyAlignment="1" applyProtection="1">
      <alignment horizontal="right" vertical="top" wrapText="1"/>
    </xf>
    <xf numFmtId="0" fontId="3" fillId="12" borderId="0" xfId="0" applyFont="1" applyFill="1"/>
    <xf numFmtId="1" fontId="3" fillId="13" borderId="0" xfId="0" applyNumberFormat="1" applyFont="1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0" fontId="2" fillId="2" borderId="0" xfId="0" applyFont="1" applyFill="1"/>
    <xf numFmtId="1" fontId="0" fillId="2" borderId="0" xfId="0" applyNumberFormat="1" applyFill="1" applyAlignment="1">
      <alignment horizontal="right"/>
    </xf>
    <xf numFmtId="164" fontId="10" fillId="5" borderId="4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top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3" fillId="7" borderId="0" xfId="0" applyNumberFormat="1" applyFont="1" applyFill="1"/>
    <xf numFmtId="0" fontId="3" fillId="2" borderId="0" xfId="0" applyFont="1" applyFill="1" applyAlignment="1">
      <alignment horizontal="center"/>
    </xf>
    <xf numFmtId="1" fontId="3" fillId="13" borderId="0" xfId="0" applyNumberFormat="1" applyFont="1" applyFill="1" applyAlignment="1">
      <alignment horizontal="center"/>
    </xf>
    <xf numFmtId="165" fontId="3" fillId="12" borderId="0" xfId="0" applyNumberFormat="1" applyFont="1" applyFill="1"/>
    <xf numFmtId="0" fontId="3" fillId="14" borderId="0" xfId="0" applyFont="1" applyFill="1" applyAlignment="1">
      <alignment wrapText="1"/>
    </xf>
    <xf numFmtId="164" fontId="0" fillId="2" borderId="0" xfId="0" applyNumberFormat="1" applyFill="1"/>
    <xf numFmtId="0" fontId="0" fillId="11" borderId="12" xfId="0" applyFill="1" applyBorder="1" applyAlignment="1">
      <alignment wrapText="1"/>
    </xf>
    <xf numFmtId="0" fontId="1" fillId="11" borderId="12" xfId="3" applyNumberFormat="1" applyFill="1" applyBorder="1" applyAlignment="1">
      <alignment vertical="top" wrapText="1"/>
    </xf>
    <xf numFmtId="166" fontId="1" fillId="11" borderId="12" xfId="3" applyNumberFormat="1" applyFill="1" applyBorder="1" applyAlignment="1" applyProtection="1">
      <alignment vertical="top" wrapText="1"/>
    </xf>
    <xf numFmtId="1" fontId="1" fillId="11" borderId="12" xfId="3" applyNumberFormat="1" applyFill="1" applyBorder="1" applyAlignment="1">
      <alignment vertical="top" wrapText="1"/>
    </xf>
    <xf numFmtId="0" fontId="0" fillId="11" borderId="13" xfId="0" applyFill="1" applyBorder="1" applyAlignment="1">
      <alignment wrapText="1"/>
    </xf>
    <xf numFmtId="0" fontId="1" fillId="11" borderId="13" xfId="3" applyNumberFormat="1" applyFill="1" applyBorder="1" applyAlignment="1">
      <alignment vertical="top" wrapText="1"/>
    </xf>
    <xf numFmtId="166" fontId="1" fillId="11" borderId="13" xfId="3" applyNumberFormat="1" applyFill="1" applyBorder="1" applyAlignment="1" applyProtection="1">
      <alignment vertical="top" wrapText="1"/>
    </xf>
    <xf numFmtId="1" fontId="1" fillId="11" borderId="13" xfId="3" applyNumberFormat="1" applyFill="1" applyBorder="1" applyAlignment="1">
      <alignment vertical="top" wrapText="1"/>
    </xf>
    <xf numFmtId="0" fontId="0" fillId="11" borderId="12" xfId="0" applyFill="1" applyBorder="1"/>
    <xf numFmtId="0" fontId="0" fillId="15" borderId="0" xfId="0" applyFill="1"/>
    <xf numFmtId="0" fontId="10" fillId="15" borderId="3" xfId="0" applyNumberFormat="1" applyFont="1" applyFill="1" applyBorder="1" applyAlignment="1">
      <alignment horizontal="center" vertical="center" wrapText="1"/>
    </xf>
    <xf numFmtId="0" fontId="10" fillId="15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2" fontId="0" fillId="2" borderId="0" xfId="0" applyNumberFormat="1" applyFill="1"/>
    <xf numFmtId="2" fontId="0" fillId="2" borderId="0" xfId="0" applyNumberFormat="1" applyFill="1" applyAlignment="1">
      <alignment wrapText="1"/>
    </xf>
    <xf numFmtId="2" fontId="3" fillId="2" borderId="0" xfId="0" applyNumberFormat="1" applyFont="1" applyFill="1"/>
    <xf numFmtId="164" fontId="3" fillId="2" borderId="0" xfId="2" applyNumberFormat="1" applyFont="1" applyFill="1"/>
    <xf numFmtId="164" fontId="0" fillId="2" borderId="0" xfId="2" applyNumberFormat="1" applyFont="1" applyFill="1" applyAlignment="1">
      <alignment wrapText="1"/>
    </xf>
    <xf numFmtId="164" fontId="0" fillId="2" borderId="0" xfId="2" applyNumberFormat="1" applyFont="1" applyFill="1"/>
    <xf numFmtId="1" fontId="0" fillId="2" borderId="0" xfId="0" applyNumberFormat="1" applyFill="1" applyAlignment="1">
      <alignment wrapText="1"/>
    </xf>
    <xf numFmtId="1" fontId="0" fillId="2" borderId="0" xfId="0" applyNumberFormat="1" applyFill="1"/>
    <xf numFmtId="165" fontId="0" fillId="2" borderId="0" xfId="0" applyNumberFormat="1" applyFill="1" applyAlignment="1">
      <alignment wrapText="1"/>
    </xf>
    <xf numFmtId="0" fontId="11" fillId="2" borderId="5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</cellXfs>
  <cellStyles count="4">
    <cellStyle name="20 % - Accent3" xfId="3" builtinId="38"/>
    <cellStyle name="Lien hypertexte" xfId="1" builtinId="8"/>
    <cellStyle name="Normal" xfId="0" builtinId="0"/>
    <cellStyle name="Pourcentage" xfId="2" builtinId="5"/>
  </cellStyles>
  <dxfs count="2">
    <dxf>
      <font>
        <b val="0"/>
        <i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i/>
        <condense val="0"/>
        <extend val="0"/>
        <color indexed="22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 lang="en-GB"/>
            </a:pPr>
            <a:r>
              <a:rPr sz="1600" b="0"/>
              <a:t>Level of non contributory</a:t>
            </a:r>
            <a:r>
              <a:rPr sz="1600" b="0" baseline="0"/>
              <a:t> pension as a percentage of minimum wage (latest</a:t>
            </a:r>
            <a:r>
              <a:rPr b="0" baseline="0"/>
              <a:t>)</a:t>
            </a:r>
            <a:endParaRPr b="0"/>
          </a:p>
        </c:rich>
      </c:tx>
      <c:layout/>
    </c:title>
    <c:plotArea>
      <c:layout>
        <c:manualLayout>
          <c:layoutTarget val="inner"/>
          <c:xMode val="edge"/>
          <c:yMode val="edge"/>
          <c:x val="7.7606083652805677E-2"/>
          <c:y val="8.7790939244789395E-2"/>
          <c:w val="0.8970010804089994"/>
          <c:h val="0.70999015675900645"/>
        </c:manualLayout>
      </c:layout>
      <c:barChart>
        <c:barDir val="col"/>
        <c:grouping val="clustered"/>
        <c:ser>
          <c:idx val="0"/>
          <c:order val="0"/>
          <c:tx>
            <c:strRef>
              <c:f>'Data Minimum wage'!$G$4</c:f>
              <c:strCache>
                <c:ptCount val="1"/>
                <c:pt idx="0">
                  <c:v>% Minimum wage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'Data Minimum wage'!$B$5:$B$104</c:f>
              <c:strCache>
                <c:ptCount val="79"/>
                <c:pt idx="0">
                  <c:v>Estonia</c:v>
                </c:pt>
                <c:pt idx="1">
                  <c:v>Philippines</c:v>
                </c:pt>
                <c:pt idx="2">
                  <c:v>Jamaica</c:v>
                </c:pt>
                <c:pt idx="3">
                  <c:v>India</c:v>
                </c:pt>
                <c:pt idx="4">
                  <c:v>Lithuania</c:v>
                </c:pt>
                <c:pt idx="5">
                  <c:v>Nepal</c:v>
                </c:pt>
                <c:pt idx="6">
                  <c:v>Kenya</c:v>
                </c:pt>
                <c:pt idx="7">
                  <c:v>Thailand</c:v>
                </c:pt>
                <c:pt idx="8">
                  <c:v>Colombia</c:v>
                </c:pt>
                <c:pt idx="9">
                  <c:v>Korea, Republic of</c:v>
                </c:pt>
                <c:pt idx="10">
                  <c:v>Turkey</c:v>
                </c:pt>
                <c:pt idx="11">
                  <c:v>Ecuador</c:v>
                </c:pt>
                <c:pt idx="12">
                  <c:v>Kenya</c:v>
                </c:pt>
                <c:pt idx="13">
                  <c:v>Belize</c:v>
                </c:pt>
                <c:pt idx="14">
                  <c:v>Bangladesh</c:v>
                </c:pt>
                <c:pt idx="15">
                  <c:v>Viet Nam [60-79 years old]</c:v>
                </c:pt>
                <c:pt idx="16">
                  <c:v>Guatemala</c:v>
                </c:pt>
                <c:pt idx="17">
                  <c:v>Luxembourg</c:v>
                </c:pt>
                <c:pt idx="18">
                  <c:v>Zambia</c:v>
                </c:pt>
                <c:pt idx="19">
                  <c:v>Czech republic</c:v>
                </c:pt>
                <c:pt idx="20">
                  <c:v>Latvia</c:v>
                </c:pt>
                <c:pt idx="21">
                  <c:v>Paraguay</c:v>
                </c:pt>
                <c:pt idx="22">
                  <c:v>Viet Nam  [80 years old and over]</c:v>
                </c:pt>
                <c:pt idx="23">
                  <c:v>El Salvador</c:v>
                </c:pt>
                <c:pt idx="24">
                  <c:v>Slovenia</c:v>
                </c:pt>
                <c:pt idx="25">
                  <c:v>Bolivia</c:v>
                </c:pt>
                <c:pt idx="26">
                  <c:v>Hungary</c:v>
                </c:pt>
                <c:pt idx="27">
                  <c:v>Mongolia</c:v>
                </c:pt>
                <c:pt idx="28">
                  <c:v>Botswana</c:v>
                </c:pt>
                <c:pt idx="29">
                  <c:v>Armenia</c:v>
                </c:pt>
                <c:pt idx="30">
                  <c:v>Canada basic</c:v>
                </c:pt>
                <c:pt idx="31">
                  <c:v>Panama</c:v>
                </c:pt>
                <c:pt idx="32">
                  <c:v>Bahamas</c:v>
                </c:pt>
                <c:pt idx="33">
                  <c:v>Mexico</c:v>
                </c:pt>
                <c:pt idx="34">
                  <c:v>Lesotho</c:v>
                </c:pt>
                <c:pt idx="35">
                  <c:v>Poland</c:v>
                </c:pt>
                <c:pt idx="36">
                  <c:v>Greece</c:v>
                </c:pt>
                <c:pt idx="37">
                  <c:v>Israel</c:v>
                </c:pt>
                <c:pt idx="38">
                  <c:v>Czech republic</c:v>
                </c:pt>
                <c:pt idx="39">
                  <c:v>Indonesia </c:v>
                </c:pt>
                <c:pt idx="40">
                  <c:v>Costa Rica</c:v>
                </c:pt>
                <c:pt idx="41">
                  <c:v>Cyprus</c:v>
                </c:pt>
                <c:pt idx="42">
                  <c:v>Bulgaria</c:v>
                </c:pt>
                <c:pt idx="43">
                  <c:v>Portugal</c:v>
                </c:pt>
                <c:pt idx="44">
                  <c:v>Chile</c:v>
                </c:pt>
                <c:pt idx="45">
                  <c:v>Spain</c:v>
                </c:pt>
                <c:pt idx="46">
                  <c:v>Japan</c:v>
                </c:pt>
                <c:pt idx="47">
                  <c:v>United States of America</c:v>
                </c:pt>
                <c:pt idx="48">
                  <c:v>France</c:v>
                </c:pt>
                <c:pt idx="49">
                  <c:v>Guyana</c:v>
                </c:pt>
                <c:pt idx="50">
                  <c:v>Belarus</c:v>
                </c:pt>
                <c:pt idx="51">
                  <c:v>Kazakhstan</c:v>
                </c:pt>
                <c:pt idx="52">
                  <c:v>United Kingdom</c:v>
                </c:pt>
                <c:pt idx="53">
                  <c:v>Dominican republic</c:v>
                </c:pt>
                <c:pt idx="54">
                  <c:v>Argentina</c:v>
                </c:pt>
                <c:pt idx="55">
                  <c:v>South Africa</c:v>
                </c:pt>
                <c:pt idx="56">
                  <c:v>Australia</c:v>
                </c:pt>
                <c:pt idx="57">
                  <c:v>Mexico</c:v>
                </c:pt>
                <c:pt idx="58">
                  <c:v>Ireland</c:v>
                </c:pt>
                <c:pt idx="59">
                  <c:v>Japan</c:v>
                </c:pt>
                <c:pt idx="60">
                  <c:v>Beligium</c:v>
                </c:pt>
                <c:pt idx="61">
                  <c:v>Tajikistan</c:v>
                </c:pt>
                <c:pt idx="62">
                  <c:v>Malta</c:v>
                </c:pt>
                <c:pt idx="63">
                  <c:v>Luxembourg</c:v>
                </c:pt>
                <c:pt idx="64">
                  <c:v>New Zealand</c:v>
                </c:pt>
                <c:pt idx="65">
                  <c:v>Netherlands</c:v>
                </c:pt>
                <c:pt idx="66">
                  <c:v>Azerbaijan</c:v>
                </c:pt>
                <c:pt idx="67">
                  <c:v>Mauritius</c:v>
                </c:pt>
                <c:pt idx="68">
                  <c:v>Ukraine</c:v>
                </c:pt>
                <c:pt idx="69">
                  <c:v>Uruguay</c:v>
                </c:pt>
                <c:pt idx="70">
                  <c:v>Brazil [Rural pensionn]</c:v>
                </c:pt>
                <c:pt idx="71">
                  <c:v>Brazil [BPC]</c:v>
                </c:pt>
                <c:pt idx="72">
                  <c:v>Uzbekestan</c:v>
                </c:pt>
                <c:pt idx="73">
                  <c:v>Venezuela</c:v>
                </c:pt>
                <c:pt idx="74">
                  <c:v>Trinidad and Tobago</c:v>
                </c:pt>
                <c:pt idx="75">
                  <c:v>Kyrgyzstan</c:v>
                </c:pt>
                <c:pt idx="76">
                  <c:v>Canada Targeted</c:v>
                </c:pt>
                <c:pt idx="77">
                  <c:v>Georgia</c:v>
                </c:pt>
                <c:pt idx="78">
                  <c:v>Slovakia</c:v>
                </c:pt>
              </c:strCache>
            </c:strRef>
          </c:cat>
          <c:val>
            <c:numRef>
              <c:f>'Data Minimum wage'!$G$5:$G$104</c:f>
              <c:numCache>
                <c:formatCode>0.0</c:formatCode>
                <c:ptCount val="79"/>
                <c:pt idx="0">
                  <c:v>2.9528735632183905</c:v>
                </c:pt>
                <c:pt idx="1">
                  <c:v>5.0342327829238824</c:v>
                </c:pt>
                <c:pt idx="2">
                  <c:v>5.2730056131995235</c:v>
                </c:pt>
                <c:pt idx="3">
                  <c:v>9.6153846153846168</c:v>
                </c:pt>
                <c:pt idx="4">
                  <c:v>10.574999999999999</c:v>
                </c:pt>
                <c:pt idx="5">
                  <c:v>10.869565217391305</c:v>
                </c:pt>
                <c:pt idx="6">
                  <c:v>11.150295612488332</c:v>
                </c:pt>
                <c:pt idx="7">
                  <c:v>11.367942402425161</c:v>
                </c:pt>
                <c:pt idx="8">
                  <c:v>12.074864157778226</c:v>
                </c:pt>
                <c:pt idx="9">
                  <c:v>13.153852477813691</c:v>
                </c:pt>
                <c:pt idx="10">
                  <c:v>13.679653679653681</c:v>
                </c:pt>
                <c:pt idx="11">
                  <c:v>13.779527559055119</c:v>
                </c:pt>
                <c:pt idx="12">
                  <c:v>15.558552017425578</c:v>
                </c:pt>
                <c:pt idx="13">
                  <c:v>17.094017094017094</c:v>
                </c:pt>
                <c:pt idx="14">
                  <c:v>17.647058823529413</c:v>
                </c:pt>
                <c:pt idx="15">
                  <c:v>18.461538461538463</c:v>
                </c:pt>
                <c:pt idx="16">
                  <c:v>22.099447513812155</c:v>
                </c:pt>
                <c:pt idx="17">
                  <c:v>22.281639928698752</c:v>
                </c:pt>
                <c:pt idx="18">
                  <c:v>22.388059701492537</c:v>
                </c:pt>
                <c:pt idx="19">
                  <c:v>23.697916666666664</c:v>
                </c:pt>
                <c:pt idx="20">
                  <c:v>25</c:v>
                </c:pt>
                <c:pt idx="21">
                  <c:v>26.688187566853554</c:v>
                </c:pt>
                <c:pt idx="22">
                  <c:v>27.692307692307693</c:v>
                </c:pt>
                <c:pt idx="23">
                  <c:v>28.40909090909091</c:v>
                </c:pt>
                <c:pt idx="24">
                  <c:v>30.7911714770798</c:v>
                </c:pt>
                <c:pt idx="25">
                  <c:v>30.911901081916536</c:v>
                </c:pt>
                <c:pt idx="26">
                  <c:v>31.888111888111887</c:v>
                </c:pt>
                <c:pt idx="27">
                  <c:v>31.944444444444443</c:v>
                </c:pt>
                <c:pt idx="28">
                  <c:v>33.383915022761762</c:v>
                </c:pt>
                <c:pt idx="29">
                  <c:v>33.556666666666665</c:v>
                </c:pt>
                <c:pt idx="30">
                  <c:v>33.997504678727388</c:v>
                </c:pt>
                <c:pt idx="31">
                  <c:v>34.602076124567475</c:v>
                </c:pt>
                <c:pt idx="32">
                  <c:v>35.353535353535356</c:v>
                </c:pt>
                <c:pt idx="33">
                  <c:v>36.153289949385389</c:v>
                </c:pt>
                <c:pt idx="34">
                  <c:v>36.945812807881772</c:v>
                </c:pt>
                <c:pt idx="35">
                  <c:v>37.38244514106583</c:v>
                </c:pt>
                <c:pt idx="36">
                  <c:v>38.238702201622246</c:v>
                </c:pt>
                <c:pt idx="37">
                  <c:v>38.467532467532465</c:v>
                </c:pt>
                <c:pt idx="38">
                  <c:v>39.074999999999996</c:v>
                </c:pt>
                <c:pt idx="39">
                  <c:v>40.147528785778142</c:v>
                </c:pt>
                <c:pt idx="40">
                  <c:v>41.023885993085173</c:v>
                </c:pt>
                <c:pt idx="41">
                  <c:v>41.087231352718078</c:v>
                </c:pt>
                <c:pt idx="42">
                  <c:v>42.083333333333336</c:v>
                </c:pt>
                <c:pt idx="43">
                  <c:v>43.422222222222224</c:v>
                </c:pt>
                <c:pt idx="44">
                  <c:v>47.544848484848487</c:v>
                </c:pt>
                <c:pt idx="45">
                  <c:v>49.13461538461538</c:v>
                </c:pt>
                <c:pt idx="46">
                  <c:v>53.410418032101539</c:v>
                </c:pt>
                <c:pt idx="47">
                  <c:v>53.619729514717584</c:v>
                </c:pt>
                <c:pt idx="48">
                  <c:v>55.455904334828098</c:v>
                </c:pt>
                <c:pt idx="49">
                  <c:v>56.012995014843447</c:v>
                </c:pt>
                <c:pt idx="50">
                  <c:v>57.951676099259906</c:v>
                </c:pt>
                <c:pt idx="51">
                  <c:v>58.321790478967706</c:v>
                </c:pt>
                <c:pt idx="52">
                  <c:v>59.222189054726371</c:v>
                </c:pt>
                <c:pt idx="53">
                  <c:v>59.53858084528887</c:v>
                </c:pt>
                <c:pt idx="54">
                  <c:v>61.03125</c:v>
                </c:pt>
                <c:pt idx="55">
                  <c:v>61.633281972265017</c:v>
                </c:pt>
                <c:pt idx="56">
                  <c:v>63.921901528013578</c:v>
                </c:pt>
                <c:pt idx="57">
                  <c:v>64.859002169197396</c:v>
                </c:pt>
                <c:pt idx="58">
                  <c:v>64.911080711354302</c:v>
                </c:pt>
                <c:pt idx="59">
                  <c:v>65.393204786911241</c:v>
                </c:pt>
                <c:pt idx="60">
                  <c:v>65.994236311239192</c:v>
                </c:pt>
                <c:pt idx="61">
                  <c:v>66.666666666666657</c:v>
                </c:pt>
                <c:pt idx="62">
                  <c:v>67.907086614173224</c:v>
                </c:pt>
                <c:pt idx="63">
                  <c:v>68.152109328579911</c:v>
                </c:pt>
                <c:pt idx="64">
                  <c:v>69.543147208121823</c:v>
                </c:pt>
                <c:pt idx="65">
                  <c:v>75.756492732904448</c:v>
                </c:pt>
                <c:pt idx="66">
                  <c:v>80</c:v>
                </c:pt>
                <c:pt idx="67">
                  <c:v>87.026279391424623</c:v>
                </c:pt>
                <c:pt idx="68">
                  <c:v>93.413978494623649</c:v>
                </c:pt>
                <c:pt idx="69">
                  <c:v>107.34068903400136</c:v>
                </c:pt>
                <c:pt idx="70">
                  <c:v>133.76344086021504</c:v>
                </c:pt>
                <c:pt idx="71">
                  <c:v>133.76344086021504</c:v>
                </c:pt>
                <c:pt idx="72">
                  <c:v>158.41295116772824</c:v>
                </c:pt>
                <c:pt idx="73">
                  <c:v>159.91735537190081</c:v>
                </c:pt>
                <c:pt idx="74">
                  <c:v>192.30769230769232</c:v>
                </c:pt>
                <c:pt idx="75">
                  <c:v>294.11764705882354</c:v>
                </c:pt>
                <c:pt idx="76">
                  <c:v>379.41359950093573</c:v>
                </c:pt>
                <c:pt idx="77">
                  <c:v>400</c:v>
                </c:pt>
                <c:pt idx="78">
                  <c:v>1838.2038288288288</c:v>
                </c:pt>
              </c:numCache>
            </c:numRef>
          </c:val>
        </c:ser>
        <c:gapWidth val="56"/>
        <c:axId val="150838656"/>
        <c:axId val="153736320"/>
      </c:barChart>
      <c:catAx>
        <c:axId val="150838656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tickLblPos val="nextTo"/>
        <c:spPr>
          <a:ln>
            <a:noFill/>
          </a:ln>
        </c:spPr>
        <c:txPr>
          <a:bodyPr/>
          <a:lstStyle/>
          <a:p>
            <a:pPr>
              <a:defRPr lang="en-GB" sz="800">
                <a:latin typeface="Arial Narrow" pitchFamily="34" charset="0"/>
              </a:defRPr>
            </a:pPr>
            <a:endParaRPr lang="fr-FR"/>
          </a:p>
        </c:txPr>
        <c:crossAx val="153736320"/>
        <c:crosses val="autoZero"/>
        <c:auto val="1"/>
        <c:lblAlgn val="ctr"/>
        <c:lblOffset val="100"/>
        <c:tickLblSkip val="1"/>
      </c:catAx>
      <c:valAx>
        <c:axId val="153736320"/>
        <c:scaling>
          <c:orientation val="minMax"/>
          <c:max val="2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1000" b="0" i="0" u="none" strike="noStrike" baseline="0"/>
                  <a:t>as a percentage of minimum wage </a:t>
                </a:r>
                <a:endParaRPr lang="fr-FR"/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150838656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 sz="1600" b="0"/>
              <a:t>Level of non contributory</a:t>
            </a:r>
            <a:r>
              <a:rPr lang="fr-FR" sz="1600" b="0" baseline="0"/>
              <a:t> pension expressed as a percentage of average wage (latest)</a:t>
            </a:r>
            <a:endParaRPr lang="fr-FR" sz="1600" b="0"/>
          </a:p>
        </c:rich>
      </c:tx>
      <c:layout/>
    </c:title>
    <c:plotArea>
      <c:layout>
        <c:manualLayout>
          <c:layoutTarget val="inner"/>
          <c:xMode val="edge"/>
          <c:yMode val="edge"/>
          <c:x val="7.9862493910611898E-2"/>
          <c:y val="8.2791337564028344E-2"/>
          <c:w val="0.8983677486888958"/>
          <c:h val="0.59128499423558079"/>
        </c:manualLayout>
      </c:layout>
      <c:barChart>
        <c:barDir val="col"/>
        <c:grouping val="clustered"/>
        <c:ser>
          <c:idx val="0"/>
          <c:order val="0"/>
          <c:tx>
            <c:strRef>
              <c:f>'Data Average wage'!$F$4</c:f>
              <c:strCache>
                <c:ptCount val="1"/>
                <c:pt idx="0">
                  <c:v>% average wage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'Data Average wage'!$B$5:$B$99</c:f>
              <c:strCache>
                <c:ptCount val="75"/>
                <c:pt idx="0">
                  <c:v>Estonia</c:v>
                </c:pt>
                <c:pt idx="1">
                  <c:v>Jamaica</c:v>
                </c:pt>
                <c:pt idx="2">
                  <c:v>India</c:v>
                </c:pt>
                <c:pt idx="3">
                  <c:v>Moldova, Republic of</c:v>
                </c:pt>
                <c:pt idx="4">
                  <c:v>Kenya</c:v>
                </c:pt>
                <c:pt idx="5">
                  <c:v>Korea, Republic of</c:v>
                </c:pt>
                <c:pt idx="6">
                  <c:v>Kenya</c:v>
                </c:pt>
                <c:pt idx="7">
                  <c:v>Turkey</c:v>
                </c:pt>
                <c:pt idx="8">
                  <c:v>Botswana</c:v>
                </c:pt>
                <c:pt idx="9">
                  <c:v>Colombia</c:v>
                </c:pt>
                <c:pt idx="10">
                  <c:v>Philippines</c:v>
                </c:pt>
                <c:pt idx="11">
                  <c:v>Thailand</c:v>
                </c:pt>
                <c:pt idx="12">
                  <c:v>Czech republic</c:v>
                </c:pt>
                <c:pt idx="13">
                  <c:v>Iceland</c:v>
                </c:pt>
                <c:pt idx="14">
                  <c:v>Viet Nam [60-79 years old]</c:v>
                </c:pt>
                <c:pt idx="15">
                  <c:v>Mexico</c:v>
                </c:pt>
                <c:pt idx="16">
                  <c:v>Ecuador</c:v>
                </c:pt>
                <c:pt idx="17">
                  <c:v>Luxembourg</c:v>
                </c:pt>
                <c:pt idx="18">
                  <c:v>Turkmenistan</c:v>
                </c:pt>
                <c:pt idx="19">
                  <c:v>Latvia</c:v>
                </c:pt>
                <c:pt idx="20">
                  <c:v>Nepal</c:v>
                </c:pt>
                <c:pt idx="21">
                  <c:v>Hong Kong</c:v>
                </c:pt>
                <c:pt idx="22">
                  <c:v>Armenia</c:v>
                </c:pt>
                <c:pt idx="23">
                  <c:v>Hungary</c:v>
                </c:pt>
                <c:pt idx="24">
                  <c:v>Mongolia</c:v>
                </c:pt>
                <c:pt idx="25">
                  <c:v>Czech republic</c:v>
                </c:pt>
                <c:pt idx="26">
                  <c:v>South Africa</c:v>
                </c:pt>
                <c:pt idx="27">
                  <c:v>Kazakhstan</c:v>
                </c:pt>
                <c:pt idx="28">
                  <c:v>Slovenia</c:v>
                </c:pt>
                <c:pt idx="29">
                  <c:v>Viet Nam  [80 years old and over]</c:v>
                </c:pt>
                <c:pt idx="30">
                  <c:v>Tajikistan</c:v>
                </c:pt>
                <c:pt idx="31">
                  <c:v>Belarus</c:v>
                </c:pt>
                <c:pt idx="32">
                  <c:v>Georgia</c:v>
                </c:pt>
                <c:pt idx="33">
                  <c:v>Denmark</c:v>
                </c:pt>
                <c:pt idx="34">
                  <c:v>Canada basic</c:v>
                </c:pt>
                <c:pt idx="35">
                  <c:v>Poland</c:v>
                </c:pt>
                <c:pt idx="36">
                  <c:v>Mexico</c:v>
                </c:pt>
                <c:pt idx="37">
                  <c:v>Kyrgyzstan</c:v>
                </c:pt>
                <c:pt idx="38">
                  <c:v>Cyprus</c:v>
                </c:pt>
                <c:pt idx="39">
                  <c:v>Norway</c:v>
                </c:pt>
                <c:pt idx="40">
                  <c:v>Bulgaria</c:v>
                </c:pt>
                <c:pt idx="41">
                  <c:v>Panama</c:v>
                </c:pt>
                <c:pt idx="42">
                  <c:v>Israel</c:v>
                </c:pt>
                <c:pt idx="43">
                  <c:v>Mauritius</c:v>
                </c:pt>
                <c:pt idx="44">
                  <c:v>Greece</c:v>
                </c:pt>
                <c:pt idx="45">
                  <c:v>Italy</c:v>
                </c:pt>
                <c:pt idx="46">
                  <c:v>Spain</c:v>
                </c:pt>
                <c:pt idx="47">
                  <c:v>Portugal</c:v>
                </c:pt>
                <c:pt idx="48">
                  <c:v>Azerbaijan</c:v>
                </c:pt>
                <c:pt idx="49">
                  <c:v>Finland</c:v>
                </c:pt>
                <c:pt idx="50">
                  <c:v>United States of America</c:v>
                </c:pt>
                <c:pt idx="51">
                  <c:v>Japan</c:v>
                </c:pt>
                <c:pt idx="52">
                  <c:v>Chile</c:v>
                </c:pt>
                <c:pt idx="53">
                  <c:v>Switzerland</c:v>
                </c:pt>
                <c:pt idx="54">
                  <c:v>Costa Rica</c:v>
                </c:pt>
                <c:pt idx="55">
                  <c:v>Sweden</c:v>
                </c:pt>
                <c:pt idx="56">
                  <c:v>Japan</c:v>
                </c:pt>
                <c:pt idx="57">
                  <c:v>France</c:v>
                </c:pt>
                <c:pt idx="58">
                  <c:v>Paraguay</c:v>
                </c:pt>
                <c:pt idx="59">
                  <c:v>Austria</c:v>
                </c:pt>
                <c:pt idx="60">
                  <c:v>Indonesia </c:v>
                </c:pt>
                <c:pt idx="61">
                  <c:v>Dominican republic</c:v>
                </c:pt>
                <c:pt idx="62">
                  <c:v>United Kingdom</c:v>
                </c:pt>
                <c:pt idx="63">
                  <c:v>Luxembourg</c:v>
                </c:pt>
                <c:pt idx="64">
                  <c:v>Germany</c:v>
                </c:pt>
                <c:pt idx="65">
                  <c:v>Ireland</c:v>
                </c:pt>
                <c:pt idx="66">
                  <c:v>Beligium</c:v>
                </c:pt>
                <c:pt idx="67">
                  <c:v>Australia</c:v>
                </c:pt>
                <c:pt idx="68">
                  <c:v>Ukraine</c:v>
                </c:pt>
                <c:pt idx="69">
                  <c:v>Malta</c:v>
                </c:pt>
                <c:pt idx="70">
                  <c:v>New Zealand</c:v>
                </c:pt>
                <c:pt idx="71">
                  <c:v>Argentina</c:v>
                </c:pt>
                <c:pt idx="72">
                  <c:v>Uruguay</c:v>
                </c:pt>
                <c:pt idx="73">
                  <c:v>Brazil [Rural pensionn]</c:v>
                </c:pt>
                <c:pt idx="74">
                  <c:v>Brazil [BPC]</c:v>
                </c:pt>
              </c:strCache>
            </c:strRef>
          </c:cat>
          <c:val>
            <c:numRef>
              <c:f>'Data Average wage'!$F$5:$F$99</c:f>
              <c:numCache>
                <c:formatCode>0.0</c:formatCode>
                <c:ptCount val="75"/>
                <c:pt idx="0">
                  <c:v>1.0473744292237444</c:v>
                </c:pt>
                <c:pt idx="1">
                  <c:v>1.3083849184018008</c:v>
                </c:pt>
                <c:pt idx="2">
                  <c:v>2.3160693523806879</c:v>
                </c:pt>
                <c:pt idx="3">
                  <c:v>3.2645560407569141</c:v>
                </c:pt>
                <c:pt idx="4">
                  <c:v>3.2811403107163564</c:v>
                </c:pt>
                <c:pt idx="5">
                  <c:v>3.4782290322285379</c:v>
                </c:pt>
                <c:pt idx="6">
                  <c:v>4.5783353172786372</c:v>
                </c:pt>
                <c:pt idx="7">
                  <c:v>4.8916408668730647</c:v>
                </c:pt>
                <c:pt idx="8">
                  <c:v>4.9316296794440708</c:v>
                </c:pt>
                <c:pt idx="9">
                  <c:v>6.5082769011490367</c:v>
                </c:pt>
                <c:pt idx="10">
                  <c:v>6.6146315650218277</c:v>
                </c:pt>
                <c:pt idx="11">
                  <c:v>6.9013112491373363</c:v>
                </c:pt>
                <c:pt idx="12">
                  <c:v>7.1066211842910869</c:v>
                </c:pt>
                <c:pt idx="13">
                  <c:v>7.6946107784431135</c:v>
                </c:pt>
                <c:pt idx="14">
                  <c:v>8.408189576647656</c:v>
                </c:pt>
                <c:pt idx="15">
                  <c:v>8.7032201914708445</c:v>
                </c:pt>
                <c:pt idx="16">
                  <c:v>8.7281795511221958</c:v>
                </c:pt>
                <c:pt idx="17">
                  <c:v>9.3586224107811322</c:v>
                </c:pt>
                <c:pt idx="18">
                  <c:v>9.3961965134706809</c:v>
                </c:pt>
                <c:pt idx="19">
                  <c:v>9.7613882863340571</c:v>
                </c:pt>
                <c:pt idx="20">
                  <c:v>9.7713504006253675</c:v>
                </c:pt>
                <c:pt idx="21">
                  <c:v>9.8136310434860903</c:v>
                </c:pt>
                <c:pt idx="22">
                  <c:v>9.8889980353634588</c:v>
                </c:pt>
                <c:pt idx="23">
                  <c:v>11.412839444374921</c:v>
                </c:pt>
                <c:pt idx="24">
                  <c:v>11.480865224625623</c:v>
                </c:pt>
                <c:pt idx="25">
                  <c:v>11.717959290774825</c:v>
                </c:pt>
                <c:pt idx="26">
                  <c:v>11.722184233662206</c:v>
                </c:pt>
                <c:pt idx="27">
                  <c:v>11.881246936866024</c:v>
                </c:pt>
                <c:pt idx="28">
                  <c:v>12.603196664350245</c:v>
                </c:pt>
                <c:pt idx="29">
                  <c:v>12.612284364971483</c:v>
                </c:pt>
                <c:pt idx="30">
                  <c:v>13.071895424836603</c:v>
                </c:pt>
                <c:pt idx="31">
                  <c:v>13.334408513826753</c:v>
                </c:pt>
                <c:pt idx="32">
                  <c:v>13.986013986013987</c:v>
                </c:pt>
                <c:pt idx="33">
                  <c:v>14.306105073371061</c:v>
                </c:pt>
                <c:pt idx="34">
                  <c:v>15.269823479966377</c:v>
                </c:pt>
                <c:pt idx="35">
                  <c:v>15.372220431840155</c:v>
                </c:pt>
                <c:pt idx="36">
                  <c:v>15.613577023498696</c:v>
                </c:pt>
                <c:pt idx="37">
                  <c:v>16.231131309852298</c:v>
                </c:pt>
                <c:pt idx="38">
                  <c:v>17.087276550998947</c:v>
                </c:pt>
                <c:pt idx="39">
                  <c:v>17.25402556818182</c:v>
                </c:pt>
                <c:pt idx="40">
                  <c:v>17.264957264957264</c:v>
                </c:pt>
                <c:pt idx="41">
                  <c:v>18.248175182481752</c:v>
                </c:pt>
                <c:pt idx="42">
                  <c:v>18.57286180085277</c:v>
                </c:pt>
                <c:pt idx="43">
                  <c:v>18.671731260015431</c:v>
                </c:pt>
                <c:pt idx="44">
                  <c:v>19.108280254777071</c:v>
                </c:pt>
                <c:pt idx="45">
                  <c:v>19.170652173913044</c:v>
                </c:pt>
                <c:pt idx="46">
                  <c:v>19.251883745963401</c:v>
                </c:pt>
                <c:pt idx="47">
                  <c:v>19.384920634920636</c:v>
                </c:pt>
                <c:pt idx="48">
                  <c:v>20.134228187919462</c:v>
                </c:pt>
                <c:pt idx="49">
                  <c:v>20.603588354773191</c:v>
                </c:pt>
                <c:pt idx="50">
                  <c:v>20.655838185718665</c:v>
                </c:pt>
                <c:pt idx="51">
                  <c:v>20.750812113591113</c:v>
                </c:pt>
                <c:pt idx="52">
                  <c:v>21.019449602246389</c:v>
                </c:pt>
                <c:pt idx="53">
                  <c:v>21.97509327906188</c:v>
                </c:pt>
                <c:pt idx="54">
                  <c:v>22.654437846883461</c:v>
                </c:pt>
                <c:pt idx="55">
                  <c:v>23.981269446172991</c:v>
                </c:pt>
                <c:pt idx="56">
                  <c:v>25.406318767683118</c:v>
                </c:pt>
                <c:pt idx="57">
                  <c:v>26.340078097266595</c:v>
                </c:pt>
                <c:pt idx="58">
                  <c:v>26.81825638538405</c:v>
                </c:pt>
                <c:pt idx="59">
                  <c:v>27.257525083612038</c:v>
                </c:pt>
                <c:pt idx="60">
                  <c:v>27.470640752695559</c:v>
                </c:pt>
                <c:pt idx="61">
                  <c:v>27.918181818181822</c:v>
                </c:pt>
                <c:pt idx="62">
                  <c:v>28.55964491362764</c:v>
                </c:pt>
                <c:pt idx="63">
                  <c:v>28.624906413775893</c:v>
                </c:pt>
                <c:pt idx="64">
                  <c:v>30.363321799307958</c:v>
                </c:pt>
                <c:pt idx="65">
                  <c:v>31.043506705920837</c:v>
                </c:pt>
                <c:pt idx="66">
                  <c:v>34.090063267584668</c:v>
                </c:pt>
                <c:pt idx="67">
                  <c:v>34.92578849721707</c:v>
                </c:pt>
                <c:pt idx="68">
                  <c:v>36.463798530954875</c:v>
                </c:pt>
                <c:pt idx="69">
                  <c:v>37.269662921348313</c:v>
                </c:pt>
                <c:pt idx="70">
                  <c:v>41.253764029564742</c:v>
                </c:pt>
                <c:pt idx="71">
                  <c:v>46.109653725078701</c:v>
                </c:pt>
                <c:pt idx="72">
                  <c:v>46.625586854460096</c:v>
                </c:pt>
                <c:pt idx="73">
                  <c:v>46.766917293233085</c:v>
                </c:pt>
                <c:pt idx="74">
                  <c:v>46.766917293233085</c:v>
                </c:pt>
              </c:numCache>
            </c:numRef>
          </c:val>
        </c:ser>
        <c:gapWidth val="51"/>
        <c:axId val="153764992"/>
        <c:axId val="153766528"/>
      </c:barChart>
      <c:catAx>
        <c:axId val="153764992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fr-FR"/>
          </a:p>
        </c:txPr>
        <c:crossAx val="153766528"/>
        <c:crosses val="autoZero"/>
        <c:auto val="1"/>
        <c:lblAlgn val="ctr"/>
        <c:lblOffset val="100"/>
        <c:tickLblSkip val="1"/>
      </c:catAx>
      <c:valAx>
        <c:axId val="153766528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average wage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4521982512813073"/>
            </c:manualLayout>
          </c:layout>
        </c:title>
        <c:numFmt formatCode="#,##0" sourceLinked="0"/>
        <c:tickLblPos val="nextTo"/>
        <c:spPr>
          <a:ln>
            <a:noFill/>
          </a:ln>
        </c:spPr>
        <c:crossAx val="153764992"/>
        <c:crosses val="autoZero"/>
        <c:crossBetween val="between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 sz="1600" b="0"/>
              <a:t>Level of non contributory</a:t>
            </a:r>
            <a:r>
              <a:rPr lang="fr-FR" sz="1600" b="0" baseline="0"/>
              <a:t> pension expressed as a percentage of GDP per capita (latest)</a:t>
            </a:r>
            <a:endParaRPr lang="fr-FR" sz="1600" b="0"/>
          </a:p>
        </c:rich>
      </c:tx>
      <c:layout/>
    </c:title>
    <c:plotArea>
      <c:layout>
        <c:manualLayout>
          <c:layoutTarget val="inner"/>
          <c:xMode val="edge"/>
          <c:yMode val="edge"/>
          <c:x val="7.9862493910611856E-2"/>
          <c:y val="8.2791337564028344E-2"/>
          <c:w val="0.8983677486888958"/>
          <c:h val="0.59128499423558079"/>
        </c:manualLayout>
      </c:layout>
      <c:barChart>
        <c:barDir val="col"/>
        <c:grouping val="clustered"/>
        <c:ser>
          <c:idx val="0"/>
          <c:order val="0"/>
          <c:tx>
            <c:strRef>
              <c:f>'Data GDP per capita'!$F$4</c:f>
              <c:strCache>
                <c:ptCount val="1"/>
                <c:pt idx="0">
                  <c:v>% GDP per capita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'Data GDP per capita'!$B$5:$B$131</c:f>
              <c:strCache>
                <c:ptCount val="100"/>
                <c:pt idx="0">
                  <c:v>Jamaica</c:v>
                </c:pt>
                <c:pt idx="1">
                  <c:v>Lithuania</c:v>
                </c:pt>
                <c:pt idx="2">
                  <c:v>India</c:v>
                </c:pt>
                <c:pt idx="3">
                  <c:v>Thailand</c:v>
                </c:pt>
                <c:pt idx="4">
                  <c:v>Botswana</c:v>
                </c:pt>
                <c:pt idx="5">
                  <c:v>Korea, Republic of</c:v>
                </c:pt>
                <c:pt idx="6">
                  <c:v>Hong Kong</c:v>
                </c:pt>
                <c:pt idx="7">
                  <c:v>Mexico</c:v>
                </c:pt>
                <c:pt idx="8">
                  <c:v>Viet Nam [60-79 years old]</c:v>
                </c:pt>
                <c:pt idx="9">
                  <c:v>Colombia</c:v>
                </c:pt>
                <c:pt idx="10">
                  <c:v>Moldova, Republic of</c:v>
                </c:pt>
                <c:pt idx="11">
                  <c:v>Philippines</c:v>
                </c:pt>
                <c:pt idx="12">
                  <c:v>Kazakhstan</c:v>
                </c:pt>
                <c:pt idx="13">
                  <c:v>Iceland</c:v>
                </c:pt>
                <c:pt idx="14">
                  <c:v>Czech republic</c:v>
                </c:pt>
                <c:pt idx="15">
                  <c:v>Turkmenistan</c:v>
                </c:pt>
                <c:pt idx="16">
                  <c:v>Bangladesh</c:v>
                </c:pt>
                <c:pt idx="17">
                  <c:v>Brunei Darussalam</c:v>
                </c:pt>
                <c:pt idx="18">
                  <c:v>Viet Nam  [80 years old and over]</c:v>
                </c:pt>
                <c:pt idx="19">
                  <c:v>Antigua and Barbuda</c:v>
                </c:pt>
                <c:pt idx="20">
                  <c:v>Latvia</c:v>
                </c:pt>
                <c:pt idx="21">
                  <c:v>Mexico</c:v>
                </c:pt>
                <c:pt idx="22">
                  <c:v>Turkey</c:v>
                </c:pt>
                <c:pt idx="23">
                  <c:v>Belarus</c:v>
                </c:pt>
                <c:pt idx="24">
                  <c:v>Peru</c:v>
                </c:pt>
                <c:pt idx="25">
                  <c:v>Timor-Leste</c:v>
                </c:pt>
                <c:pt idx="26">
                  <c:v>Swaziland</c:v>
                </c:pt>
                <c:pt idx="27">
                  <c:v>Indonesia </c:v>
                </c:pt>
                <c:pt idx="28">
                  <c:v>Hungary</c:v>
                </c:pt>
                <c:pt idx="29">
                  <c:v>Zambia</c:v>
                </c:pt>
                <c:pt idx="30">
                  <c:v>Czech republic</c:v>
                </c:pt>
                <c:pt idx="31">
                  <c:v>Saint Vincent and the Grenadines</c:v>
                </c:pt>
                <c:pt idx="32">
                  <c:v>Ecuador</c:v>
                </c:pt>
                <c:pt idx="33">
                  <c:v>Bahamas</c:v>
                </c:pt>
                <c:pt idx="34">
                  <c:v>Slovenia</c:v>
                </c:pt>
                <c:pt idx="35">
                  <c:v>Tajikistan</c:v>
                </c:pt>
                <c:pt idx="36">
                  <c:v>Canada basic</c:v>
                </c:pt>
                <c:pt idx="37">
                  <c:v>Armenia</c:v>
                </c:pt>
                <c:pt idx="38">
                  <c:v>Bulgaria</c:v>
                </c:pt>
                <c:pt idx="39">
                  <c:v>Estonia</c:v>
                </c:pt>
                <c:pt idx="40">
                  <c:v>Chile</c:v>
                </c:pt>
                <c:pt idx="41">
                  <c:v>Canada Targeted</c:v>
                </c:pt>
                <c:pt idx="42">
                  <c:v>Panama</c:v>
                </c:pt>
                <c:pt idx="43">
                  <c:v>Norway</c:v>
                </c:pt>
                <c:pt idx="44">
                  <c:v>Mongolia</c:v>
                </c:pt>
                <c:pt idx="45">
                  <c:v>Portugal</c:v>
                </c:pt>
                <c:pt idx="46">
                  <c:v>Belize</c:v>
                </c:pt>
                <c:pt idx="47">
                  <c:v>Mauritius</c:v>
                </c:pt>
                <c:pt idx="48">
                  <c:v>Bolivia</c:v>
                </c:pt>
                <c:pt idx="49">
                  <c:v>Israel</c:v>
                </c:pt>
                <c:pt idx="50">
                  <c:v>Namibia</c:v>
                </c:pt>
                <c:pt idx="51">
                  <c:v>United States of America</c:v>
                </c:pt>
                <c:pt idx="52">
                  <c:v>El Salvador</c:v>
                </c:pt>
                <c:pt idx="53">
                  <c:v>Azerbaijan</c:v>
                </c:pt>
                <c:pt idx="54">
                  <c:v>Dominican republic</c:v>
                </c:pt>
                <c:pt idx="55">
                  <c:v>Nepal</c:v>
                </c:pt>
                <c:pt idx="56">
                  <c:v>Kenya</c:v>
                </c:pt>
                <c:pt idx="57">
                  <c:v>Cyprus</c:v>
                </c:pt>
                <c:pt idx="58">
                  <c:v>Guyana</c:v>
                </c:pt>
                <c:pt idx="59">
                  <c:v>Greece</c:v>
                </c:pt>
                <c:pt idx="60">
                  <c:v>Spain</c:v>
                </c:pt>
                <c:pt idx="61">
                  <c:v>Guatemala</c:v>
                </c:pt>
                <c:pt idx="62">
                  <c:v>Samoa</c:v>
                </c:pt>
                <c:pt idx="63">
                  <c:v>Italy</c:v>
                </c:pt>
                <c:pt idx="64">
                  <c:v>Costa Rica</c:v>
                </c:pt>
                <c:pt idx="65">
                  <c:v>Finland</c:v>
                </c:pt>
                <c:pt idx="66">
                  <c:v>Georgia</c:v>
                </c:pt>
                <c:pt idx="67">
                  <c:v>Argentina</c:v>
                </c:pt>
                <c:pt idx="68">
                  <c:v>Barbados</c:v>
                </c:pt>
                <c:pt idx="69">
                  <c:v>Seychelles</c:v>
                </c:pt>
                <c:pt idx="70">
                  <c:v>Cape Verde</c:v>
                </c:pt>
                <c:pt idx="71">
                  <c:v>Nigeria</c:v>
                </c:pt>
                <c:pt idx="72">
                  <c:v>Denmark</c:v>
                </c:pt>
                <c:pt idx="73">
                  <c:v>Kenya</c:v>
                </c:pt>
                <c:pt idx="74">
                  <c:v>South Africa</c:v>
                </c:pt>
                <c:pt idx="75">
                  <c:v>Switzerland</c:v>
                </c:pt>
                <c:pt idx="76">
                  <c:v>Uganda</c:v>
                </c:pt>
                <c:pt idx="77">
                  <c:v>Sweden</c:v>
                </c:pt>
                <c:pt idx="78">
                  <c:v>Austria</c:v>
                </c:pt>
                <c:pt idx="79">
                  <c:v>France</c:v>
                </c:pt>
                <c:pt idx="80">
                  <c:v>Australia</c:v>
                </c:pt>
                <c:pt idx="81">
                  <c:v>Uruguay</c:v>
                </c:pt>
                <c:pt idx="82">
                  <c:v>Maldives</c:v>
                </c:pt>
                <c:pt idx="83">
                  <c:v>United Kingdom</c:v>
                </c:pt>
                <c:pt idx="84">
                  <c:v>Kyrgyzstan</c:v>
                </c:pt>
                <c:pt idx="85">
                  <c:v>Paraguay</c:v>
                </c:pt>
                <c:pt idx="86">
                  <c:v>Brazil [Rural pensionn]</c:v>
                </c:pt>
                <c:pt idx="87">
                  <c:v>Brazil [BPC]</c:v>
                </c:pt>
                <c:pt idx="88">
                  <c:v>Ireland</c:v>
                </c:pt>
                <c:pt idx="89">
                  <c:v>Beligium</c:v>
                </c:pt>
                <c:pt idx="90">
                  <c:v>Lesotho</c:v>
                </c:pt>
                <c:pt idx="91">
                  <c:v>Malta</c:v>
                </c:pt>
                <c:pt idx="92">
                  <c:v>Netherlands</c:v>
                </c:pt>
                <c:pt idx="93">
                  <c:v>New Zealand</c:v>
                </c:pt>
                <c:pt idx="94">
                  <c:v>Ukraine</c:v>
                </c:pt>
                <c:pt idx="95">
                  <c:v>Suriname</c:v>
                </c:pt>
                <c:pt idx="96">
                  <c:v>Trinidad and Tobago</c:v>
                </c:pt>
                <c:pt idx="97">
                  <c:v>Kosovo</c:v>
                </c:pt>
                <c:pt idx="98">
                  <c:v>Venezuela</c:v>
                </c:pt>
                <c:pt idx="99">
                  <c:v>Kiribati</c:v>
                </c:pt>
              </c:strCache>
            </c:strRef>
          </c:cat>
          <c:val>
            <c:numRef>
              <c:f>'Data GDP per capita'!$F$5:$F$131</c:f>
              <c:numCache>
                <c:formatCode>0.0%</c:formatCode>
                <c:ptCount val="100"/>
                <c:pt idx="0">
                  <c:v>3.0057890608503383E-2</c:v>
                </c:pt>
                <c:pt idx="1">
                  <c:v>3.1288115247023393E-2</c:v>
                </c:pt>
                <c:pt idx="2">
                  <c:v>3.3968394164263851E-2</c:v>
                </c:pt>
                <c:pt idx="3">
                  <c:v>4.0539336686589607E-2</c:v>
                </c:pt>
                <c:pt idx="4">
                  <c:v>4.0830308449317308E-2</c:v>
                </c:pt>
                <c:pt idx="5">
                  <c:v>4.3351839659832095E-2</c:v>
                </c:pt>
                <c:pt idx="6">
                  <c:v>4.6572183669497974E-2</c:v>
                </c:pt>
                <c:pt idx="7">
                  <c:v>4.7567060219874453E-2</c:v>
                </c:pt>
                <c:pt idx="8">
                  <c:v>5.0735839180430606E-2</c:v>
                </c:pt>
                <c:pt idx="9">
                  <c:v>5.1453174785808312E-2</c:v>
                </c:pt>
                <c:pt idx="10">
                  <c:v>5.3262306369880316E-2</c:v>
                </c:pt>
                <c:pt idx="11">
                  <c:v>5.9080227788544652E-2</c:v>
                </c:pt>
                <c:pt idx="12">
                  <c:v>6.0696450994736591E-2</c:v>
                </c:pt>
                <c:pt idx="13">
                  <c:v>6.1681702661720267E-2</c:v>
                </c:pt>
                <c:pt idx="14">
                  <c:v>6.528982497002668E-2</c:v>
                </c:pt>
                <c:pt idx="15">
                  <c:v>6.7887512144238923E-2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7.6103758770645902E-2</c:v>
                </c:pt>
                <c:pt idx="19">
                  <c:v>8.1759944253611869E-2</c:v>
                </c:pt>
                <c:pt idx="20">
                  <c:v>8.5022512859261448E-2</c:v>
                </c:pt>
                <c:pt idx="21">
                  <c:v>8.5335306034454772E-2</c:v>
                </c:pt>
                <c:pt idx="22">
                  <c:v>8.6046236691140976E-2</c:v>
                </c:pt>
                <c:pt idx="23">
                  <c:v>0.09</c:v>
                </c:pt>
                <c:pt idx="24">
                  <c:v>9.2534855412437722E-2</c:v>
                </c:pt>
                <c:pt idx="25">
                  <c:v>9.4877560508164219E-2</c:v>
                </c:pt>
                <c:pt idx="26">
                  <c:v>9.7904497018706085E-2</c:v>
                </c:pt>
                <c:pt idx="27">
                  <c:v>0.10151921696922414</c:v>
                </c:pt>
                <c:pt idx="28">
                  <c:v>0.1035310359447822</c:v>
                </c:pt>
                <c:pt idx="29">
                  <c:v>0.10477519091026416</c:v>
                </c:pt>
                <c:pt idx="30">
                  <c:v>0.10766682785951902</c:v>
                </c:pt>
                <c:pt idx="31">
                  <c:v>0.11745640033478086</c:v>
                </c:pt>
                <c:pt idx="32">
                  <c:v>0.11765635268668281</c:v>
                </c:pt>
                <c:pt idx="33">
                  <c:v>0.12</c:v>
                </c:pt>
                <c:pt idx="34">
                  <c:v>0.12403578635788731</c:v>
                </c:pt>
                <c:pt idx="35">
                  <c:v>0.12529718927080169</c:v>
                </c:pt>
                <c:pt idx="36">
                  <c:v>0.12557590302920207</c:v>
                </c:pt>
                <c:pt idx="37">
                  <c:v>0.12560635787184468</c:v>
                </c:pt>
                <c:pt idx="38">
                  <c:v>0.12899928379853079</c:v>
                </c:pt>
                <c:pt idx="39">
                  <c:v>0.12932917976403588</c:v>
                </c:pt>
                <c:pt idx="40">
                  <c:v>0.13629576476424357</c:v>
                </c:pt>
                <c:pt idx="41">
                  <c:v>0.13680646639199609</c:v>
                </c:pt>
                <c:pt idx="42">
                  <c:v>0.14094076788053861</c:v>
                </c:pt>
                <c:pt idx="43">
                  <c:v>0.14176719859516865</c:v>
                </c:pt>
                <c:pt idx="44">
                  <c:v>0.14393399197140991</c:v>
                </c:pt>
                <c:pt idx="45">
                  <c:v>0.14475893390058159</c:v>
                </c:pt>
                <c:pt idx="46">
                  <c:v>0.14604612964368882</c:v>
                </c:pt>
                <c:pt idx="47">
                  <c:v>0.14984172075196539</c:v>
                </c:pt>
                <c:pt idx="48">
                  <c:v>0.15015132438160333</c:v>
                </c:pt>
                <c:pt idx="49">
                  <c:v>0.15288934669664681</c:v>
                </c:pt>
                <c:pt idx="50">
                  <c:v>0.15608766070330291</c:v>
                </c:pt>
                <c:pt idx="51">
                  <c:v>0.16715341902109188</c:v>
                </c:pt>
                <c:pt idx="52">
                  <c:v>0.16911808021665153</c:v>
                </c:pt>
                <c:pt idx="53">
                  <c:v>0.17</c:v>
                </c:pt>
                <c:pt idx="54">
                  <c:v>0.1719080054879179</c:v>
                </c:pt>
                <c:pt idx="55">
                  <c:v>0.17347742908300526</c:v>
                </c:pt>
                <c:pt idx="56">
                  <c:v>0.17590373783852348</c:v>
                </c:pt>
                <c:pt idx="57">
                  <c:v>0.17750605090818924</c:v>
                </c:pt>
                <c:pt idx="58">
                  <c:v>0.18334451294326168</c:v>
                </c:pt>
                <c:pt idx="59">
                  <c:v>0.18615171336434386</c:v>
                </c:pt>
                <c:pt idx="60">
                  <c:v>0.18726092592073118</c:v>
                </c:pt>
                <c:pt idx="61">
                  <c:v>0.19518394195684993</c:v>
                </c:pt>
                <c:pt idx="62">
                  <c:v>0.19610889776239745</c:v>
                </c:pt>
                <c:pt idx="63">
                  <c:v>0.20099726939595197</c:v>
                </c:pt>
                <c:pt idx="64">
                  <c:v>0.20153562935961622</c:v>
                </c:pt>
                <c:pt idx="65">
                  <c:v>0.20226384654072954</c:v>
                </c:pt>
                <c:pt idx="66">
                  <c:v>0.20531597272719493</c:v>
                </c:pt>
                <c:pt idx="67">
                  <c:v>0.21566050850635865</c:v>
                </c:pt>
                <c:pt idx="68">
                  <c:v>0.22</c:v>
                </c:pt>
                <c:pt idx="69">
                  <c:v>0.22246819033173326</c:v>
                </c:pt>
                <c:pt idx="70">
                  <c:v>0.22269522771067687</c:v>
                </c:pt>
                <c:pt idx="71">
                  <c:v>0.22652678230111364</c:v>
                </c:pt>
                <c:pt idx="72">
                  <c:v>0.22654646838142631</c:v>
                </c:pt>
                <c:pt idx="73">
                  <c:v>0.24544707605375371</c:v>
                </c:pt>
                <c:pt idx="74">
                  <c:v>0.24613456771642259</c:v>
                </c:pt>
                <c:pt idx="75">
                  <c:v>0.25782322495681909</c:v>
                </c:pt>
                <c:pt idx="76">
                  <c:v>0.26331630630876102</c:v>
                </c:pt>
                <c:pt idx="77">
                  <c:v>0.26717943941950356</c:v>
                </c:pt>
                <c:pt idx="78">
                  <c:v>0.27</c:v>
                </c:pt>
                <c:pt idx="79">
                  <c:v>0.27378361527747025</c:v>
                </c:pt>
                <c:pt idx="80">
                  <c:v>0.27736136028482405</c:v>
                </c:pt>
                <c:pt idx="81">
                  <c:v>0.27801238292347863</c:v>
                </c:pt>
                <c:pt idx="82">
                  <c:v>0.28913509813365706</c:v>
                </c:pt>
                <c:pt idx="83">
                  <c:v>0.29677731616454556</c:v>
                </c:pt>
                <c:pt idx="84">
                  <c:v>0.2982774848099084</c:v>
                </c:pt>
                <c:pt idx="85">
                  <c:v>0.3071030802542406</c:v>
                </c:pt>
                <c:pt idx="86">
                  <c:v>0.32587175496958792</c:v>
                </c:pt>
                <c:pt idx="87">
                  <c:v>0.32587175496958792</c:v>
                </c:pt>
                <c:pt idx="88">
                  <c:v>0.32667535792939456</c:v>
                </c:pt>
                <c:pt idx="89">
                  <c:v>0.33</c:v>
                </c:pt>
                <c:pt idx="90">
                  <c:v>0.34230052959596935</c:v>
                </c:pt>
                <c:pt idx="91">
                  <c:v>0.34239329373598371</c:v>
                </c:pt>
                <c:pt idx="92">
                  <c:v>0.34410048999427073</c:v>
                </c:pt>
                <c:pt idx="93">
                  <c:v>0.34653765159135153</c:v>
                </c:pt>
                <c:pt idx="94">
                  <c:v>0.34882555163059425</c:v>
                </c:pt>
                <c:pt idx="95">
                  <c:v>0.35074399231075637</c:v>
                </c:pt>
                <c:pt idx="96">
                  <c:v>0.35677962150914927</c:v>
                </c:pt>
                <c:pt idx="97">
                  <c:v>0.375</c:v>
                </c:pt>
                <c:pt idx="98">
                  <c:v>0.40809299194971987</c:v>
                </c:pt>
                <c:pt idx="99">
                  <c:v>0.46662467044632649</c:v>
                </c:pt>
              </c:numCache>
            </c:numRef>
          </c:val>
        </c:ser>
        <c:gapWidth val="51"/>
        <c:axId val="49187456"/>
        <c:axId val="49201536"/>
      </c:barChart>
      <c:catAx>
        <c:axId val="49187456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fr-FR"/>
          </a:p>
        </c:txPr>
        <c:crossAx val="49201536"/>
        <c:crosses val="autoZero"/>
        <c:auto val="1"/>
        <c:lblAlgn val="ctr"/>
        <c:lblOffset val="100"/>
        <c:tickLblSkip val="1"/>
      </c:catAx>
      <c:valAx>
        <c:axId val="49201536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GDP per capita</a:t>
                </a:r>
              </a:p>
            </c:rich>
          </c:tx>
          <c:layout>
            <c:manualLayout>
              <c:xMode val="edge"/>
              <c:yMode val="edge"/>
              <c:x val="1.0629492148514396E-2"/>
              <c:y val="0.24521982512813073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49187456"/>
        <c:crosses val="autoZero"/>
        <c:crossBetween val="between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 sz="1600" b="0"/>
              <a:t>Level of non contributory</a:t>
            </a:r>
            <a:r>
              <a:rPr lang="fr-FR" sz="1600" b="0" baseline="0"/>
              <a:t> pension expressed as a percentage of PPP dollars(latest)</a:t>
            </a:r>
            <a:endParaRPr lang="fr-FR" sz="1600" b="0"/>
          </a:p>
        </c:rich>
      </c:tx>
      <c:layout/>
    </c:title>
    <c:plotArea>
      <c:layout>
        <c:manualLayout>
          <c:layoutTarget val="inner"/>
          <c:xMode val="edge"/>
          <c:yMode val="edge"/>
          <c:x val="7.9862493910611926E-2"/>
          <c:y val="8.2791337564028344E-2"/>
          <c:w val="0.8983677486888958"/>
          <c:h val="0.59128499423558079"/>
        </c:manualLayout>
      </c:layout>
      <c:barChart>
        <c:barDir val="col"/>
        <c:grouping val="clustered"/>
        <c:ser>
          <c:idx val="0"/>
          <c:order val="0"/>
          <c:tx>
            <c:strRef>
              <c:f>'Data Dollars PPP'!$G$4</c:f>
              <c:strCache>
                <c:ptCount val="1"/>
                <c:pt idx="0">
                  <c:v>PPP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'Data Dollars PPP'!$B$5:$B$132</c:f>
              <c:strCache>
                <c:ptCount val="92"/>
                <c:pt idx="0">
                  <c:v>Bangladesh</c:v>
                </c:pt>
                <c:pt idx="1">
                  <c:v>India</c:v>
                </c:pt>
                <c:pt idx="2">
                  <c:v>Bangladesh</c:v>
                </c:pt>
                <c:pt idx="3">
                  <c:v>Moldova, Republic of</c:v>
                </c:pt>
                <c:pt idx="4">
                  <c:v>Zambia</c:v>
                </c:pt>
                <c:pt idx="5">
                  <c:v>Viet Nam [60-79 years old]</c:v>
                </c:pt>
                <c:pt idx="6">
                  <c:v>Nepal</c:v>
                </c:pt>
                <c:pt idx="7">
                  <c:v>Philippines</c:v>
                </c:pt>
                <c:pt idx="8">
                  <c:v>Viet Nam  [80 years old and over]</c:v>
                </c:pt>
                <c:pt idx="9">
                  <c:v>Tajikistan</c:v>
                </c:pt>
                <c:pt idx="10">
                  <c:v>Jamaica</c:v>
                </c:pt>
                <c:pt idx="11">
                  <c:v>Kenya</c:v>
                </c:pt>
                <c:pt idx="12">
                  <c:v>Uganda</c:v>
                </c:pt>
                <c:pt idx="13">
                  <c:v>Kenya</c:v>
                </c:pt>
                <c:pt idx="14">
                  <c:v>Turkmenistan</c:v>
                </c:pt>
                <c:pt idx="15">
                  <c:v>Indonesia </c:v>
                </c:pt>
                <c:pt idx="16">
                  <c:v>Swaziland</c:v>
                </c:pt>
                <c:pt idx="17">
                  <c:v>Mongolia</c:v>
                </c:pt>
                <c:pt idx="18">
                  <c:v>Colombia</c:v>
                </c:pt>
                <c:pt idx="19">
                  <c:v>Lithuania</c:v>
                </c:pt>
                <c:pt idx="20">
                  <c:v>Armenia</c:v>
                </c:pt>
                <c:pt idx="21">
                  <c:v>Botswana</c:v>
                </c:pt>
                <c:pt idx="22">
                  <c:v>Kyrgyzstan</c:v>
                </c:pt>
                <c:pt idx="23">
                  <c:v>Mexico</c:v>
                </c:pt>
                <c:pt idx="24">
                  <c:v>Lesotho</c:v>
                </c:pt>
                <c:pt idx="25">
                  <c:v>Bolivia</c:v>
                </c:pt>
                <c:pt idx="26">
                  <c:v>Kazakhstan</c:v>
                </c:pt>
                <c:pt idx="27">
                  <c:v>Ecuador</c:v>
                </c:pt>
                <c:pt idx="28">
                  <c:v>Peru</c:v>
                </c:pt>
                <c:pt idx="29">
                  <c:v>Guatemala</c:v>
                </c:pt>
                <c:pt idx="30">
                  <c:v>Georgia</c:v>
                </c:pt>
                <c:pt idx="31">
                  <c:v>Turkey</c:v>
                </c:pt>
                <c:pt idx="32">
                  <c:v>Namibia</c:v>
                </c:pt>
                <c:pt idx="33">
                  <c:v>Belize</c:v>
                </c:pt>
                <c:pt idx="34">
                  <c:v>El Salvador</c:v>
                </c:pt>
                <c:pt idx="35">
                  <c:v>Mexico</c:v>
                </c:pt>
                <c:pt idx="36">
                  <c:v>Belarus</c:v>
                </c:pt>
                <c:pt idx="37">
                  <c:v>Latvia</c:v>
                </c:pt>
                <c:pt idx="38">
                  <c:v>Saint Vincent and the Grenadines</c:v>
                </c:pt>
                <c:pt idx="39">
                  <c:v>Guyana</c:v>
                </c:pt>
                <c:pt idx="40">
                  <c:v>Korea, Republic of</c:v>
                </c:pt>
                <c:pt idx="41">
                  <c:v>Azerbaijan</c:v>
                </c:pt>
                <c:pt idx="42">
                  <c:v>Kosovo</c:v>
                </c:pt>
                <c:pt idx="43">
                  <c:v>Antigua and Barbuda</c:v>
                </c:pt>
                <c:pt idx="44">
                  <c:v>Dominican republic</c:v>
                </c:pt>
                <c:pt idx="45">
                  <c:v>Paraguay</c:v>
                </c:pt>
                <c:pt idx="46">
                  <c:v>Bulgaria</c:v>
                </c:pt>
                <c:pt idx="47">
                  <c:v>Czech republic</c:v>
                </c:pt>
                <c:pt idx="48">
                  <c:v>Hungary</c:v>
                </c:pt>
                <c:pt idx="49">
                  <c:v>Mauritius</c:v>
                </c:pt>
                <c:pt idx="50">
                  <c:v>Costa Rica</c:v>
                </c:pt>
                <c:pt idx="51">
                  <c:v>Czech republic</c:v>
                </c:pt>
                <c:pt idx="52">
                  <c:v>Ukraine</c:v>
                </c:pt>
                <c:pt idx="53">
                  <c:v>Iceland</c:v>
                </c:pt>
                <c:pt idx="54">
                  <c:v>Hong Kong</c:v>
                </c:pt>
                <c:pt idx="55">
                  <c:v>Estonia</c:v>
                </c:pt>
                <c:pt idx="56">
                  <c:v>Kiribati</c:v>
                </c:pt>
                <c:pt idx="57">
                  <c:v>South Africa</c:v>
                </c:pt>
                <c:pt idx="58">
                  <c:v>Czech republic</c:v>
                </c:pt>
                <c:pt idx="59">
                  <c:v>Argentina</c:v>
                </c:pt>
                <c:pt idx="60">
                  <c:v>Suriname</c:v>
                </c:pt>
                <c:pt idx="61">
                  <c:v>Portugal</c:v>
                </c:pt>
                <c:pt idx="62">
                  <c:v>Slovenia</c:v>
                </c:pt>
                <c:pt idx="63">
                  <c:v>Uruguay</c:v>
                </c:pt>
                <c:pt idx="64">
                  <c:v>Bahamas</c:v>
                </c:pt>
                <c:pt idx="65">
                  <c:v>Brazil [Rural pensionn]</c:v>
                </c:pt>
                <c:pt idx="66">
                  <c:v>Israel</c:v>
                </c:pt>
                <c:pt idx="67">
                  <c:v>Cyprus</c:v>
                </c:pt>
                <c:pt idx="68">
                  <c:v>Seychelles</c:v>
                </c:pt>
                <c:pt idx="69">
                  <c:v>Canada Targeted</c:v>
                </c:pt>
                <c:pt idx="70">
                  <c:v>Greece</c:v>
                </c:pt>
                <c:pt idx="71">
                  <c:v>Italy</c:v>
                </c:pt>
                <c:pt idx="72">
                  <c:v>Italy</c:v>
                </c:pt>
                <c:pt idx="73">
                  <c:v>Trinidad and Tobago</c:v>
                </c:pt>
                <c:pt idx="74">
                  <c:v>Finland</c:v>
                </c:pt>
                <c:pt idx="75">
                  <c:v>Denmark</c:v>
                </c:pt>
                <c:pt idx="76">
                  <c:v>United States of America</c:v>
                </c:pt>
                <c:pt idx="77">
                  <c:v>Slovenia</c:v>
                </c:pt>
                <c:pt idx="78">
                  <c:v>France</c:v>
                </c:pt>
                <c:pt idx="79">
                  <c:v>Malta</c:v>
                </c:pt>
                <c:pt idx="80">
                  <c:v>Switzerland</c:v>
                </c:pt>
                <c:pt idx="81">
                  <c:v>New Zealand</c:v>
                </c:pt>
                <c:pt idx="82">
                  <c:v>France</c:v>
                </c:pt>
                <c:pt idx="83">
                  <c:v>Sweden</c:v>
                </c:pt>
                <c:pt idx="84">
                  <c:v>United Kingdom</c:v>
                </c:pt>
                <c:pt idx="85">
                  <c:v>Austria</c:v>
                </c:pt>
                <c:pt idx="86">
                  <c:v>Australia</c:v>
                </c:pt>
                <c:pt idx="87">
                  <c:v>Switzerland</c:v>
                </c:pt>
                <c:pt idx="88">
                  <c:v>Beligium</c:v>
                </c:pt>
                <c:pt idx="89">
                  <c:v>Ireland</c:v>
                </c:pt>
                <c:pt idx="90">
                  <c:v>Netherlands</c:v>
                </c:pt>
                <c:pt idx="91">
                  <c:v>Norway</c:v>
                </c:pt>
              </c:strCache>
            </c:strRef>
          </c:cat>
          <c:val>
            <c:numRef>
              <c:f>'Data Dollars PPP'!$G$5:$G$132</c:f>
              <c:numCache>
                <c:formatCode>0</c:formatCode>
                <c:ptCount val="92"/>
                <c:pt idx="0">
                  <c:v>10</c:v>
                </c:pt>
                <c:pt idx="1">
                  <c:v>10.455329604265774</c:v>
                </c:pt>
                <c:pt idx="2">
                  <c:v>10.659396839999999</c:v>
                </c:pt>
                <c:pt idx="3">
                  <c:v>13.776105651105651</c:v>
                </c:pt>
                <c:pt idx="4">
                  <c:v>14.063642670967017</c:v>
                </c:pt>
                <c:pt idx="5">
                  <c:v>14.200415433153497</c:v>
                </c:pt>
                <c:pt idx="6">
                  <c:v>17.303433001107418</c:v>
                </c:pt>
                <c:pt idx="7">
                  <c:v>20.052135552436336</c:v>
                </c:pt>
                <c:pt idx="8">
                  <c:v>21.300623149730246</c:v>
                </c:pt>
                <c:pt idx="9">
                  <c:v>21.574973031283712</c:v>
                </c:pt>
                <c:pt idx="10">
                  <c:v>22.610133229602258</c:v>
                </c:pt>
                <c:pt idx="11">
                  <c:v>25.593409994524201</c:v>
                </c:pt>
                <c:pt idx="12">
                  <c:v>27.402384960618008</c:v>
                </c:pt>
                <c:pt idx="13">
                  <c:v>35.711734876080278</c:v>
                </c:pt>
                <c:pt idx="14">
                  <c:v>38.5</c:v>
                </c:pt>
                <c:pt idx="15">
                  <c:v>41.822239589294455</c:v>
                </c:pt>
                <c:pt idx="16">
                  <c:v>43.252595155709344</c:v>
                </c:pt>
                <c:pt idx="17">
                  <c:v>44.707824646840578</c:v>
                </c:pt>
                <c:pt idx="18">
                  <c:v>45.428836862775384</c:v>
                </c:pt>
                <c:pt idx="19">
                  <c:v>49.157466589192325</c:v>
                </c:pt>
                <c:pt idx="20">
                  <c:v>52.207419085501513</c:v>
                </c:pt>
                <c:pt idx="21">
                  <c:v>54.536440257808628</c:v>
                </c:pt>
                <c:pt idx="22">
                  <c:v>55.178502455443358</c:v>
                </c:pt>
                <c:pt idx="23">
                  <c:v>57.910586055130878</c:v>
                </c:pt>
                <c:pt idx="24">
                  <c:v>59.124950729207725</c:v>
                </c:pt>
                <c:pt idx="25">
                  <c:v>59.934072520227744</c:v>
                </c:pt>
                <c:pt idx="26">
                  <c:v>65.761352053398213</c:v>
                </c:pt>
                <c:pt idx="27">
                  <c:v>74.309978768577494</c:v>
                </c:pt>
                <c:pt idx="28">
                  <c:v>77.591558038485417</c:v>
                </c:pt>
                <c:pt idx="29">
                  <c:v>80.759135877246109</c:v>
                </c:pt>
                <c:pt idx="30">
                  <c:v>86.673889490790899</c:v>
                </c:pt>
                <c:pt idx="31">
                  <c:v>87.453874538745382</c:v>
                </c:pt>
                <c:pt idx="32">
                  <c:v>91.257528746121551</c:v>
                </c:pt>
                <c:pt idx="33">
                  <c:v>94.161958568738228</c:v>
                </c:pt>
                <c:pt idx="34">
                  <c:v>101.6260162601626</c:v>
                </c:pt>
                <c:pt idx="35">
                  <c:v>103.89159138290479</c:v>
                </c:pt>
                <c:pt idx="36">
                  <c:v>107</c:v>
                </c:pt>
                <c:pt idx="37">
                  <c:v>110.83743842364531</c:v>
                </c:pt>
                <c:pt idx="38">
                  <c:v>111.53054221002058</c:v>
                </c:pt>
                <c:pt idx="39">
                  <c:v>114.06410402646287</c:v>
                </c:pt>
                <c:pt idx="40">
                  <c:v>114.57056139575084</c:v>
                </c:pt>
                <c:pt idx="41">
                  <c:v>122</c:v>
                </c:pt>
                <c:pt idx="42">
                  <c:v>128.2051282051282</c:v>
                </c:pt>
                <c:pt idx="43">
                  <c:v>130.76923076923077</c:v>
                </c:pt>
                <c:pt idx="44">
                  <c:v>133.0372616984402</c:v>
                </c:pt>
                <c:pt idx="45">
                  <c:v>138.52140192500539</c:v>
                </c:pt>
                <c:pt idx="46">
                  <c:v>139.31034482758622</c:v>
                </c:pt>
                <c:pt idx="47">
                  <c:v>140.22999999999999</c:v>
                </c:pt>
                <c:pt idx="48">
                  <c:v>167.6865144739939</c:v>
                </c:pt>
                <c:pt idx="49">
                  <c:v>186.72839506172841</c:v>
                </c:pt>
                <c:pt idx="50">
                  <c:v>190.4354556193735</c:v>
                </c:pt>
                <c:pt idx="51">
                  <c:v>193.43324610536868</c:v>
                </c:pt>
                <c:pt idx="52">
                  <c:v>194.67787114845939</c:v>
                </c:pt>
                <c:pt idx="53">
                  <c:v>195.63810756289726</c:v>
                </c:pt>
                <c:pt idx="54">
                  <c:v>196.82195738533767</c:v>
                </c:pt>
                <c:pt idx="55">
                  <c:v>219.57264957264957</c:v>
                </c:pt>
                <c:pt idx="56">
                  <c:v>222.2222222222222</c:v>
                </c:pt>
                <c:pt idx="57">
                  <c:v>225.05626406601652</c:v>
                </c:pt>
                <c:pt idx="58">
                  <c:v>226.8</c:v>
                </c:pt>
                <c:pt idx="59">
                  <c:v>239.81900452488688</c:v>
                </c:pt>
                <c:pt idx="60">
                  <c:v>251.13008538422901</c:v>
                </c:pt>
                <c:pt idx="61">
                  <c:v>279.5422031473534</c:v>
                </c:pt>
                <c:pt idx="62">
                  <c:v>290.64102564102564</c:v>
                </c:pt>
                <c:pt idx="63">
                  <c:v>296.52898731027619</c:v>
                </c:pt>
                <c:pt idx="64">
                  <c:v>316</c:v>
                </c:pt>
                <c:pt idx="65">
                  <c:v>330.85106382978728</c:v>
                </c:pt>
                <c:pt idx="66">
                  <c:v>401.57266811279823</c:v>
                </c:pt>
                <c:pt idx="67">
                  <c:v>429.8941798941799</c:v>
                </c:pt>
                <c:pt idx="68">
                  <c:v>432.66630611141159</c:v>
                </c:pt>
                <c:pt idx="69">
                  <c:v>433.32774518021796</c:v>
                </c:pt>
                <c:pt idx="70">
                  <c:v>451.43638850889192</c:v>
                </c:pt>
                <c:pt idx="71">
                  <c:v>470.32</c:v>
                </c:pt>
                <c:pt idx="72">
                  <c:v>498.47619047619054</c:v>
                </c:pt>
                <c:pt idx="73">
                  <c:v>594.05940594059405</c:v>
                </c:pt>
                <c:pt idx="74">
                  <c:v>619.15564598168874</c:v>
                </c:pt>
                <c:pt idx="75">
                  <c:v>669.20463863183784</c:v>
                </c:pt>
                <c:pt idx="76">
                  <c:v>674</c:v>
                </c:pt>
                <c:pt idx="77">
                  <c:v>676.54914529914527</c:v>
                </c:pt>
                <c:pt idx="78">
                  <c:v>721.23108994754728</c:v>
                </c:pt>
                <c:pt idx="79">
                  <c:v>725.94276094276097</c:v>
                </c:pt>
                <c:pt idx="80">
                  <c:v>731.56850572371889</c:v>
                </c:pt>
                <c:pt idx="81">
                  <c:v>782.54573891977259</c:v>
                </c:pt>
                <c:pt idx="82">
                  <c:v>812.11159737417938</c:v>
                </c:pt>
                <c:pt idx="83">
                  <c:v>839.69713476413551</c:v>
                </c:pt>
                <c:pt idx="84">
                  <c:v>892.32833583208389</c:v>
                </c:pt>
                <c:pt idx="85">
                  <c:v>942</c:v>
                </c:pt>
                <c:pt idx="86">
                  <c:v>958.32061068702285</c:v>
                </c:pt>
                <c:pt idx="87">
                  <c:v>1000.8033705752837</c:v>
                </c:pt>
                <c:pt idx="88">
                  <c:v>1026</c:v>
                </c:pt>
                <c:pt idx="89">
                  <c:v>1100.9280742459398</c:v>
                </c:pt>
                <c:pt idx="90">
                  <c:v>1168.7370838117108</c:v>
                </c:pt>
                <c:pt idx="91">
                  <c:v>1168.7468290208017</c:v>
                </c:pt>
              </c:numCache>
            </c:numRef>
          </c:val>
        </c:ser>
        <c:gapWidth val="51"/>
        <c:axId val="49517696"/>
        <c:axId val="49519232"/>
      </c:barChart>
      <c:catAx>
        <c:axId val="49517696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fr-FR"/>
          </a:p>
        </c:txPr>
        <c:crossAx val="49519232"/>
        <c:crosses val="autoZero"/>
        <c:auto val="1"/>
        <c:lblAlgn val="ctr"/>
        <c:lblOffset val="100"/>
        <c:tickLblSkip val="1"/>
      </c:catAx>
      <c:valAx>
        <c:axId val="49519232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PPP $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4521982512813076"/>
            </c:manualLayout>
          </c:layout>
        </c:title>
        <c:numFmt formatCode="#,##0" sourceLinked="0"/>
        <c:tickLblPos val="nextTo"/>
        <c:spPr>
          <a:ln>
            <a:noFill/>
          </a:ln>
        </c:spPr>
        <c:crossAx val="49517696"/>
        <c:crosses val="autoZero"/>
        <c:crossBetween val="between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 sz="1600" b="0"/>
              <a:t>Level of non contributory</a:t>
            </a:r>
            <a:r>
              <a:rPr lang="fr-FR" sz="1600" b="0" baseline="0"/>
              <a:t> pension expressed as a percentage of US dollars(latest)</a:t>
            </a:r>
            <a:endParaRPr lang="fr-FR" sz="1600" b="0"/>
          </a:p>
        </c:rich>
      </c:tx>
    </c:title>
    <c:plotArea>
      <c:layout>
        <c:manualLayout>
          <c:layoutTarget val="inner"/>
          <c:xMode val="edge"/>
          <c:yMode val="edge"/>
          <c:x val="7.9862493910611954E-2"/>
          <c:y val="8.2791337564028344E-2"/>
          <c:w val="0.8983677486888958"/>
          <c:h val="0.59128499423558079"/>
        </c:manualLayout>
      </c:layout>
      <c:barChart>
        <c:barDir val="col"/>
        <c:grouping val="clustered"/>
        <c:ser>
          <c:idx val="0"/>
          <c:order val="0"/>
          <c:tx>
            <c:strRef>
              <c:f>'Data US$'!$F$4</c:f>
              <c:strCache>
                <c:ptCount val="1"/>
                <c:pt idx="0">
                  <c:v>US$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'Data US$'!$B$5:$B$134</c:f>
              <c:strCache>
                <c:ptCount val="103"/>
                <c:pt idx="0">
                  <c:v>India</c:v>
                </c:pt>
                <c:pt idx="1">
                  <c:v>Bangladesh</c:v>
                </c:pt>
                <c:pt idx="2">
                  <c:v>Viet Nam [60-79 years old]</c:v>
                </c:pt>
                <c:pt idx="3">
                  <c:v>Nepal</c:v>
                </c:pt>
                <c:pt idx="4">
                  <c:v>Moldova, Republic of</c:v>
                </c:pt>
                <c:pt idx="5">
                  <c:v>Tajikistan</c:v>
                </c:pt>
                <c:pt idx="6">
                  <c:v>Viet Nam  [80 years old and over]</c:v>
                </c:pt>
                <c:pt idx="7">
                  <c:v>Uganda</c:v>
                </c:pt>
                <c:pt idx="8">
                  <c:v>Jamaica</c:v>
                </c:pt>
                <c:pt idx="9">
                  <c:v>Zambia</c:v>
                </c:pt>
                <c:pt idx="10">
                  <c:v>Philippines</c:v>
                </c:pt>
                <c:pt idx="11">
                  <c:v>Kenya</c:v>
                </c:pt>
                <c:pt idx="12">
                  <c:v>Belarus</c:v>
                </c:pt>
                <c:pt idx="13">
                  <c:v>Kenya</c:v>
                </c:pt>
                <c:pt idx="14">
                  <c:v>Thailand</c:v>
                </c:pt>
                <c:pt idx="15">
                  <c:v>Timor-Leste</c:v>
                </c:pt>
                <c:pt idx="16">
                  <c:v>Turkmenistan</c:v>
                </c:pt>
                <c:pt idx="17">
                  <c:v>Kyrgyzstan</c:v>
                </c:pt>
                <c:pt idx="18">
                  <c:v>Armenia</c:v>
                </c:pt>
                <c:pt idx="19">
                  <c:v>Swaziland</c:v>
                </c:pt>
                <c:pt idx="20">
                  <c:v>Mongolia</c:v>
                </c:pt>
                <c:pt idx="21">
                  <c:v>Bolivia</c:v>
                </c:pt>
                <c:pt idx="22">
                  <c:v>Botswana</c:v>
                </c:pt>
                <c:pt idx="23">
                  <c:v>Nigeria</c:v>
                </c:pt>
                <c:pt idx="24">
                  <c:v>Uzbekestan</c:v>
                </c:pt>
                <c:pt idx="25">
                  <c:v>Lithuania</c:v>
                </c:pt>
                <c:pt idx="26">
                  <c:v>Indonesia </c:v>
                </c:pt>
                <c:pt idx="27">
                  <c:v>Colombia</c:v>
                </c:pt>
                <c:pt idx="28">
                  <c:v>Ecuador</c:v>
                </c:pt>
                <c:pt idx="29">
                  <c:v>Mexico</c:v>
                </c:pt>
                <c:pt idx="30">
                  <c:v>Lesotho</c:v>
                </c:pt>
                <c:pt idx="31">
                  <c:v>Peru</c:v>
                </c:pt>
                <c:pt idx="32">
                  <c:v>Georgia</c:v>
                </c:pt>
                <c:pt idx="33">
                  <c:v>Guyana</c:v>
                </c:pt>
                <c:pt idx="34">
                  <c:v>El Salvador</c:v>
                </c:pt>
                <c:pt idx="35">
                  <c:v>Guatemala</c:v>
                </c:pt>
                <c:pt idx="36">
                  <c:v>Belize</c:v>
                </c:pt>
                <c:pt idx="37">
                  <c:v>Kazakhstan</c:v>
                </c:pt>
                <c:pt idx="38">
                  <c:v>Samoa</c:v>
                </c:pt>
                <c:pt idx="39">
                  <c:v>Kosovo</c:v>
                </c:pt>
                <c:pt idx="40">
                  <c:v>Cape Verde</c:v>
                </c:pt>
                <c:pt idx="41">
                  <c:v>Saint Vincent and the Grenadines</c:v>
                </c:pt>
                <c:pt idx="42">
                  <c:v>Kiribati</c:v>
                </c:pt>
                <c:pt idx="43">
                  <c:v>Namibia</c:v>
                </c:pt>
                <c:pt idx="44">
                  <c:v>Bulgaria</c:v>
                </c:pt>
                <c:pt idx="45">
                  <c:v>Mexico</c:v>
                </c:pt>
                <c:pt idx="46">
                  <c:v>Azerbaijan</c:v>
                </c:pt>
                <c:pt idx="47">
                  <c:v>Dominican republic</c:v>
                </c:pt>
                <c:pt idx="48">
                  <c:v>Korea, Republic of</c:v>
                </c:pt>
                <c:pt idx="49">
                  <c:v>Latvia</c:v>
                </c:pt>
                <c:pt idx="50">
                  <c:v>Ukraine</c:v>
                </c:pt>
                <c:pt idx="51">
                  <c:v>Paraguay</c:v>
                </c:pt>
                <c:pt idx="52">
                  <c:v>Turkey</c:v>
                </c:pt>
                <c:pt idx="53">
                  <c:v>Antigua and Barbuda</c:v>
                </c:pt>
                <c:pt idx="54">
                  <c:v>Argentina</c:v>
                </c:pt>
                <c:pt idx="55">
                  <c:v>Czech republic</c:v>
                </c:pt>
                <c:pt idx="56">
                  <c:v>Panama</c:v>
                </c:pt>
                <c:pt idx="57">
                  <c:v>Hungary</c:v>
                </c:pt>
                <c:pt idx="58">
                  <c:v>Mauritius</c:v>
                </c:pt>
                <c:pt idx="59">
                  <c:v>Maldives</c:v>
                </c:pt>
                <c:pt idx="60">
                  <c:v>Hong Kong</c:v>
                </c:pt>
                <c:pt idx="61">
                  <c:v>Costa Rica</c:v>
                </c:pt>
                <c:pt idx="62">
                  <c:v>Suriname</c:v>
                </c:pt>
                <c:pt idx="63">
                  <c:v>South Africa</c:v>
                </c:pt>
                <c:pt idx="64">
                  <c:v>Chile</c:v>
                </c:pt>
                <c:pt idx="65">
                  <c:v>Czech republic</c:v>
                </c:pt>
                <c:pt idx="66">
                  <c:v>Estonia</c:v>
                </c:pt>
                <c:pt idx="67">
                  <c:v>Seychelles</c:v>
                </c:pt>
                <c:pt idx="68">
                  <c:v>Brunei Darussalam</c:v>
                </c:pt>
                <c:pt idx="69">
                  <c:v>Iceland</c:v>
                </c:pt>
                <c:pt idx="70">
                  <c:v>Slovenia</c:v>
                </c:pt>
                <c:pt idx="71">
                  <c:v>Uruguay</c:v>
                </c:pt>
                <c:pt idx="72">
                  <c:v>Bahamas</c:v>
                </c:pt>
                <c:pt idx="73">
                  <c:v>Portugal</c:v>
                </c:pt>
                <c:pt idx="74">
                  <c:v>Barbados</c:v>
                </c:pt>
                <c:pt idx="75">
                  <c:v>Cook Islands</c:v>
                </c:pt>
                <c:pt idx="76">
                  <c:v>Brazil [Rural pensionn]</c:v>
                </c:pt>
                <c:pt idx="77">
                  <c:v>Brazil [BPC]</c:v>
                </c:pt>
                <c:pt idx="78">
                  <c:v>Venezuela</c:v>
                </c:pt>
                <c:pt idx="79">
                  <c:v>Israel</c:v>
                </c:pt>
                <c:pt idx="80">
                  <c:v>Cyprus</c:v>
                </c:pt>
                <c:pt idx="81">
                  <c:v>Greece</c:v>
                </c:pt>
                <c:pt idx="82">
                  <c:v>Bermuda</c:v>
                </c:pt>
                <c:pt idx="83">
                  <c:v>Trinidad and Tobago</c:v>
                </c:pt>
                <c:pt idx="84">
                  <c:v>Spain</c:v>
                </c:pt>
                <c:pt idx="85">
                  <c:v>Canada Targeted</c:v>
                </c:pt>
                <c:pt idx="86">
                  <c:v>Italy</c:v>
                </c:pt>
                <c:pt idx="87">
                  <c:v>Canada basic</c:v>
                </c:pt>
                <c:pt idx="88">
                  <c:v>Malta</c:v>
                </c:pt>
                <c:pt idx="89">
                  <c:v>United States of America</c:v>
                </c:pt>
                <c:pt idx="90">
                  <c:v>Finland</c:v>
                </c:pt>
                <c:pt idx="91">
                  <c:v>New Zealand</c:v>
                </c:pt>
                <c:pt idx="92">
                  <c:v>United Kingdom</c:v>
                </c:pt>
                <c:pt idx="93">
                  <c:v>France</c:v>
                </c:pt>
                <c:pt idx="94">
                  <c:v>Denmark</c:v>
                </c:pt>
                <c:pt idx="95">
                  <c:v>Norway</c:v>
                </c:pt>
                <c:pt idx="96">
                  <c:v>Sweden</c:v>
                </c:pt>
                <c:pt idx="97">
                  <c:v>Beligium</c:v>
                </c:pt>
                <c:pt idx="98">
                  <c:v>Ireland</c:v>
                </c:pt>
                <c:pt idx="99">
                  <c:v>Netherlands</c:v>
                </c:pt>
                <c:pt idx="100">
                  <c:v>Switzerland</c:v>
                </c:pt>
                <c:pt idx="101">
                  <c:v>Australia</c:v>
                </c:pt>
                <c:pt idx="102">
                  <c:v>Austria</c:v>
                </c:pt>
              </c:strCache>
            </c:strRef>
          </c:cat>
          <c:val>
            <c:numRef>
              <c:f>'Data US$'!$F$5:$F$134</c:f>
              <c:numCache>
                <c:formatCode>0.0</c:formatCode>
                <c:ptCount val="103"/>
                <c:pt idx="0">
                  <c:v>3.8062612998382339</c:v>
                </c:pt>
                <c:pt idx="1">
                  <c:v>4.3361735619999999</c:v>
                </c:pt>
                <c:pt idx="2">
                  <c:v>5.7692307692307692</c:v>
                </c:pt>
                <c:pt idx="3">
                  <c:v>6.7385444743935308</c:v>
                </c:pt>
                <c:pt idx="4">
                  <c:v>7.6642460486971373</c:v>
                </c:pt>
                <c:pt idx="5">
                  <c:v>8.4067169668565196</c:v>
                </c:pt>
                <c:pt idx="6">
                  <c:v>8.6538461538461533</c:v>
                </c:pt>
                <c:pt idx="7">
                  <c:v>9.1669988043045034</c:v>
                </c:pt>
                <c:pt idx="8">
                  <c:v>10.776361529548089</c:v>
                </c:pt>
                <c:pt idx="9">
                  <c:v>11.551790527531768</c:v>
                </c:pt>
                <c:pt idx="10">
                  <c:v>11.725748806318773</c:v>
                </c:pt>
                <c:pt idx="11">
                  <c:v>12.920673076923077</c:v>
                </c:pt>
                <c:pt idx="12">
                  <c:v>17</c:v>
                </c:pt>
                <c:pt idx="13">
                  <c:v>18.028846153846153</c:v>
                </c:pt>
                <c:pt idx="14">
                  <c:v>19.389238972370336</c:v>
                </c:pt>
                <c:pt idx="15">
                  <c:v>20</c:v>
                </c:pt>
                <c:pt idx="16">
                  <c:v>20.803508771929824</c:v>
                </c:pt>
                <c:pt idx="17">
                  <c:v>21.328783192918845</c:v>
                </c:pt>
                <c:pt idx="18">
                  <c:v>25.647754197345293</c:v>
                </c:pt>
                <c:pt idx="19">
                  <c:v>25.784858873021172</c:v>
                </c:pt>
                <c:pt idx="20">
                  <c:v>27.802401482794743</c:v>
                </c:pt>
                <c:pt idx="21">
                  <c:v>29.154518950437318</c:v>
                </c:pt>
                <c:pt idx="22">
                  <c:v>29.391999764864</c:v>
                </c:pt>
                <c:pt idx="23">
                  <c:v>31.685678073510772</c:v>
                </c:pt>
                <c:pt idx="24">
                  <c:v>31.75</c:v>
                </c:pt>
                <c:pt idx="25">
                  <c:v>32.395423284880607</c:v>
                </c:pt>
                <c:pt idx="26">
                  <c:v>32.679738562091501</c:v>
                </c:pt>
                <c:pt idx="27">
                  <c:v>33.955857385398978</c:v>
                </c:pt>
                <c:pt idx="28">
                  <c:v>35</c:v>
                </c:pt>
                <c:pt idx="29">
                  <c:v>38.08247140006398</c:v>
                </c:pt>
                <c:pt idx="30">
                  <c:v>38.662982514021778</c:v>
                </c:pt>
                <c:pt idx="31">
                  <c:v>47.169811320754718</c:v>
                </c:pt>
                <c:pt idx="32">
                  <c:v>49.15816640039327</c:v>
                </c:pt>
                <c:pt idx="33">
                  <c:v>49.70178926441352</c:v>
                </c:pt>
                <c:pt idx="34">
                  <c:v>50</c:v>
                </c:pt>
                <c:pt idx="35">
                  <c:v>51.305072789072021</c:v>
                </c:pt>
                <c:pt idx="36">
                  <c:v>51.432127592822134</c:v>
                </c:pt>
                <c:pt idx="37">
                  <c:v>54.182187605824581</c:v>
                </c:pt>
                <c:pt idx="38">
                  <c:v>56.745018442130991</c:v>
                </c:pt>
                <c:pt idx="39">
                  <c:v>59.497838245210431</c:v>
                </c:pt>
                <c:pt idx="40">
                  <c:v>59.737156511350058</c:v>
                </c:pt>
                <c:pt idx="41">
                  <c:v>60.185185185185183</c:v>
                </c:pt>
                <c:pt idx="42">
                  <c:v>62.028646896758488</c:v>
                </c:pt>
                <c:pt idx="43">
                  <c:v>64.451012718762854</c:v>
                </c:pt>
                <c:pt idx="44">
                  <c:v>68.296311322987464</c:v>
                </c:pt>
                <c:pt idx="45">
                  <c:v>68.319953691714773</c:v>
                </c:pt>
                <c:pt idx="46">
                  <c:v>76</c:v>
                </c:pt>
                <c:pt idx="47">
                  <c:v>79.034749034749026</c:v>
                </c:pt>
                <c:pt idx="48">
                  <c:v>79.957916885849556</c:v>
                </c:pt>
                <c:pt idx="49">
                  <c:v>85.047031008147499</c:v>
                </c:pt>
                <c:pt idx="50">
                  <c:v>86.518112784762863</c:v>
                </c:pt>
                <c:pt idx="51">
                  <c:v>87.441860465116278</c:v>
                </c:pt>
                <c:pt idx="52">
                  <c:v>87.453874538745382</c:v>
                </c:pt>
                <c:pt idx="53">
                  <c:v>94</c:v>
                </c:pt>
                <c:pt idx="54">
                  <c:v>96.077151765644302</c:v>
                </c:pt>
                <c:pt idx="55">
                  <c:v>99.459686303310079</c:v>
                </c:pt>
                <c:pt idx="56">
                  <c:v>100</c:v>
                </c:pt>
                <c:pt idx="57">
                  <c:v>104.28244075796869</c:v>
                </c:pt>
                <c:pt idx="58">
                  <c:v>109.42608695652174</c:v>
                </c:pt>
                <c:pt idx="59">
                  <c:v>131.14754098360655</c:v>
                </c:pt>
                <c:pt idx="60">
                  <c:v>140.4765893830629</c:v>
                </c:pt>
                <c:pt idx="61">
                  <c:v>140.86699744882586</c:v>
                </c:pt>
                <c:pt idx="62">
                  <c:v>153.84615384615384</c:v>
                </c:pt>
                <c:pt idx="63">
                  <c:v>154.70915323812704</c:v>
                </c:pt>
                <c:pt idx="64">
                  <c:v>157.68643216080403</c:v>
                </c:pt>
                <c:pt idx="65">
                  <c:v>163.69999999999999</c:v>
                </c:pt>
                <c:pt idx="66">
                  <c:v>169.83327383549508</c:v>
                </c:pt>
                <c:pt idx="67">
                  <c:v>172.92312126233878</c:v>
                </c:pt>
                <c:pt idx="68">
                  <c:v>201</c:v>
                </c:pt>
                <c:pt idx="69">
                  <c:v>203.58048162230673</c:v>
                </c:pt>
                <c:pt idx="70">
                  <c:v>239.78950987003032</c:v>
                </c:pt>
                <c:pt idx="71">
                  <c:v>240.75757575757575</c:v>
                </c:pt>
                <c:pt idx="72">
                  <c:v>245</c:v>
                </c:pt>
                <c:pt idx="73">
                  <c:v>258.35283540253596</c:v>
                </c:pt>
                <c:pt idx="74">
                  <c:v>299</c:v>
                </c:pt>
                <c:pt idx="75">
                  <c:v>325.48639873711278</c:v>
                </c:pt>
                <c:pt idx="76">
                  <c:v>330.9549273442197</c:v>
                </c:pt>
                <c:pt idx="77">
                  <c:v>330.9549273442197</c:v>
                </c:pt>
                <c:pt idx="78">
                  <c:v>360</c:v>
                </c:pt>
                <c:pt idx="79">
                  <c:v>394.64182457224928</c:v>
                </c:pt>
                <c:pt idx="80">
                  <c:v>429.70888214870303</c:v>
                </c:pt>
                <c:pt idx="81">
                  <c:v>436.3174804648765</c:v>
                </c:pt>
                <c:pt idx="82">
                  <c:v>451</c:v>
                </c:pt>
                <c:pt idx="83">
                  <c:v>472.44094488188978</c:v>
                </c:pt>
                <c:pt idx="84">
                  <c:v>472.94170534026154</c:v>
                </c:pt>
                <c:pt idx="85">
                  <c:v>504.36598144335937</c:v>
                </c:pt>
                <c:pt idx="86">
                  <c:v>544.11434162336548</c:v>
                </c:pt>
                <c:pt idx="87">
                  <c:v>547</c:v>
                </c:pt>
                <c:pt idx="88">
                  <c:v>570.13472954927079</c:v>
                </c:pt>
                <c:pt idx="89">
                  <c:v>674</c:v>
                </c:pt>
                <c:pt idx="90">
                  <c:v>804.71487313738714</c:v>
                </c:pt>
                <c:pt idx="91">
                  <c:v>869.42813758325678</c:v>
                </c:pt>
                <c:pt idx="92">
                  <c:v>958.12587029837641</c:v>
                </c:pt>
                <c:pt idx="93">
                  <c:v>981.41023098382982</c:v>
                </c:pt>
                <c:pt idx="94">
                  <c:v>1015.2329366941044</c:v>
                </c:pt>
                <c:pt idx="95">
                  <c:v>1061.4595858616931</c:v>
                </c:pt>
                <c:pt idx="96">
                  <c:v>1145.0545891588263</c:v>
                </c:pt>
                <c:pt idx="97">
                  <c:v>1212</c:v>
                </c:pt>
                <c:pt idx="98">
                  <c:v>1254.7432998823265</c:v>
                </c:pt>
                <c:pt idx="99">
                  <c:v>1392.5718194254446</c:v>
                </c:pt>
                <c:pt idx="100">
                  <c:v>1449.4759644838564</c:v>
                </c:pt>
                <c:pt idx="101">
                  <c:v>1558</c:v>
                </c:pt>
                <c:pt idx="102">
                  <c:v>1558</c:v>
                </c:pt>
              </c:numCache>
            </c:numRef>
          </c:val>
        </c:ser>
        <c:gapWidth val="51"/>
        <c:axId val="48835200"/>
        <c:axId val="48841088"/>
      </c:barChart>
      <c:catAx>
        <c:axId val="48835200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fr-FR"/>
          </a:p>
        </c:txPr>
        <c:crossAx val="48841088"/>
        <c:crosses val="autoZero"/>
        <c:auto val="1"/>
        <c:lblAlgn val="ctr"/>
        <c:lblOffset val="100"/>
        <c:tickLblSkip val="1"/>
      </c:catAx>
      <c:valAx>
        <c:axId val="48841088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US$</a:t>
                </a:r>
              </a:p>
            </c:rich>
          </c:tx>
          <c:layout>
            <c:manualLayout>
              <c:xMode val="edge"/>
              <c:yMode val="edge"/>
              <c:x val="1.3356764973398884E-2"/>
              <c:y val="0.29953317168725196"/>
            </c:manualLayout>
          </c:layout>
        </c:title>
        <c:numFmt formatCode="#,##0" sourceLinked="0"/>
        <c:tickLblPos val="nextTo"/>
        <c:spPr>
          <a:ln>
            <a:noFill/>
          </a:ln>
        </c:spPr>
        <c:crossAx val="48835200"/>
        <c:crosses val="autoZero"/>
        <c:crossBetween val="between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en-GB" sz="1600" b="0" i="0" baseline="0"/>
              <a:t>Percentage of the population above eligible age* benefiting from the non contributory pension (latest available year)</a:t>
            </a:r>
            <a:endParaRPr lang="fr-FR" sz="1600"/>
          </a:p>
          <a:p>
            <a:pPr>
              <a:defRPr/>
            </a:pPr>
            <a:r>
              <a:rPr lang="en-GB" sz="1100" b="0" i="1" baseline="0"/>
              <a:t>* no other eligibility criteria than age taken into account for the reference population (e.g. income or pension tested)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95340368480332E-2"/>
          <c:y val="0.17470623174100275"/>
          <c:w val="0.87518592967737763"/>
          <c:h val="0.50145907492626463"/>
        </c:manualLayout>
      </c:layout>
      <c:barChart>
        <c:barDir val="col"/>
        <c:grouping val="clustered"/>
        <c:ser>
          <c:idx val="0"/>
          <c:order val="0"/>
          <c:tx>
            <c:strRef>
              <c:f>'Data Coverage (1)'!$G$4</c:f>
              <c:strCache>
                <c:ptCount val="1"/>
                <c:pt idx="0">
                  <c:v>Percentage eligible population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'Data Coverage (1)'!$B$5:$B$103</c:f>
              <c:strCache>
                <c:ptCount val="87"/>
                <c:pt idx="0">
                  <c:v>Indonesia </c:v>
                </c:pt>
                <c:pt idx="1">
                  <c:v>Poland</c:v>
                </c:pt>
                <c:pt idx="2">
                  <c:v>Uzbekestan</c:v>
                </c:pt>
                <c:pt idx="3">
                  <c:v>Nigeria</c:v>
                </c:pt>
                <c:pt idx="4">
                  <c:v>Slovakia</c:v>
                </c:pt>
                <c:pt idx="5">
                  <c:v>Moldova, Republic of</c:v>
                </c:pt>
                <c:pt idx="6">
                  <c:v>Bulgaria</c:v>
                </c:pt>
                <c:pt idx="7">
                  <c:v>Zambia</c:v>
                </c:pt>
                <c:pt idx="8">
                  <c:v>Mongolia</c:v>
                </c:pt>
                <c:pt idx="9">
                  <c:v>Viet Nam [60-79 years old]</c:v>
                </c:pt>
                <c:pt idx="10">
                  <c:v>Finland</c:v>
                </c:pt>
                <c:pt idx="11">
                  <c:v>Germany</c:v>
                </c:pt>
                <c:pt idx="12">
                  <c:v>Japan</c:v>
                </c:pt>
                <c:pt idx="13">
                  <c:v>Peru</c:v>
                </c:pt>
                <c:pt idx="14">
                  <c:v>Guatemala</c:v>
                </c:pt>
                <c:pt idx="15">
                  <c:v>Belarus</c:v>
                </c:pt>
                <c:pt idx="16">
                  <c:v>Argentina</c:v>
                </c:pt>
                <c:pt idx="17">
                  <c:v>Portugal</c:v>
                </c:pt>
                <c:pt idx="18">
                  <c:v>Ukraine</c:v>
                </c:pt>
                <c:pt idx="19">
                  <c:v>Kenya</c:v>
                </c:pt>
                <c:pt idx="20">
                  <c:v>Uganda</c:v>
                </c:pt>
                <c:pt idx="21">
                  <c:v>Spain</c:v>
                </c:pt>
                <c:pt idx="22">
                  <c:v>El Salvador</c:v>
                </c:pt>
                <c:pt idx="23">
                  <c:v>Estonia</c:v>
                </c:pt>
                <c:pt idx="24">
                  <c:v>United States of America</c:v>
                </c:pt>
                <c:pt idx="25">
                  <c:v>France</c:v>
                </c:pt>
                <c:pt idx="26">
                  <c:v>Beligium</c:v>
                </c:pt>
                <c:pt idx="27">
                  <c:v>Slovenia</c:v>
                </c:pt>
                <c:pt idx="28">
                  <c:v>Italy</c:v>
                </c:pt>
                <c:pt idx="29">
                  <c:v>Paraguay</c:v>
                </c:pt>
                <c:pt idx="30">
                  <c:v>Philippines</c:v>
                </c:pt>
                <c:pt idx="31">
                  <c:v>Colombia</c:v>
                </c:pt>
                <c:pt idx="32">
                  <c:v>Mexico</c:v>
                </c:pt>
                <c:pt idx="33">
                  <c:v>Bahamas</c:v>
                </c:pt>
                <c:pt idx="34">
                  <c:v>Austria</c:v>
                </c:pt>
                <c:pt idx="35">
                  <c:v>Switzerland</c:v>
                </c:pt>
                <c:pt idx="36">
                  <c:v>Brazil [BPC]</c:v>
                </c:pt>
                <c:pt idx="37">
                  <c:v>Cyprus</c:v>
                </c:pt>
                <c:pt idx="38">
                  <c:v>Greece</c:v>
                </c:pt>
                <c:pt idx="39">
                  <c:v>India</c:v>
                </c:pt>
                <c:pt idx="40">
                  <c:v>Costa Rica</c:v>
                </c:pt>
                <c:pt idx="41">
                  <c:v>Uruguay</c:v>
                </c:pt>
                <c:pt idx="42">
                  <c:v>United Kingdom</c:v>
                </c:pt>
                <c:pt idx="43">
                  <c:v>Jamaica</c:v>
                </c:pt>
                <c:pt idx="44">
                  <c:v>Venezuela</c:v>
                </c:pt>
                <c:pt idx="45">
                  <c:v>Norway</c:v>
                </c:pt>
                <c:pt idx="46">
                  <c:v>Brazil [Rural pensionn]</c:v>
                </c:pt>
                <c:pt idx="47">
                  <c:v>Ireland</c:v>
                </c:pt>
                <c:pt idx="48">
                  <c:v>Bangladesh</c:v>
                </c:pt>
                <c:pt idx="49">
                  <c:v>Barbados</c:v>
                </c:pt>
                <c:pt idx="50">
                  <c:v>Canada Targeted</c:v>
                </c:pt>
                <c:pt idx="51">
                  <c:v>Azerbaijan</c:v>
                </c:pt>
                <c:pt idx="52">
                  <c:v>Cape Verde</c:v>
                </c:pt>
                <c:pt idx="53">
                  <c:v>Viet Nam  [80 years old and over]</c:v>
                </c:pt>
                <c:pt idx="54">
                  <c:v>Mexico</c:v>
                </c:pt>
                <c:pt idx="55">
                  <c:v>Belize</c:v>
                </c:pt>
                <c:pt idx="56">
                  <c:v>Sweden</c:v>
                </c:pt>
                <c:pt idx="57">
                  <c:v>Chile</c:v>
                </c:pt>
                <c:pt idx="58">
                  <c:v>Panama</c:v>
                </c:pt>
                <c:pt idx="59">
                  <c:v>Ecuador</c:v>
                </c:pt>
                <c:pt idx="60">
                  <c:v>Korea, Republic of</c:v>
                </c:pt>
                <c:pt idx="61">
                  <c:v>Kosovo</c:v>
                </c:pt>
                <c:pt idx="62">
                  <c:v>Nepal</c:v>
                </c:pt>
                <c:pt idx="63">
                  <c:v>South Africa</c:v>
                </c:pt>
                <c:pt idx="64">
                  <c:v>Australia</c:v>
                </c:pt>
                <c:pt idx="65">
                  <c:v>Hong Kong</c:v>
                </c:pt>
                <c:pt idx="66">
                  <c:v>Trinidad and Tobago</c:v>
                </c:pt>
                <c:pt idx="67">
                  <c:v>Iceland</c:v>
                </c:pt>
                <c:pt idx="68">
                  <c:v>Thailand</c:v>
                </c:pt>
                <c:pt idx="69">
                  <c:v>Georgia</c:v>
                </c:pt>
                <c:pt idx="70">
                  <c:v>Maldives</c:v>
                </c:pt>
                <c:pt idx="71">
                  <c:v>Suriname</c:v>
                </c:pt>
                <c:pt idx="72">
                  <c:v>Guyana</c:v>
                </c:pt>
                <c:pt idx="73">
                  <c:v>Brunei Darussalam</c:v>
                </c:pt>
                <c:pt idx="74">
                  <c:v>Samoa</c:v>
                </c:pt>
                <c:pt idx="75">
                  <c:v>New Zealand</c:v>
                </c:pt>
                <c:pt idx="76">
                  <c:v>Swaziland</c:v>
                </c:pt>
                <c:pt idx="77">
                  <c:v>Denmark</c:v>
                </c:pt>
                <c:pt idx="78">
                  <c:v>Canada basic</c:v>
                </c:pt>
                <c:pt idx="79">
                  <c:v>Namibia</c:v>
                </c:pt>
                <c:pt idx="80">
                  <c:v>Bolivia</c:v>
                </c:pt>
                <c:pt idx="81">
                  <c:v>Botswana</c:v>
                </c:pt>
                <c:pt idx="82">
                  <c:v>Lesotho</c:v>
                </c:pt>
                <c:pt idx="83">
                  <c:v>Mauritius</c:v>
                </c:pt>
                <c:pt idx="84">
                  <c:v>Netherlands</c:v>
                </c:pt>
                <c:pt idx="85">
                  <c:v>Seychelles</c:v>
                </c:pt>
                <c:pt idx="86">
                  <c:v>Timor-Leste</c:v>
                </c:pt>
              </c:strCache>
            </c:strRef>
          </c:cat>
          <c:val>
            <c:numRef>
              <c:f>'Data Coverage (1)'!$G$5:$G$103</c:f>
              <c:numCache>
                <c:formatCode>0.0</c:formatCode>
                <c:ptCount val="87"/>
                <c:pt idx="0">
                  <c:v>0.11500217124099303</c:v>
                </c:pt>
                <c:pt idx="1">
                  <c:v>0.12</c:v>
                </c:pt>
                <c:pt idx="2">
                  <c:v>0.25478071426208798</c:v>
                </c:pt>
                <c:pt idx="3">
                  <c:v>0.36114779269177716</c:v>
                </c:pt>
                <c:pt idx="4">
                  <c:v>0.47516832923001134</c:v>
                </c:pt>
                <c:pt idx="5">
                  <c:v>0.52306198413982841</c:v>
                </c:pt>
                <c:pt idx="6">
                  <c:v>0.52979490246149374</c:v>
                </c:pt>
                <c:pt idx="7">
                  <c:v>0.76569808694586838</c:v>
                </c:pt>
                <c:pt idx="8">
                  <c:v>1.2744169149881444</c:v>
                </c:pt>
                <c:pt idx="9">
                  <c:v>1.4876238769939658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2.2285239672065762</c:v>
                </c:pt>
                <c:pt idx="14">
                  <c:v>2.3239029125005444</c:v>
                </c:pt>
                <c:pt idx="15">
                  <c:v>2.4778331802392093</c:v>
                </c:pt>
                <c:pt idx="16">
                  <c:v>2.6060463295585632</c:v>
                </c:pt>
                <c:pt idx="17">
                  <c:v>2.6356131570151606</c:v>
                </c:pt>
                <c:pt idx="18">
                  <c:v>2.8660504882377555</c:v>
                </c:pt>
                <c:pt idx="19">
                  <c:v>3.1451815818166571</c:v>
                </c:pt>
                <c:pt idx="20">
                  <c:v>3.1504887195626221</c:v>
                </c:pt>
                <c:pt idx="21">
                  <c:v>3.2538145810983807</c:v>
                </c:pt>
                <c:pt idx="22">
                  <c:v>4.4051579216724059</c:v>
                </c:pt>
                <c:pt idx="23">
                  <c:v>4.8664698732418818</c:v>
                </c:pt>
                <c:pt idx="24">
                  <c:v>4.9435903770628888</c:v>
                </c:pt>
                <c:pt idx="25">
                  <c:v>5</c:v>
                </c:pt>
                <c:pt idx="26">
                  <c:v>5.1105047019154295</c:v>
                </c:pt>
                <c:pt idx="27">
                  <c:v>6.1480719128294448</c:v>
                </c:pt>
                <c:pt idx="28">
                  <c:v>7.1672058277400374</c:v>
                </c:pt>
                <c:pt idx="29">
                  <c:v>7.3196796908167299</c:v>
                </c:pt>
                <c:pt idx="30">
                  <c:v>8.3156517515077084</c:v>
                </c:pt>
                <c:pt idx="31">
                  <c:v>9.112354551407547</c:v>
                </c:pt>
                <c:pt idx="32">
                  <c:v>9.5781966008406805</c:v>
                </c:pt>
                <c:pt idx="33">
                  <c:v>9.7089450324342774</c:v>
                </c:pt>
                <c:pt idx="34">
                  <c:v>11</c:v>
                </c:pt>
                <c:pt idx="35">
                  <c:v>12</c:v>
                </c:pt>
                <c:pt idx="36">
                  <c:v>12.364729278340851</c:v>
                </c:pt>
                <c:pt idx="37">
                  <c:v>12.633127977452425</c:v>
                </c:pt>
                <c:pt idx="38">
                  <c:v>14.460017791729458</c:v>
                </c:pt>
                <c:pt idx="39">
                  <c:v>14.947869523254726</c:v>
                </c:pt>
                <c:pt idx="40">
                  <c:v>16.93084850479832</c:v>
                </c:pt>
                <c:pt idx="41">
                  <c:v>19.347563869633696</c:v>
                </c:pt>
                <c:pt idx="42">
                  <c:v>19.477563084802355</c:v>
                </c:pt>
                <c:pt idx="43">
                  <c:v>19.5</c:v>
                </c:pt>
                <c:pt idx="44">
                  <c:v>20.234783442850976</c:v>
                </c:pt>
                <c:pt idx="45">
                  <c:v>21.558703888045386</c:v>
                </c:pt>
                <c:pt idx="46">
                  <c:v>23.945626680505882</c:v>
                </c:pt>
                <c:pt idx="47">
                  <c:v>28</c:v>
                </c:pt>
                <c:pt idx="48">
                  <c:v>28.297416156642424</c:v>
                </c:pt>
                <c:pt idx="49">
                  <c:v>33.766107306306594</c:v>
                </c:pt>
                <c:pt idx="50">
                  <c:v>34</c:v>
                </c:pt>
                <c:pt idx="51">
                  <c:v>36.316015362774984</c:v>
                </c:pt>
                <c:pt idx="52">
                  <c:v>37.468684651856144</c:v>
                </c:pt>
                <c:pt idx="53">
                  <c:v>37.554000000000002</c:v>
                </c:pt>
                <c:pt idx="54">
                  <c:v>38.444170729927869</c:v>
                </c:pt>
                <c:pt idx="55">
                  <c:v>39.1</c:v>
                </c:pt>
                <c:pt idx="56">
                  <c:v>47.878538424615044</c:v>
                </c:pt>
                <c:pt idx="57">
                  <c:v>51.197644022933233</c:v>
                </c:pt>
                <c:pt idx="58">
                  <c:v>55.580647906316074</c:v>
                </c:pt>
                <c:pt idx="59">
                  <c:v>56.684322429035028</c:v>
                </c:pt>
                <c:pt idx="60">
                  <c:v>60</c:v>
                </c:pt>
                <c:pt idx="61">
                  <c:v>60</c:v>
                </c:pt>
                <c:pt idx="62">
                  <c:v>69.099199210671884</c:v>
                </c:pt>
                <c:pt idx="63">
                  <c:v>70.634410911389537</c:v>
                </c:pt>
                <c:pt idx="64">
                  <c:v>70.724438445894648</c:v>
                </c:pt>
                <c:pt idx="65">
                  <c:v>71.864998937716464</c:v>
                </c:pt>
                <c:pt idx="66">
                  <c:v>77.94435583909268</c:v>
                </c:pt>
                <c:pt idx="67">
                  <c:v>79.296961282383023</c:v>
                </c:pt>
                <c:pt idx="68">
                  <c:v>81.732667719776884</c:v>
                </c:pt>
                <c:pt idx="69">
                  <c:v>88.265157600228576</c:v>
                </c:pt>
                <c:pt idx="70">
                  <c:v>89.643822734218887</c:v>
                </c:pt>
                <c:pt idx="71">
                  <c:v>91.710226923313456</c:v>
                </c:pt>
                <c:pt idx="72">
                  <c:v>91.875523773367803</c:v>
                </c:pt>
                <c:pt idx="73">
                  <c:v>92.373918548216906</c:v>
                </c:pt>
                <c:pt idx="74">
                  <c:v>93.107876712328761</c:v>
                </c:pt>
                <c:pt idx="75">
                  <c:v>93.650535675923081</c:v>
                </c:pt>
                <c:pt idx="76">
                  <c:v>93.660729617083717</c:v>
                </c:pt>
                <c:pt idx="77">
                  <c:v>93.9856125207655</c:v>
                </c:pt>
                <c:pt idx="78">
                  <c:v>96.095065306777698</c:v>
                </c:pt>
                <c:pt idx="79">
                  <c:v>98.376560425957138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</c:numCache>
            </c:numRef>
          </c:val>
        </c:ser>
        <c:gapWidth val="51"/>
        <c:axId val="49644672"/>
        <c:axId val="49646208"/>
      </c:barChart>
      <c:catAx>
        <c:axId val="49644672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fr-FR"/>
          </a:p>
        </c:txPr>
        <c:crossAx val="49646208"/>
        <c:crosses val="autoZero"/>
        <c:auto val="1"/>
        <c:lblAlgn val="ctr"/>
        <c:lblOffset val="100"/>
        <c:tickLblSkip val="1"/>
      </c:catAx>
      <c:valAx>
        <c:axId val="49646208"/>
        <c:scaling>
          <c:orientation val="minMax"/>
          <c:max val="100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000" b="0" i="0" u="none" strike="noStrike" baseline="0"/>
                  <a:t>Percentage of the population above eligible age* </a:t>
                </a:r>
              </a:p>
              <a:p>
                <a:pPr>
                  <a:defRPr/>
                </a:pPr>
                <a:r>
                  <a:rPr lang="en-GB" sz="1000" b="0" i="0" u="none" strike="noStrike" baseline="0"/>
                  <a:t>benefiting from the non contributory pension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356765510263626E-2"/>
              <c:y val="0.22015212671622855"/>
            </c:manualLayout>
          </c:layout>
        </c:title>
        <c:numFmt formatCode="#,##0" sourceLinked="0"/>
        <c:tickLblPos val="nextTo"/>
        <c:spPr>
          <a:ln>
            <a:noFill/>
          </a:ln>
        </c:spPr>
        <c:crossAx val="49644672"/>
        <c:crosses val="autoZero"/>
        <c:crossBetween val="between"/>
      </c:valAx>
    </c:plotArea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400"/>
              <a:t>Non contributory pension</a:t>
            </a:r>
            <a:r>
              <a:rPr lang="en-US" sz="1400" baseline="0"/>
              <a:t> </a:t>
            </a:r>
            <a:r>
              <a:rPr lang="en-US" sz="1400" b="0" baseline="0"/>
              <a:t>| percentage of the population above eligible age and level of benefit ($PPP)</a:t>
            </a:r>
            <a:endParaRPr lang="en-US" sz="1400" b="0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</c:marker>
          <c:dLbls>
            <c:dLbl>
              <c:idx val="0"/>
              <c:layout>
                <c:manualLayout>
                  <c:x val="-3.4103411640853155E-2"/>
                  <c:y val="0"/>
                </c:manualLayout>
              </c:layout>
              <c:tx>
                <c:strRef>
                  <c:f>'Data Graph PPP'!$G$4</c:f>
                  <c:strCache>
                    <c:ptCount val="1"/>
                    <c:pt idx="0">
                      <c:v>Indonesia 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'Data Graph PPP'!$G$5</c:f>
                  <c:strCache>
                    <c:ptCount val="1"/>
                    <c:pt idx="0">
                      <c:v>Uzbekestan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>
                <c:manualLayout>
                  <c:x val="-4.6380639831560336E-2"/>
                  <c:y val="-1.04377098842647E-2"/>
                </c:manualLayout>
              </c:layout>
              <c:tx>
                <c:strRef>
                  <c:f>'Data Graph PPP'!$G$6</c:f>
                  <c:strCache>
                    <c:ptCount val="1"/>
                    <c:pt idx="0">
                      <c:v>Nigeria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>
                <c:manualLayout>
                  <c:x val="-1.6369637587609509E-2"/>
                  <c:y val="1.8787877791676469E-2"/>
                </c:manualLayout>
              </c:layout>
              <c:tx>
                <c:strRef>
                  <c:f>'Data Graph PPP'!$G$7</c:f>
                  <c:strCache>
                    <c:ptCount val="1"/>
                    <c:pt idx="0">
                      <c:v>Moldova, Republic of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'Data Graph PPP'!$G$8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>
                <c:manualLayout>
                  <c:x val="-4.0924093969023807E-2"/>
                  <c:y val="0"/>
                </c:manualLayout>
              </c:layout>
              <c:tx>
                <c:strRef>
                  <c:f>'Data Graph PPP'!$G$9</c:f>
                  <c:strCache>
                    <c:ptCount val="1"/>
                    <c:pt idx="0">
                      <c:v>Zambia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>
                <c:manualLayout>
                  <c:x val="2.591859284704839E-2"/>
                  <c:y val="-4.1750839537058803E-3"/>
                </c:manualLayout>
              </c:layout>
              <c:tx>
                <c:strRef>
                  <c:f>'Data Graph PPP'!$G$10</c:f>
                  <c:strCache>
                    <c:ptCount val="1"/>
                    <c:pt idx="0">
                      <c:v>Mongolia</c:v>
                    </c:pt>
                  </c:strCache>
                </c:strRef>
              </c:tx>
              <c:dLblPos val="t"/>
              <c:showVal val="1"/>
            </c:dLbl>
            <c:dLbl>
              <c:idx val="7"/>
              <c:delete val="1"/>
            </c:dLbl>
            <c:dLbl>
              <c:idx val="8"/>
              <c:layout/>
              <c:tx>
                <c:strRef>
                  <c:f>'Data Graph PPP'!$G$12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'Data Graph PPP'!$G$13</c:f>
                  <c:strCache>
                    <c:ptCount val="1"/>
                    <c:pt idx="0">
                      <c:v>Peru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>
                <c:manualLayout>
                  <c:x val="3.0011002243950789E-2"/>
                  <c:y val="-2.0875419768529419E-3"/>
                </c:manualLayout>
              </c:layout>
              <c:tx>
                <c:strRef>
                  <c:f>'Data Graph PPP'!$G$14</c:f>
                  <c:strCache>
                    <c:ptCount val="1"/>
                    <c:pt idx="0">
                      <c:v>Guatemala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>
                <c:manualLayout>
                  <c:x val="-5.8657868022267405E-2"/>
                  <c:y val="0"/>
                </c:manualLayout>
              </c:layout>
              <c:tx>
                <c:strRef>
                  <c:f>'Data Graph PPP'!$G$15</c:f>
                  <c:strCache>
                    <c:ptCount val="1"/>
                    <c:pt idx="0">
                      <c:v>Belarus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'Data Graph PPP'!$G$16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/>
              <c:tx>
                <c:strRef>
                  <c:f>'Data Graph PPP'!$G$17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/>
              <c:tx>
                <c:strRef>
                  <c:f>'Data Graph PPP'!$G$18</c:f>
                  <c:strCache>
                    <c:ptCount val="1"/>
                    <c:pt idx="0">
                      <c:v>Ukraine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'Data Graph PPP'!$G$19</c:f>
                  <c:strCache>
                    <c:ptCount val="1"/>
                    <c:pt idx="0">
                      <c:v>Kenya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>
                <c:manualLayout>
                  <c:x val="5.456545862536518E-3"/>
                  <c:y val="1.04377098842647E-2"/>
                </c:manualLayout>
              </c:layout>
              <c:tx>
                <c:strRef>
                  <c:f>'Data Graph PPP'!$G$20</c:f>
                  <c:strCache>
                    <c:ptCount val="1"/>
                    <c:pt idx="0">
                      <c:v>Uganda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/>
              <c:tx>
                <c:strRef>
                  <c:f>'Data Graph PPP'!$G$21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/>
              <c:tx>
                <c:strRef>
                  <c:f>'Data Graph PPP'!$G$22</c:f>
                  <c:strCache>
                    <c:ptCount val="1"/>
                    <c:pt idx="0">
                      <c:v>El Salvador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/>
              <c:tx>
                <c:strRef>
                  <c:f>'Data Graph PPP'!$G$23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/>
              <c:tx>
                <c:strRef>
                  <c:f>'Data Graph PPP'!$G$24</c:f>
                  <c:strCache>
                    <c:ptCount val="1"/>
                    <c:pt idx="0">
                      <c:v>United States of America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'Data Graph PPP'!$G$25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22"/>
              <c:tx>
                <c:strRef>
                  <c:f>'Data Graph PPP'!$G$26</c:f>
                  <c:strCache>
                    <c:ptCount val="1"/>
                    <c:pt idx="0">
                      <c:v>Beligium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'Data Graph PPP'!$G$27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/>
              <c:tx>
                <c:strRef>
                  <c:f>'Data Graph PPP'!$G$28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'Data Graph PPP'!$G$29</c:f>
                  <c:strCache>
                    <c:ptCount val="1"/>
                    <c:pt idx="0">
                      <c:v>Paraguay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/>
              <c:tx>
                <c:strRef>
                  <c:f>'Data Graph PPP'!$G$30</c:f>
                  <c:strCache>
                    <c:ptCount val="1"/>
                    <c:pt idx="0">
                      <c:v>Philippines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'Data Graph PPP'!$G$31</c:f>
                  <c:strCache>
                    <c:ptCount val="1"/>
                    <c:pt idx="0">
                      <c:v>Colombia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/>
              <c:tx>
                <c:strRef>
                  <c:f>'Data Graph PPP'!$G$32</c:f>
                  <c:strCache>
                    <c:ptCount val="1"/>
                    <c:pt idx="0">
                      <c:v>Mexico</c:v>
                    </c:pt>
                  </c:strCache>
                </c:strRef>
              </c:tx>
              <c:dLblPos val="t"/>
              <c:showVal val="1"/>
            </c:dLbl>
            <c:dLbl>
              <c:idx val="29"/>
              <c:layout/>
              <c:tx>
                <c:strRef>
                  <c:f>'Data Graph PPP'!$G$33</c:f>
                  <c:strCache>
                    <c:ptCount val="1"/>
                    <c:pt idx="0">
                      <c:v>Bahamas</c:v>
                    </c:pt>
                  </c:strCache>
                </c:strRef>
              </c:tx>
              <c:dLblPos val="t"/>
              <c:showVal val="1"/>
            </c:dLbl>
            <c:dLbl>
              <c:idx val="30"/>
              <c:layout/>
              <c:tx>
                <c:strRef>
                  <c:f>'Data Graph PPP'!$G$34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31"/>
              <c:tx>
                <c:strRef>
                  <c:f>'Data Graph PPP'!$G$35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dLblPos val="t"/>
              <c:showVal val="1"/>
            </c:dLbl>
            <c:dLbl>
              <c:idx val="32"/>
              <c:layout/>
              <c:tx>
                <c:strRef>
                  <c:f>'Data Graph PPP'!$G$36</c:f>
                  <c:strCache>
                    <c:ptCount val="1"/>
                    <c:pt idx="0">
                      <c:v>Brazil [BPC]</c:v>
                    </c:pt>
                  </c:strCache>
                </c:strRef>
              </c:tx>
              <c:dLblPos val="t"/>
              <c:showVal val="1"/>
            </c:dLbl>
            <c:dLbl>
              <c:idx val="33"/>
              <c:layout/>
              <c:tx>
                <c:strRef>
                  <c:f>'Data Graph PPP'!$G$37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34"/>
              <c:layout/>
              <c:tx>
                <c:strRef>
                  <c:f>'Data Graph PPP'!$G$38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35"/>
              <c:layout/>
              <c:tx>
                <c:strRef>
                  <c:f>'Data Graph PPP'!$G$39</c:f>
                  <c:strCache>
                    <c:ptCount val="1"/>
                    <c:pt idx="0">
                      <c:v>India</c:v>
                    </c:pt>
                  </c:strCache>
                </c:strRef>
              </c:tx>
              <c:dLblPos val="t"/>
              <c:showVal val="1"/>
            </c:dLbl>
            <c:dLbl>
              <c:idx val="36"/>
              <c:layout/>
              <c:tx>
                <c:strRef>
                  <c:f>'Data Graph PPP'!$G$40</c:f>
                  <c:strCache>
                    <c:ptCount val="1"/>
                    <c:pt idx="0">
                      <c:v>Costa Rica</c:v>
                    </c:pt>
                  </c:strCache>
                </c:strRef>
              </c:tx>
              <c:dLblPos val="t"/>
              <c:showVal val="1"/>
            </c:dLbl>
            <c:dLbl>
              <c:idx val="37"/>
              <c:layout/>
              <c:tx>
                <c:strRef>
                  <c:f>'Data Graph PPP'!$G$41</c:f>
                  <c:strCache>
                    <c:ptCount val="1"/>
                    <c:pt idx="0">
                      <c:v>Uruguay</c:v>
                    </c:pt>
                  </c:strCache>
                </c:strRef>
              </c:tx>
              <c:dLblPos val="t"/>
              <c:showVal val="1"/>
            </c:dLbl>
            <c:dLbl>
              <c:idx val="38"/>
              <c:layout/>
              <c:tx>
                <c:strRef>
                  <c:f>'Data Graph PPP'!$G$42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39"/>
              <c:layout/>
              <c:tx>
                <c:strRef>
                  <c:f>'Data Graph PPP'!$G$43</c:f>
                  <c:strCache>
                    <c:ptCount val="1"/>
                    <c:pt idx="0">
                      <c:v>Jamaica</c:v>
                    </c:pt>
                  </c:strCache>
                </c:strRef>
              </c:tx>
              <c:dLblPos val="t"/>
              <c:showVal val="1"/>
            </c:dLbl>
            <c:dLbl>
              <c:idx val="40"/>
              <c:layout/>
              <c:tx>
                <c:strRef>
                  <c:f>'Data Graph PPP'!$G$44</c:f>
                  <c:strCache>
                    <c:ptCount val="1"/>
                    <c:pt idx="0">
                      <c:v>Venezuela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/>
              <c:tx>
                <c:strRef>
                  <c:f>'Data Graph PPP'!$G$45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42"/>
              <c:layout/>
              <c:tx>
                <c:strRef>
                  <c:f>'Data Graph PPP'!$G$46</c:f>
                  <c:strCache>
                    <c:ptCount val="1"/>
                    <c:pt idx="0">
                      <c:v>Brazil [Rural pensionn]</c:v>
                    </c:pt>
                  </c:strCache>
                </c:strRef>
              </c:tx>
              <c:dLblPos val="t"/>
              <c:showVal val="1"/>
            </c:dLbl>
            <c:dLbl>
              <c:idx val="43"/>
              <c:tx>
                <c:strRef>
                  <c:f>'Data Graph PPP'!$G$47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44"/>
              <c:layout/>
              <c:tx>
                <c:strRef>
                  <c:f>'Data Graph PPP'!$G$48</c:f>
                  <c:strCache>
                    <c:ptCount val="1"/>
                    <c:pt idx="0">
                      <c:v>Bangladesh</c:v>
                    </c:pt>
                  </c:strCache>
                </c:strRef>
              </c:tx>
              <c:dLblPos val="t"/>
              <c:showVal val="1"/>
            </c:dLbl>
            <c:dLbl>
              <c:idx val="45"/>
              <c:layout/>
              <c:tx>
                <c:strRef>
                  <c:f>'Data Graph PPP'!$G$49</c:f>
                  <c:strCache>
                    <c:ptCount val="1"/>
                    <c:pt idx="0">
                      <c:v>Barbados</c:v>
                    </c:pt>
                  </c:strCache>
                </c:strRef>
              </c:tx>
              <c:dLblPos val="t"/>
              <c:showVal val="1"/>
            </c:dLbl>
            <c:dLbl>
              <c:idx val="46"/>
              <c:layout/>
              <c:tx>
                <c:strRef>
                  <c:f>'Data Graph PPP'!$G$50</c:f>
                  <c:strCache>
                    <c:ptCount val="1"/>
                    <c:pt idx="0">
                      <c:v>Canada Targeted</c:v>
                    </c:pt>
                  </c:strCache>
                </c:strRef>
              </c:tx>
              <c:dLblPos val="t"/>
              <c:showVal val="1"/>
            </c:dLbl>
            <c:dLbl>
              <c:idx val="47"/>
              <c:layout/>
              <c:tx>
                <c:strRef>
                  <c:f>'Data Graph PPP'!$G$51</c:f>
                  <c:strCache>
                    <c:ptCount val="1"/>
                    <c:pt idx="0">
                      <c:v>Azerbaijan</c:v>
                    </c:pt>
                  </c:strCache>
                </c:strRef>
              </c:tx>
              <c:dLblPos val="t"/>
              <c:showVal val="1"/>
            </c:dLbl>
            <c:dLbl>
              <c:idx val="48"/>
              <c:layout>
                <c:manualLayout>
                  <c:x val="-1.227722819070714E-2"/>
                  <c:y val="6.2626259305588218E-3"/>
                </c:manualLayout>
              </c:layout>
              <c:tx>
                <c:strRef>
                  <c:f>'Data Graph PPP'!$G$52</c:f>
                  <c:strCache>
                    <c:ptCount val="1"/>
                    <c:pt idx="0">
                      <c:v>Cape Verde</c:v>
                    </c:pt>
                  </c:strCache>
                </c:strRef>
              </c:tx>
              <c:dLblPos val="t"/>
              <c:showVal val="1"/>
            </c:dLbl>
            <c:dLbl>
              <c:idx val="49"/>
              <c:layout>
                <c:manualLayout>
                  <c:x val="7.5027505609876949E-2"/>
                  <c:y val="2.505050372223528E-2"/>
                </c:manualLayout>
              </c:layout>
              <c:tx>
                <c:strRef>
                  <c:f>'Data Graph PPP'!$G$53</c:f>
                  <c:strCache>
                    <c:ptCount val="1"/>
                    <c:pt idx="0">
                      <c:v>Viet Nam  [80 years old and over]</c:v>
                    </c:pt>
                  </c:strCache>
                </c:strRef>
              </c:tx>
              <c:dLblPos val="t"/>
              <c:showVal val="1"/>
            </c:dLbl>
            <c:dLbl>
              <c:idx val="50"/>
              <c:layout>
                <c:manualLayout>
                  <c:x val="2.7282729312682531E-2"/>
                  <c:y val="1.4612793837970579E-2"/>
                </c:manualLayout>
              </c:layout>
              <c:tx>
                <c:strRef>
                  <c:f>'Data Graph PPP'!$G$54</c:f>
                  <c:strCache>
                    <c:ptCount val="1"/>
                    <c:pt idx="0">
                      <c:v>Mexico</c:v>
                    </c:pt>
                  </c:strCache>
                </c:strRef>
              </c:tx>
              <c:dLblPos val="t"/>
              <c:showVal val="1"/>
            </c:dLbl>
            <c:dLbl>
              <c:idx val="51"/>
              <c:layout/>
              <c:tx>
                <c:strRef>
                  <c:f>'Data Graph PPP'!$G$55</c:f>
                  <c:strCache>
                    <c:ptCount val="1"/>
                    <c:pt idx="0">
                      <c:v>Belize</c:v>
                    </c:pt>
                  </c:strCache>
                </c:strRef>
              </c:tx>
              <c:dLblPos val="t"/>
              <c:showVal val="1"/>
            </c:dLbl>
            <c:dLbl>
              <c:idx val="52"/>
              <c:layout/>
              <c:tx>
                <c:strRef>
                  <c:f>'Data Graph PPP'!$G$56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t"/>
              <c:showVal val="1"/>
            </c:dLbl>
            <c:dLbl>
              <c:idx val="53"/>
              <c:layout/>
              <c:tx>
                <c:strRef>
                  <c:f>'Data Graph PPP'!$G$57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dLblPos val="t"/>
              <c:showVal val="1"/>
            </c:dLbl>
            <c:dLbl>
              <c:idx val="54"/>
              <c:layout/>
              <c:tx>
                <c:strRef>
                  <c:f>'Data Graph PPP'!$G$58</c:f>
                  <c:strCache>
                    <c:ptCount val="1"/>
                    <c:pt idx="0">
                      <c:v>Panama</c:v>
                    </c:pt>
                  </c:strCache>
                </c:strRef>
              </c:tx>
              <c:dLblPos val="t"/>
              <c:showVal val="1"/>
            </c:dLbl>
            <c:dLbl>
              <c:idx val="55"/>
              <c:layout/>
              <c:tx>
                <c:strRef>
                  <c:f>'Data Graph PPP'!$G$59</c:f>
                  <c:strCache>
                    <c:ptCount val="1"/>
                    <c:pt idx="0">
                      <c:v>Ecuador</c:v>
                    </c:pt>
                  </c:strCache>
                </c:strRef>
              </c:tx>
              <c:dLblPos val="t"/>
              <c:showVal val="1"/>
            </c:dLbl>
            <c:dLbl>
              <c:idx val="56"/>
              <c:layout/>
              <c:tx>
                <c:strRef>
                  <c:f>'Data Graph PPP'!$G$60</c:f>
                  <c:strCache>
                    <c:ptCount val="1"/>
                    <c:pt idx="0">
                      <c:v>Korea, Republic of</c:v>
                    </c:pt>
                  </c:strCache>
                </c:strRef>
              </c:tx>
              <c:dLblPos val="t"/>
              <c:showVal val="1"/>
            </c:dLbl>
            <c:dLbl>
              <c:idx val="57"/>
              <c:layout/>
              <c:tx>
                <c:strRef>
                  <c:f>'Data Graph PPP'!$G$61</c:f>
                  <c:strCache>
                    <c:ptCount val="1"/>
                    <c:pt idx="0">
                      <c:v>Kosovo</c:v>
                    </c:pt>
                  </c:strCache>
                </c:strRef>
              </c:tx>
              <c:dLblPos val="t"/>
              <c:showVal val="1"/>
            </c:dLbl>
            <c:dLbl>
              <c:idx val="58"/>
              <c:layout/>
              <c:tx>
                <c:strRef>
                  <c:f>'Data Graph PPP'!$G$62</c:f>
                  <c:strCache>
                    <c:ptCount val="1"/>
                    <c:pt idx="0">
                      <c:v>Nepal</c:v>
                    </c:pt>
                  </c:strCache>
                </c:strRef>
              </c:tx>
              <c:dLblPos val="t"/>
              <c:showVal val="1"/>
            </c:dLbl>
            <c:dLbl>
              <c:idx val="59"/>
              <c:layout/>
              <c:tx>
                <c:strRef>
                  <c:f>'Data Graph PPP'!$G$63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dLblPos val="t"/>
              <c:showVal val="1"/>
            </c:dLbl>
            <c:dLbl>
              <c:idx val="60"/>
              <c:layout/>
              <c:tx>
                <c:strRef>
                  <c:f>'Data Graph PPP'!$G$64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dLblPos val="t"/>
              <c:showVal val="1"/>
            </c:dLbl>
            <c:dLbl>
              <c:idx val="61"/>
              <c:layout/>
              <c:tx>
                <c:strRef>
                  <c:f>'Data Graph PPP'!$G$65</c:f>
                  <c:strCache>
                    <c:ptCount val="1"/>
                    <c:pt idx="0">
                      <c:v>Hong Kong</c:v>
                    </c:pt>
                  </c:strCache>
                </c:strRef>
              </c:tx>
              <c:dLblPos val="t"/>
              <c:showVal val="1"/>
            </c:dLbl>
            <c:dLbl>
              <c:idx val="62"/>
              <c:layout/>
              <c:tx>
                <c:strRef>
                  <c:f>'Data Graph PPP'!$G$66</c:f>
                  <c:strCache>
                    <c:ptCount val="1"/>
                    <c:pt idx="0">
                      <c:v>Trinidad and Tobago</c:v>
                    </c:pt>
                  </c:strCache>
                </c:strRef>
              </c:tx>
              <c:dLblPos val="t"/>
              <c:showVal val="1"/>
            </c:dLbl>
            <c:dLbl>
              <c:idx val="63"/>
              <c:layout/>
              <c:tx>
                <c:strRef>
                  <c:f>'Data Graph PPP'!$G$67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dLblPos val="t"/>
              <c:showVal val="1"/>
            </c:dLbl>
            <c:dLbl>
              <c:idx val="64"/>
              <c:layout/>
              <c:tx>
                <c:strRef>
                  <c:f>'Data Graph PPP'!$G$68</c:f>
                  <c:strCache>
                    <c:ptCount val="1"/>
                    <c:pt idx="0">
                      <c:v>Thailand</c:v>
                    </c:pt>
                  </c:strCache>
                </c:strRef>
              </c:tx>
              <c:dLblPos val="t"/>
              <c:showVal val="1"/>
            </c:dLbl>
            <c:dLbl>
              <c:idx val="65"/>
              <c:layout/>
              <c:tx>
                <c:strRef>
                  <c:f>'Data Graph PPP'!$G$69</c:f>
                  <c:strCache>
                    <c:ptCount val="1"/>
                    <c:pt idx="0">
                      <c:v>Georgia</c:v>
                    </c:pt>
                  </c:strCache>
                </c:strRef>
              </c:tx>
              <c:dLblPos val="t"/>
              <c:showVal val="1"/>
            </c:dLbl>
            <c:dLbl>
              <c:idx val="66"/>
              <c:layout/>
              <c:tx>
                <c:strRef>
                  <c:f>'Data Graph PPP'!$G$70</c:f>
                  <c:strCache>
                    <c:ptCount val="1"/>
                    <c:pt idx="0">
                      <c:v>Maldives</c:v>
                    </c:pt>
                  </c:strCache>
                </c:strRef>
              </c:tx>
              <c:dLblPos val="t"/>
              <c:showVal val="1"/>
            </c:dLbl>
            <c:dLbl>
              <c:idx val="67"/>
              <c:layout>
                <c:manualLayout>
                  <c:x val="2.7282729312682531E-2"/>
                  <c:y val="2.7138045699088228E-2"/>
                </c:manualLayout>
              </c:layout>
              <c:tx>
                <c:strRef>
                  <c:f>'Data Graph PPP'!$G$71</c:f>
                  <c:strCache>
                    <c:ptCount val="1"/>
                    <c:pt idx="0">
                      <c:v>Suriname</c:v>
                    </c:pt>
                  </c:strCache>
                </c:strRef>
              </c:tx>
              <c:dLblPos val="t"/>
              <c:showVal val="1"/>
            </c:dLbl>
            <c:dLbl>
              <c:idx val="68"/>
              <c:layout/>
              <c:tx>
                <c:strRef>
                  <c:f>'Data Graph PPP'!$G$72</c:f>
                  <c:strCache>
                    <c:ptCount val="1"/>
                    <c:pt idx="0">
                      <c:v>Guyana</c:v>
                    </c:pt>
                  </c:strCache>
                </c:strRef>
              </c:tx>
              <c:dLblPos val="t"/>
              <c:showVal val="1"/>
            </c:dLbl>
            <c:dLbl>
              <c:idx val="69"/>
              <c:layout/>
              <c:tx>
                <c:strRef>
                  <c:f>'Data Graph PPP'!$G$73</c:f>
                  <c:strCache>
                    <c:ptCount val="1"/>
                    <c:pt idx="0">
                      <c:v>Brunei Darussalam</c:v>
                    </c:pt>
                  </c:strCache>
                </c:strRef>
              </c:tx>
              <c:dLblPos val="t"/>
              <c:showVal val="1"/>
            </c:dLbl>
            <c:dLbl>
              <c:idx val="70"/>
              <c:layout/>
              <c:tx>
                <c:strRef>
                  <c:f>'Data Graph PPP'!$G$74</c:f>
                  <c:strCache>
                    <c:ptCount val="1"/>
                    <c:pt idx="0">
                      <c:v>Samoa</c:v>
                    </c:pt>
                  </c:strCache>
                </c:strRef>
              </c:tx>
              <c:dLblPos val="t"/>
              <c:showVal val="1"/>
            </c:dLbl>
            <c:dLbl>
              <c:idx val="71"/>
              <c:layout/>
              <c:tx>
                <c:strRef>
                  <c:f>'Data Graph PPP'!$G$75</c:f>
                  <c:strCache>
                    <c:ptCount val="1"/>
                    <c:pt idx="0">
                      <c:v>New Zealand</c:v>
                    </c:pt>
                  </c:strCache>
                </c:strRef>
              </c:tx>
              <c:dLblPos val="t"/>
              <c:showVal val="1"/>
            </c:dLbl>
            <c:dLbl>
              <c:idx val="72"/>
              <c:layout/>
              <c:tx>
                <c:strRef>
                  <c:f>'Data Graph PPP'!$G$76</c:f>
                  <c:strCache>
                    <c:ptCount val="1"/>
                    <c:pt idx="0">
                      <c:v>Swaziland</c:v>
                    </c:pt>
                  </c:strCache>
                </c:strRef>
              </c:tx>
              <c:dLblPos val="t"/>
              <c:showVal val="1"/>
            </c:dLbl>
            <c:dLbl>
              <c:idx val="73"/>
              <c:layout/>
              <c:tx>
                <c:strRef>
                  <c:f>'Data Graph PPP'!$G$77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74"/>
              <c:layout>
                <c:manualLayout>
                  <c:x val="-3.273927517521906E-2"/>
                  <c:y val="2.505050372223528E-2"/>
                </c:manualLayout>
              </c:layout>
              <c:tx>
                <c:strRef>
                  <c:f>'Data Graph PPP'!$G$78</c:f>
                  <c:strCache>
                    <c:ptCount val="1"/>
                    <c:pt idx="0">
                      <c:v>Canada basic</c:v>
                    </c:pt>
                  </c:strCache>
                </c:strRef>
              </c:tx>
              <c:dLblPos val="t"/>
              <c:showVal val="1"/>
            </c:dLbl>
            <c:dLbl>
              <c:idx val="75"/>
              <c:layout/>
              <c:tx>
                <c:strRef>
                  <c:f>'Data Graph PPP'!$G$79</c:f>
                  <c:strCache>
                    <c:ptCount val="1"/>
                    <c:pt idx="0">
                      <c:v>Namibia</c:v>
                    </c:pt>
                  </c:strCache>
                </c:strRef>
              </c:tx>
              <c:dLblPos val="t"/>
              <c:showVal val="1"/>
            </c:dLbl>
            <c:dLbl>
              <c:idx val="76"/>
              <c:layout/>
              <c:tx>
                <c:strRef>
                  <c:f>'Data Graph PPP'!$G$80</c:f>
                  <c:strCache>
                    <c:ptCount val="1"/>
                    <c:pt idx="0">
                      <c:v>Bolivia</c:v>
                    </c:pt>
                  </c:strCache>
                </c:strRef>
              </c:tx>
              <c:dLblPos val="t"/>
              <c:showVal val="1"/>
            </c:dLbl>
            <c:dLbl>
              <c:idx val="77"/>
              <c:layout>
                <c:manualLayout>
                  <c:x val="-1.091309172507301E-2"/>
                  <c:y val="5.8451175351882316E-2"/>
                </c:manualLayout>
              </c:layout>
              <c:tx>
                <c:strRef>
                  <c:f>'Data Graph PPP'!$G$81</c:f>
                  <c:strCache>
                    <c:ptCount val="1"/>
                    <c:pt idx="0">
                      <c:v>Botswana</c:v>
                    </c:pt>
                  </c:strCache>
                </c:strRef>
              </c:tx>
              <c:dLblPos val="t"/>
              <c:showVal val="1"/>
            </c:dLbl>
            <c:dLbl>
              <c:idx val="78"/>
              <c:layout>
                <c:manualLayout>
                  <c:x val="-1.227722819070714E-2"/>
                  <c:y val="1.6700335814823528E-2"/>
                </c:manualLayout>
              </c:layout>
              <c:tx>
                <c:strRef>
                  <c:f>'Data Graph PPP'!$G$82</c:f>
                  <c:strCache>
                    <c:ptCount val="1"/>
                    <c:pt idx="0">
                      <c:v>Lesotho</c:v>
                    </c:pt>
                  </c:strCache>
                </c:strRef>
              </c:tx>
              <c:dLblPos val="t"/>
              <c:showVal val="1"/>
            </c:dLbl>
            <c:dLbl>
              <c:idx val="79"/>
              <c:layout/>
              <c:tx>
                <c:strRef>
                  <c:f>'Data Graph PPP'!$G$83</c:f>
                  <c:strCache>
                    <c:ptCount val="1"/>
                    <c:pt idx="0">
                      <c:v>Mauritius</c:v>
                    </c:pt>
                  </c:strCache>
                </c:strRef>
              </c:tx>
              <c:dLblPos val="t"/>
              <c:showVal val="1"/>
            </c:dLbl>
            <c:dLbl>
              <c:idx val="80"/>
              <c:tx>
                <c:strRef>
                  <c:f>'Data Graph PPP'!$G$84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81"/>
              <c:layout/>
              <c:tx>
                <c:strRef>
                  <c:f>'Data Graph PPP'!$G$85</c:f>
                  <c:strCache>
                    <c:ptCount val="1"/>
                    <c:pt idx="0">
                      <c:v>Seychelles</c:v>
                    </c:pt>
                  </c:strCache>
                </c:strRef>
              </c:tx>
              <c:dLblPos val="t"/>
              <c:showVal val="1"/>
            </c:dLbl>
            <c:dLbl>
              <c:idx val="82"/>
              <c:layout>
                <c:manualLayout>
                  <c:x val="-8.184818793804758E-3"/>
                  <c:y val="3.5488213606500001E-2"/>
                </c:manualLayout>
              </c:layout>
              <c:tx>
                <c:strRef>
                  <c:f>'Data Graph PPP'!$G$86</c:f>
                  <c:strCache>
                    <c:ptCount val="1"/>
                    <c:pt idx="0">
                      <c:v>Timor-Leste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fr-FR"/>
              </a:p>
            </c:txPr>
            <c:showVal val="1"/>
          </c:dLbls>
          <c:xVal>
            <c:numRef>
              <c:f>'Data Graph PPP'!$H$4:$H$86</c:f>
              <c:numCache>
                <c:formatCode>#,##0.0</c:formatCode>
                <c:ptCount val="83"/>
                <c:pt idx="0">
                  <c:v>0.11500217124099303</c:v>
                </c:pt>
                <c:pt idx="1">
                  <c:v>0.25478071426208798</c:v>
                </c:pt>
                <c:pt idx="2">
                  <c:v>0.36114779269177716</c:v>
                </c:pt>
                <c:pt idx="3">
                  <c:v>0.52306198413982841</c:v>
                </c:pt>
                <c:pt idx="4">
                  <c:v>0.52979490246149374</c:v>
                </c:pt>
                <c:pt idx="5">
                  <c:v>0.76569808694586838</c:v>
                </c:pt>
                <c:pt idx="6">
                  <c:v>1.2744169149881444</c:v>
                </c:pt>
                <c:pt idx="7">
                  <c:v>1.4876238769939658</c:v>
                </c:pt>
                <c:pt idx="8">
                  <c:v>2</c:v>
                </c:pt>
                <c:pt idx="9">
                  <c:v>2.2285239672065762</c:v>
                </c:pt>
                <c:pt idx="10">
                  <c:v>2.3239029125005444</c:v>
                </c:pt>
                <c:pt idx="11">
                  <c:v>2.4778331802392093</c:v>
                </c:pt>
                <c:pt idx="12">
                  <c:v>2.6060463295585632</c:v>
                </c:pt>
                <c:pt idx="13">
                  <c:v>2.6356131570151606</c:v>
                </c:pt>
                <c:pt idx="14">
                  <c:v>2.8660504882377555</c:v>
                </c:pt>
                <c:pt idx="15">
                  <c:v>3.1451815818166571</c:v>
                </c:pt>
                <c:pt idx="16">
                  <c:v>3.1504887195626221</c:v>
                </c:pt>
                <c:pt idx="17">
                  <c:v>3.2538145810983807</c:v>
                </c:pt>
                <c:pt idx="18">
                  <c:v>4.4051579216724059</c:v>
                </c:pt>
                <c:pt idx="19">
                  <c:v>4.8664698732418818</c:v>
                </c:pt>
                <c:pt idx="20">
                  <c:v>4.9435903770628888</c:v>
                </c:pt>
                <c:pt idx="21">
                  <c:v>5</c:v>
                </c:pt>
                <c:pt idx="22">
                  <c:v>5.1105047019154295</c:v>
                </c:pt>
                <c:pt idx="23">
                  <c:v>6.1480719128294448</c:v>
                </c:pt>
                <c:pt idx="24">
                  <c:v>7.1672058277400374</c:v>
                </c:pt>
                <c:pt idx="25">
                  <c:v>7.3196796908167299</c:v>
                </c:pt>
                <c:pt idx="26">
                  <c:v>8.3156517515077084</c:v>
                </c:pt>
                <c:pt idx="27">
                  <c:v>9.112354551407547</c:v>
                </c:pt>
                <c:pt idx="28">
                  <c:v>9.5781966008406805</c:v>
                </c:pt>
                <c:pt idx="29">
                  <c:v>9.7089450324342774</c:v>
                </c:pt>
                <c:pt idx="30">
                  <c:v>11</c:v>
                </c:pt>
                <c:pt idx="31">
                  <c:v>12</c:v>
                </c:pt>
                <c:pt idx="32">
                  <c:v>12.364729278340851</c:v>
                </c:pt>
                <c:pt idx="33">
                  <c:v>12.633127977452425</c:v>
                </c:pt>
                <c:pt idx="34">
                  <c:v>14.460017791729458</c:v>
                </c:pt>
                <c:pt idx="35">
                  <c:v>14.947869523254726</c:v>
                </c:pt>
                <c:pt idx="36">
                  <c:v>16.93084850479832</c:v>
                </c:pt>
                <c:pt idx="37">
                  <c:v>19.347563869633696</c:v>
                </c:pt>
                <c:pt idx="38">
                  <c:v>19.477563084802355</c:v>
                </c:pt>
                <c:pt idx="39">
                  <c:v>19.5</c:v>
                </c:pt>
                <c:pt idx="40">
                  <c:v>20.234783442850976</c:v>
                </c:pt>
                <c:pt idx="41">
                  <c:v>21.558703888045386</c:v>
                </c:pt>
                <c:pt idx="42">
                  <c:v>23.945626680505882</c:v>
                </c:pt>
                <c:pt idx="43">
                  <c:v>28</c:v>
                </c:pt>
                <c:pt idx="44">
                  <c:v>28.297416156642424</c:v>
                </c:pt>
                <c:pt idx="45">
                  <c:v>33.766107306306594</c:v>
                </c:pt>
                <c:pt idx="46">
                  <c:v>34</c:v>
                </c:pt>
                <c:pt idx="47">
                  <c:v>36.316015362774984</c:v>
                </c:pt>
                <c:pt idx="48">
                  <c:v>37.468684651856144</c:v>
                </c:pt>
                <c:pt idx="49">
                  <c:v>37.554000000000002</c:v>
                </c:pt>
                <c:pt idx="50">
                  <c:v>38.444170729927869</c:v>
                </c:pt>
                <c:pt idx="51">
                  <c:v>39.1</c:v>
                </c:pt>
                <c:pt idx="52">
                  <c:v>47.878538424615044</c:v>
                </c:pt>
                <c:pt idx="53">
                  <c:v>51.197644022933233</c:v>
                </c:pt>
                <c:pt idx="54">
                  <c:v>55.580647906316074</c:v>
                </c:pt>
                <c:pt idx="55">
                  <c:v>56.684322429035028</c:v>
                </c:pt>
                <c:pt idx="56">
                  <c:v>60</c:v>
                </c:pt>
                <c:pt idx="57">
                  <c:v>60</c:v>
                </c:pt>
                <c:pt idx="58">
                  <c:v>69.099199210671884</c:v>
                </c:pt>
                <c:pt idx="59">
                  <c:v>70.634410911389537</c:v>
                </c:pt>
                <c:pt idx="60">
                  <c:v>70.724438445894648</c:v>
                </c:pt>
                <c:pt idx="61">
                  <c:v>71.864998937716464</c:v>
                </c:pt>
                <c:pt idx="62">
                  <c:v>77.94435583909268</c:v>
                </c:pt>
                <c:pt idx="63">
                  <c:v>79.296961282383023</c:v>
                </c:pt>
                <c:pt idx="64">
                  <c:v>81.732667719776884</c:v>
                </c:pt>
                <c:pt idx="65">
                  <c:v>88.265157600228576</c:v>
                </c:pt>
                <c:pt idx="66">
                  <c:v>89.643822734218887</c:v>
                </c:pt>
                <c:pt idx="67">
                  <c:v>91.710226923313456</c:v>
                </c:pt>
                <c:pt idx="68">
                  <c:v>91.875523773367803</c:v>
                </c:pt>
                <c:pt idx="69">
                  <c:v>92.373918548216906</c:v>
                </c:pt>
                <c:pt idx="70">
                  <c:v>93.107876712328761</c:v>
                </c:pt>
                <c:pt idx="71">
                  <c:v>93.650535675923081</c:v>
                </c:pt>
                <c:pt idx="72">
                  <c:v>93.660729617083717</c:v>
                </c:pt>
                <c:pt idx="73">
                  <c:v>93.9856125207655</c:v>
                </c:pt>
                <c:pt idx="74">
                  <c:v>96.095065306777698</c:v>
                </c:pt>
                <c:pt idx="75">
                  <c:v>98.376560425957138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</c:numCache>
            </c:numRef>
          </c:xVal>
          <c:yVal>
            <c:numRef>
              <c:f>'Data Graph PPP'!$I$4:$I$86</c:f>
              <c:numCache>
                <c:formatCode>0</c:formatCode>
                <c:ptCount val="83"/>
                <c:pt idx="0">
                  <c:v>41.822239589294455</c:v>
                </c:pt>
                <c:pt idx="1">
                  <c:v>83.171004266537366</c:v>
                </c:pt>
                <c:pt idx="2">
                  <c:v>51.38851774959403</c:v>
                </c:pt>
                <c:pt idx="3">
                  <c:v>13.776105651105651</c:v>
                </c:pt>
                <c:pt idx="4">
                  <c:v>139.31034482758622</c:v>
                </c:pt>
                <c:pt idx="5">
                  <c:v>14.063642670967017</c:v>
                </c:pt>
                <c:pt idx="6">
                  <c:v>44.707824646840578</c:v>
                </c:pt>
                <c:pt idx="7">
                  <c:v>14.200415433153497</c:v>
                </c:pt>
                <c:pt idx="8">
                  <c:v>619.15564598168874</c:v>
                </c:pt>
                <c:pt idx="9">
                  <c:v>77.591558038485417</c:v>
                </c:pt>
                <c:pt idx="10">
                  <c:v>80.759135877246109</c:v>
                </c:pt>
                <c:pt idx="11">
                  <c:v>107</c:v>
                </c:pt>
                <c:pt idx="12">
                  <c:v>239.81900452488688</c:v>
                </c:pt>
                <c:pt idx="13">
                  <c:v>279.5422031473534</c:v>
                </c:pt>
                <c:pt idx="14">
                  <c:v>194.67787114845939</c:v>
                </c:pt>
                <c:pt idx="15">
                  <c:v>35.711734876080278</c:v>
                </c:pt>
                <c:pt idx="16">
                  <c:v>27.402384960618008</c:v>
                </c:pt>
                <c:pt idx="17">
                  <c:v>473.14814814814815</c:v>
                </c:pt>
                <c:pt idx="18">
                  <c:v>101.6260162601626</c:v>
                </c:pt>
                <c:pt idx="19">
                  <c:v>219.57264957264957</c:v>
                </c:pt>
                <c:pt idx="20">
                  <c:v>674</c:v>
                </c:pt>
                <c:pt idx="21">
                  <c:v>812.11159737417938</c:v>
                </c:pt>
                <c:pt idx="22">
                  <c:v>1026</c:v>
                </c:pt>
                <c:pt idx="23">
                  <c:v>290.64102564102564</c:v>
                </c:pt>
                <c:pt idx="24">
                  <c:v>470.32</c:v>
                </c:pt>
                <c:pt idx="25">
                  <c:v>138.52140192500539</c:v>
                </c:pt>
                <c:pt idx="26">
                  <c:v>20.052135552436336</c:v>
                </c:pt>
                <c:pt idx="27">
                  <c:v>45.428836862775384</c:v>
                </c:pt>
                <c:pt idx="28">
                  <c:v>103.89159138290479</c:v>
                </c:pt>
                <c:pt idx="29">
                  <c:v>316</c:v>
                </c:pt>
                <c:pt idx="30">
                  <c:v>942</c:v>
                </c:pt>
                <c:pt idx="31">
                  <c:v>1000.8033705752837</c:v>
                </c:pt>
                <c:pt idx="32">
                  <c:v>330.85106382978728</c:v>
                </c:pt>
                <c:pt idx="33">
                  <c:v>429.8941798941799</c:v>
                </c:pt>
                <c:pt idx="34">
                  <c:v>451.43638850889192</c:v>
                </c:pt>
                <c:pt idx="35">
                  <c:v>10.455329604265774</c:v>
                </c:pt>
                <c:pt idx="36">
                  <c:v>190.4354556193735</c:v>
                </c:pt>
                <c:pt idx="37">
                  <c:v>296.52898731027619</c:v>
                </c:pt>
                <c:pt idx="38">
                  <c:v>892.32833583208389</c:v>
                </c:pt>
                <c:pt idx="39">
                  <c:v>22.610133229602258</c:v>
                </c:pt>
                <c:pt idx="40">
                  <c:v>427.38818332413035</c:v>
                </c:pt>
                <c:pt idx="41">
                  <c:v>616.27772704211066</c:v>
                </c:pt>
                <c:pt idx="42">
                  <c:v>330.85106382978728</c:v>
                </c:pt>
                <c:pt idx="43">
                  <c:v>1100.9280742459398</c:v>
                </c:pt>
                <c:pt idx="44">
                  <c:v>10</c:v>
                </c:pt>
                <c:pt idx="45">
                  <c:v>421</c:v>
                </c:pt>
                <c:pt idx="46">
                  <c:v>433.32774518021796</c:v>
                </c:pt>
                <c:pt idx="47">
                  <c:v>122</c:v>
                </c:pt>
                <c:pt idx="48">
                  <c:v>69.226189652069166</c:v>
                </c:pt>
                <c:pt idx="49">
                  <c:v>21.300623149730246</c:v>
                </c:pt>
                <c:pt idx="50">
                  <c:v>57.910586055130878</c:v>
                </c:pt>
                <c:pt idx="51">
                  <c:v>94.161958568738228</c:v>
                </c:pt>
                <c:pt idx="52">
                  <c:v>839.69713476413551</c:v>
                </c:pt>
                <c:pt idx="53">
                  <c:v>195.60366128843245</c:v>
                </c:pt>
                <c:pt idx="54">
                  <c:v>165.56291390728478</c:v>
                </c:pt>
                <c:pt idx="55">
                  <c:v>74.309978768577494</c:v>
                </c:pt>
                <c:pt idx="56">
                  <c:v>114.57056139575084</c:v>
                </c:pt>
                <c:pt idx="57">
                  <c:v>128.2051282051282</c:v>
                </c:pt>
                <c:pt idx="58">
                  <c:v>17.303433001107418</c:v>
                </c:pt>
                <c:pt idx="59">
                  <c:v>225.05626406601652</c:v>
                </c:pt>
                <c:pt idx="60">
                  <c:v>958.32061068702285</c:v>
                </c:pt>
                <c:pt idx="61">
                  <c:v>196.82195738533767</c:v>
                </c:pt>
                <c:pt idx="62">
                  <c:v>594.05940594059405</c:v>
                </c:pt>
                <c:pt idx="63">
                  <c:v>195.63810756289726</c:v>
                </c:pt>
                <c:pt idx="64">
                  <c:v>33.713547227060737</c:v>
                </c:pt>
                <c:pt idx="65">
                  <c:v>86.673889490790899</c:v>
                </c:pt>
                <c:pt idx="66">
                  <c:v>194.96977968414896</c:v>
                </c:pt>
                <c:pt idx="67">
                  <c:v>251.13008538422901</c:v>
                </c:pt>
                <c:pt idx="68">
                  <c:v>114.06410402646287</c:v>
                </c:pt>
                <c:pt idx="69">
                  <c:v>268</c:v>
                </c:pt>
                <c:pt idx="70">
                  <c:v>93.795093795093806</c:v>
                </c:pt>
                <c:pt idx="71">
                  <c:v>782.54573891977259</c:v>
                </c:pt>
                <c:pt idx="72">
                  <c:v>43.252595155709344</c:v>
                </c:pt>
                <c:pt idx="73">
                  <c:v>669.20463863183784</c:v>
                </c:pt>
                <c:pt idx="74">
                  <c:v>432.44195356285024</c:v>
                </c:pt>
                <c:pt idx="75">
                  <c:v>91.257528746121551</c:v>
                </c:pt>
                <c:pt idx="76">
                  <c:v>59.934072520227744</c:v>
                </c:pt>
                <c:pt idx="77">
                  <c:v>54.536440257808628</c:v>
                </c:pt>
                <c:pt idx="78">
                  <c:v>59.124950729207725</c:v>
                </c:pt>
                <c:pt idx="79">
                  <c:v>186.72839506172841</c:v>
                </c:pt>
                <c:pt idx="80">
                  <c:v>1168.7370838117108</c:v>
                </c:pt>
                <c:pt idx="81">
                  <c:v>432.66630611141159</c:v>
                </c:pt>
                <c:pt idx="82">
                  <c:v>57.636887608069166</c:v>
                </c:pt>
              </c:numCache>
            </c:numRef>
          </c:yVal>
        </c:ser>
        <c:axId val="49844608"/>
        <c:axId val="49846528"/>
      </c:scatterChart>
      <c:valAx>
        <c:axId val="49844608"/>
        <c:scaling>
          <c:orientation val="minMax"/>
          <c:max val="1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Proportion</a:t>
                </a:r>
                <a:r>
                  <a:rPr lang="en-GB" baseline="0"/>
                  <a:t> of beneficiaries above eligible age </a:t>
                </a:r>
                <a:endParaRPr lang="en-GB"/>
              </a:p>
            </c:rich>
          </c:tx>
          <c:layout/>
        </c:title>
        <c:numFmt formatCode="#,##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49846528"/>
        <c:crosses val="autoZero"/>
        <c:crossBetween val="midCat"/>
      </c:valAx>
      <c:valAx>
        <c:axId val="49846528"/>
        <c:scaling>
          <c:orientation val="minMax"/>
          <c:max val="100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Level of benefit</a:t>
                </a:r>
                <a:r>
                  <a:rPr lang="en-GB" baseline="0"/>
                  <a:t> in $ PPP</a:t>
                </a:r>
                <a:endParaRPr lang="en-GB"/>
              </a:p>
            </c:rich>
          </c:tx>
          <c:layout/>
        </c:title>
        <c:numFmt formatCode="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49844608"/>
        <c:crosses val="autoZero"/>
        <c:crossBetween val="midCat"/>
      </c:valAx>
    </c:plotArea>
    <c:plotVisOnly val="1"/>
  </c:chart>
  <c:spPr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 sz="1600"/>
              <a:t>Level</a:t>
            </a:r>
            <a:r>
              <a:rPr lang="fr-FR" sz="1600" baseline="0"/>
              <a:t> of benefit and coverage by non contributory pensions</a:t>
            </a:r>
            <a:endParaRPr lang="fr-FR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5619365269125457E-2"/>
          <c:y val="0.12764162797265635"/>
          <c:w val="0.86238127639159945"/>
          <c:h val="0.48132152168824721"/>
        </c:manualLayout>
      </c:layout>
      <c:barChart>
        <c:barDir val="col"/>
        <c:grouping val="clustered"/>
        <c:ser>
          <c:idx val="1"/>
          <c:order val="1"/>
          <c:tx>
            <c:strRef>
              <c:f>'Data Graph PPP'!$I$3</c:f>
              <c:strCache>
                <c:ptCount val="1"/>
                <c:pt idx="0">
                  <c:v>PPP $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'Data Graph PPP'!$G$4:$G$86</c:f>
              <c:strCache>
                <c:ptCount val="83"/>
                <c:pt idx="0">
                  <c:v>Indonesia </c:v>
                </c:pt>
                <c:pt idx="1">
                  <c:v>Uzbekestan</c:v>
                </c:pt>
                <c:pt idx="2">
                  <c:v>Nigeria</c:v>
                </c:pt>
                <c:pt idx="3">
                  <c:v>Moldova, Republic of</c:v>
                </c:pt>
                <c:pt idx="4">
                  <c:v>Bulgaria</c:v>
                </c:pt>
                <c:pt idx="5">
                  <c:v>Zambia</c:v>
                </c:pt>
                <c:pt idx="6">
                  <c:v>Mongolia</c:v>
                </c:pt>
                <c:pt idx="7">
                  <c:v>Viet Nam [60-79 years old]</c:v>
                </c:pt>
                <c:pt idx="8">
                  <c:v>Finland</c:v>
                </c:pt>
                <c:pt idx="9">
                  <c:v>Peru</c:v>
                </c:pt>
                <c:pt idx="10">
                  <c:v>Guatemala</c:v>
                </c:pt>
                <c:pt idx="11">
                  <c:v>Belarus</c:v>
                </c:pt>
                <c:pt idx="12">
                  <c:v>Argentina</c:v>
                </c:pt>
                <c:pt idx="13">
                  <c:v>Portugal</c:v>
                </c:pt>
                <c:pt idx="14">
                  <c:v>Ukraine</c:v>
                </c:pt>
                <c:pt idx="15">
                  <c:v>Kenya</c:v>
                </c:pt>
                <c:pt idx="16">
                  <c:v>Uganda</c:v>
                </c:pt>
                <c:pt idx="17">
                  <c:v>Spain</c:v>
                </c:pt>
                <c:pt idx="18">
                  <c:v>El Salvador</c:v>
                </c:pt>
                <c:pt idx="19">
                  <c:v>Estonia</c:v>
                </c:pt>
                <c:pt idx="20">
                  <c:v>United States of America</c:v>
                </c:pt>
                <c:pt idx="21">
                  <c:v>France</c:v>
                </c:pt>
                <c:pt idx="22">
                  <c:v>Beligium</c:v>
                </c:pt>
                <c:pt idx="23">
                  <c:v>Slovenia</c:v>
                </c:pt>
                <c:pt idx="24">
                  <c:v>Italy</c:v>
                </c:pt>
                <c:pt idx="25">
                  <c:v>Paraguay</c:v>
                </c:pt>
                <c:pt idx="26">
                  <c:v>Philippines</c:v>
                </c:pt>
                <c:pt idx="27">
                  <c:v>Colombia</c:v>
                </c:pt>
                <c:pt idx="28">
                  <c:v>Mexico</c:v>
                </c:pt>
                <c:pt idx="29">
                  <c:v>Bahamas</c:v>
                </c:pt>
                <c:pt idx="30">
                  <c:v>Austria</c:v>
                </c:pt>
                <c:pt idx="31">
                  <c:v>Switzerland</c:v>
                </c:pt>
                <c:pt idx="32">
                  <c:v>Brazil [BPC]</c:v>
                </c:pt>
                <c:pt idx="33">
                  <c:v>Cyprus</c:v>
                </c:pt>
                <c:pt idx="34">
                  <c:v>Greece</c:v>
                </c:pt>
                <c:pt idx="35">
                  <c:v>India</c:v>
                </c:pt>
                <c:pt idx="36">
                  <c:v>Costa Rica</c:v>
                </c:pt>
                <c:pt idx="37">
                  <c:v>Uruguay</c:v>
                </c:pt>
                <c:pt idx="38">
                  <c:v>United Kingdom</c:v>
                </c:pt>
                <c:pt idx="39">
                  <c:v>Jamaica</c:v>
                </c:pt>
                <c:pt idx="40">
                  <c:v>Venezuela</c:v>
                </c:pt>
                <c:pt idx="41">
                  <c:v>Norway</c:v>
                </c:pt>
                <c:pt idx="42">
                  <c:v>Brazil [Rural pensionn]</c:v>
                </c:pt>
                <c:pt idx="43">
                  <c:v>Ireland</c:v>
                </c:pt>
                <c:pt idx="44">
                  <c:v>Bangladesh</c:v>
                </c:pt>
                <c:pt idx="45">
                  <c:v>Barbados</c:v>
                </c:pt>
                <c:pt idx="46">
                  <c:v>Canada Targeted</c:v>
                </c:pt>
                <c:pt idx="47">
                  <c:v>Azerbaijan</c:v>
                </c:pt>
                <c:pt idx="48">
                  <c:v>Cape Verde</c:v>
                </c:pt>
                <c:pt idx="49">
                  <c:v>Viet Nam  [80 years old and over]</c:v>
                </c:pt>
                <c:pt idx="50">
                  <c:v>Mexico</c:v>
                </c:pt>
                <c:pt idx="51">
                  <c:v>Belize</c:v>
                </c:pt>
                <c:pt idx="52">
                  <c:v>Sweden</c:v>
                </c:pt>
                <c:pt idx="53">
                  <c:v>Chile</c:v>
                </c:pt>
                <c:pt idx="54">
                  <c:v>Panama</c:v>
                </c:pt>
                <c:pt idx="55">
                  <c:v>Ecuador</c:v>
                </c:pt>
                <c:pt idx="56">
                  <c:v>Korea, Republic of</c:v>
                </c:pt>
                <c:pt idx="57">
                  <c:v>Kosovo</c:v>
                </c:pt>
                <c:pt idx="58">
                  <c:v>Nepal</c:v>
                </c:pt>
                <c:pt idx="59">
                  <c:v>South Africa</c:v>
                </c:pt>
                <c:pt idx="60">
                  <c:v>Australia</c:v>
                </c:pt>
                <c:pt idx="61">
                  <c:v>Hong Kong</c:v>
                </c:pt>
                <c:pt idx="62">
                  <c:v>Trinidad and Tobago</c:v>
                </c:pt>
                <c:pt idx="63">
                  <c:v>Iceland</c:v>
                </c:pt>
                <c:pt idx="64">
                  <c:v>Thailand</c:v>
                </c:pt>
                <c:pt idx="65">
                  <c:v>Georgia</c:v>
                </c:pt>
                <c:pt idx="66">
                  <c:v>Maldives</c:v>
                </c:pt>
                <c:pt idx="67">
                  <c:v>Suriname</c:v>
                </c:pt>
                <c:pt idx="68">
                  <c:v>Guyana</c:v>
                </c:pt>
                <c:pt idx="69">
                  <c:v>Brunei Darussalam</c:v>
                </c:pt>
                <c:pt idx="70">
                  <c:v>Samoa</c:v>
                </c:pt>
                <c:pt idx="71">
                  <c:v>New Zealand</c:v>
                </c:pt>
                <c:pt idx="72">
                  <c:v>Swaziland</c:v>
                </c:pt>
                <c:pt idx="73">
                  <c:v>Denmark</c:v>
                </c:pt>
                <c:pt idx="74">
                  <c:v>Canada basic</c:v>
                </c:pt>
                <c:pt idx="75">
                  <c:v>Namibia</c:v>
                </c:pt>
                <c:pt idx="76">
                  <c:v>Bolivia</c:v>
                </c:pt>
                <c:pt idx="77">
                  <c:v>Botswana</c:v>
                </c:pt>
                <c:pt idx="78">
                  <c:v>Lesotho</c:v>
                </c:pt>
                <c:pt idx="79">
                  <c:v>Mauritius</c:v>
                </c:pt>
                <c:pt idx="80">
                  <c:v>Netherlands</c:v>
                </c:pt>
                <c:pt idx="81">
                  <c:v>Seychelles</c:v>
                </c:pt>
                <c:pt idx="82">
                  <c:v>Timor-Leste</c:v>
                </c:pt>
              </c:strCache>
            </c:strRef>
          </c:cat>
          <c:val>
            <c:numRef>
              <c:f>'Data Graph PPP'!$I$4:$I$86</c:f>
              <c:numCache>
                <c:formatCode>0</c:formatCode>
                <c:ptCount val="83"/>
                <c:pt idx="0">
                  <c:v>41.822239589294455</c:v>
                </c:pt>
                <c:pt idx="1">
                  <c:v>83.171004266537366</c:v>
                </c:pt>
                <c:pt idx="2">
                  <c:v>51.38851774959403</c:v>
                </c:pt>
                <c:pt idx="3">
                  <c:v>13.776105651105651</c:v>
                </c:pt>
                <c:pt idx="4">
                  <c:v>139.31034482758622</c:v>
                </c:pt>
                <c:pt idx="5">
                  <c:v>14.063642670967017</c:v>
                </c:pt>
                <c:pt idx="6">
                  <c:v>44.707824646840578</c:v>
                </c:pt>
                <c:pt idx="7">
                  <c:v>14.200415433153497</c:v>
                </c:pt>
                <c:pt idx="8">
                  <c:v>619.15564598168874</c:v>
                </c:pt>
                <c:pt idx="9">
                  <c:v>77.591558038485417</c:v>
                </c:pt>
                <c:pt idx="10">
                  <c:v>80.759135877246109</c:v>
                </c:pt>
                <c:pt idx="11">
                  <c:v>107</c:v>
                </c:pt>
                <c:pt idx="12">
                  <c:v>239.81900452488688</c:v>
                </c:pt>
                <c:pt idx="13">
                  <c:v>279.5422031473534</c:v>
                </c:pt>
                <c:pt idx="14">
                  <c:v>194.67787114845939</c:v>
                </c:pt>
                <c:pt idx="15">
                  <c:v>35.711734876080278</c:v>
                </c:pt>
                <c:pt idx="16">
                  <c:v>27.402384960618008</c:v>
                </c:pt>
                <c:pt idx="17">
                  <c:v>473.14814814814815</c:v>
                </c:pt>
                <c:pt idx="18">
                  <c:v>101.6260162601626</c:v>
                </c:pt>
                <c:pt idx="19">
                  <c:v>219.57264957264957</c:v>
                </c:pt>
                <c:pt idx="20">
                  <c:v>674</c:v>
                </c:pt>
                <c:pt idx="21">
                  <c:v>812.11159737417938</c:v>
                </c:pt>
                <c:pt idx="22">
                  <c:v>1026</c:v>
                </c:pt>
                <c:pt idx="23">
                  <c:v>290.64102564102564</c:v>
                </c:pt>
                <c:pt idx="24">
                  <c:v>470.32</c:v>
                </c:pt>
                <c:pt idx="25">
                  <c:v>138.52140192500539</c:v>
                </c:pt>
                <c:pt idx="26">
                  <c:v>20.052135552436336</c:v>
                </c:pt>
                <c:pt idx="27">
                  <c:v>45.428836862775384</c:v>
                </c:pt>
                <c:pt idx="28">
                  <c:v>103.89159138290479</c:v>
                </c:pt>
                <c:pt idx="29">
                  <c:v>316</c:v>
                </c:pt>
                <c:pt idx="30">
                  <c:v>942</c:v>
                </c:pt>
                <c:pt idx="31">
                  <c:v>1000.8033705752837</c:v>
                </c:pt>
                <c:pt idx="32">
                  <c:v>330.85106382978728</c:v>
                </c:pt>
                <c:pt idx="33">
                  <c:v>429.8941798941799</c:v>
                </c:pt>
                <c:pt idx="34">
                  <c:v>451.43638850889192</c:v>
                </c:pt>
                <c:pt idx="35">
                  <c:v>10.455329604265774</c:v>
                </c:pt>
                <c:pt idx="36">
                  <c:v>190.4354556193735</c:v>
                </c:pt>
                <c:pt idx="37">
                  <c:v>296.52898731027619</c:v>
                </c:pt>
                <c:pt idx="38">
                  <c:v>892.32833583208389</c:v>
                </c:pt>
                <c:pt idx="39">
                  <c:v>22.610133229602258</c:v>
                </c:pt>
                <c:pt idx="40">
                  <c:v>427.38818332413035</c:v>
                </c:pt>
                <c:pt idx="41">
                  <c:v>616.27772704211066</c:v>
                </c:pt>
                <c:pt idx="42">
                  <c:v>330.85106382978728</c:v>
                </c:pt>
                <c:pt idx="43">
                  <c:v>1100.9280742459398</c:v>
                </c:pt>
                <c:pt idx="44">
                  <c:v>10</c:v>
                </c:pt>
                <c:pt idx="45">
                  <c:v>421</c:v>
                </c:pt>
                <c:pt idx="46">
                  <c:v>433.32774518021796</c:v>
                </c:pt>
                <c:pt idx="47">
                  <c:v>122</c:v>
                </c:pt>
                <c:pt idx="48">
                  <c:v>69.226189652069166</c:v>
                </c:pt>
                <c:pt idx="49">
                  <c:v>21.300623149730246</c:v>
                </c:pt>
                <c:pt idx="50">
                  <c:v>57.910586055130878</c:v>
                </c:pt>
                <c:pt idx="51">
                  <c:v>94.161958568738228</c:v>
                </c:pt>
                <c:pt idx="52">
                  <c:v>839.69713476413551</c:v>
                </c:pt>
                <c:pt idx="53">
                  <c:v>195.60366128843245</c:v>
                </c:pt>
                <c:pt idx="54">
                  <c:v>165.56291390728478</c:v>
                </c:pt>
                <c:pt idx="55">
                  <c:v>74.309978768577494</c:v>
                </c:pt>
                <c:pt idx="56">
                  <c:v>114.57056139575084</c:v>
                </c:pt>
                <c:pt idx="57">
                  <c:v>128.2051282051282</c:v>
                </c:pt>
                <c:pt idx="58">
                  <c:v>17.303433001107418</c:v>
                </c:pt>
                <c:pt idx="59">
                  <c:v>225.05626406601652</c:v>
                </c:pt>
                <c:pt idx="60">
                  <c:v>958.32061068702285</c:v>
                </c:pt>
                <c:pt idx="61">
                  <c:v>196.82195738533767</c:v>
                </c:pt>
                <c:pt idx="62">
                  <c:v>594.05940594059405</c:v>
                </c:pt>
                <c:pt idx="63">
                  <c:v>195.63810756289726</c:v>
                </c:pt>
                <c:pt idx="64">
                  <c:v>33.713547227060737</c:v>
                </c:pt>
                <c:pt idx="65">
                  <c:v>86.673889490790899</c:v>
                </c:pt>
                <c:pt idx="66">
                  <c:v>194.96977968414896</c:v>
                </c:pt>
                <c:pt idx="67">
                  <c:v>251.13008538422901</c:v>
                </c:pt>
                <c:pt idx="68">
                  <c:v>114.06410402646287</c:v>
                </c:pt>
                <c:pt idx="69">
                  <c:v>268</c:v>
                </c:pt>
                <c:pt idx="70">
                  <c:v>93.795093795093806</c:v>
                </c:pt>
                <c:pt idx="71">
                  <c:v>782.54573891977259</c:v>
                </c:pt>
                <c:pt idx="72">
                  <c:v>43.252595155709344</c:v>
                </c:pt>
                <c:pt idx="73">
                  <c:v>669.20463863183784</c:v>
                </c:pt>
                <c:pt idx="74">
                  <c:v>432.44195356285024</c:v>
                </c:pt>
                <c:pt idx="75">
                  <c:v>91.257528746121551</c:v>
                </c:pt>
                <c:pt idx="76">
                  <c:v>59.934072520227744</c:v>
                </c:pt>
                <c:pt idx="77">
                  <c:v>54.536440257808628</c:v>
                </c:pt>
                <c:pt idx="78">
                  <c:v>59.124950729207725</c:v>
                </c:pt>
                <c:pt idx="79">
                  <c:v>186.72839506172841</c:v>
                </c:pt>
                <c:pt idx="80">
                  <c:v>1168.7370838117108</c:v>
                </c:pt>
                <c:pt idx="81">
                  <c:v>432.66630611141159</c:v>
                </c:pt>
                <c:pt idx="82">
                  <c:v>57.636887608069166</c:v>
                </c:pt>
              </c:numCache>
            </c:numRef>
          </c:val>
        </c:ser>
        <c:gapWidth val="30"/>
        <c:axId val="50104576"/>
        <c:axId val="50114560"/>
      </c:barChart>
      <c:barChart>
        <c:barDir val="col"/>
        <c:grouping val="clustered"/>
        <c:ser>
          <c:idx val="0"/>
          <c:order val="0"/>
          <c:tx>
            <c:strRef>
              <c:f>'Data Graph PPP'!$H$3</c:f>
              <c:strCache>
                <c:ptCount val="1"/>
                <c:pt idx="0">
                  <c:v>% population eligible age</c:v>
                </c:pt>
              </c:strCache>
            </c:strRef>
          </c:tx>
          <c:spPr>
            <a:solidFill>
              <a:srgbClr val="9BBB59">
                <a:alpha val="49000"/>
              </a:srgbClr>
            </a:solidFill>
          </c:spPr>
          <c:cat>
            <c:strRef>
              <c:f>'Data Graph PPP'!$G$4:$G$86</c:f>
              <c:strCache>
                <c:ptCount val="83"/>
                <c:pt idx="0">
                  <c:v>Indonesia </c:v>
                </c:pt>
                <c:pt idx="1">
                  <c:v>Uzbekestan</c:v>
                </c:pt>
                <c:pt idx="2">
                  <c:v>Nigeria</c:v>
                </c:pt>
                <c:pt idx="3">
                  <c:v>Moldova, Republic of</c:v>
                </c:pt>
                <c:pt idx="4">
                  <c:v>Bulgaria</c:v>
                </c:pt>
                <c:pt idx="5">
                  <c:v>Zambia</c:v>
                </c:pt>
                <c:pt idx="6">
                  <c:v>Mongolia</c:v>
                </c:pt>
                <c:pt idx="7">
                  <c:v>Viet Nam [60-79 years old]</c:v>
                </c:pt>
                <c:pt idx="8">
                  <c:v>Finland</c:v>
                </c:pt>
                <c:pt idx="9">
                  <c:v>Peru</c:v>
                </c:pt>
                <c:pt idx="10">
                  <c:v>Guatemala</c:v>
                </c:pt>
                <c:pt idx="11">
                  <c:v>Belarus</c:v>
                </c:pt>
                <c:pt idx="12">
                  <c:v>Argentina</c:v>
                </c:pt>
                <c:pt idx="13">
                  <c:v>Portugal</c:v>
                </c:pt>
                <c:pt idx="14">
                  <c:v>Ukraine</c:v>
                </c:pt>
                <c:pt idx="15">
                  <c:v>Kenya</c:v>
                </c:pt>
                <c:pt idx="16">
                  <c:v>Uganda</c:v>
                </c:pt>
                <c:pt idx="17">
                  <c:v>Spain</c:v>
                </c:pt>
                <c:pt idx="18">
                  <c:v>El Salvador</c:v>
                </c:pt>
                <c:pt idx="19">
                  <c:v>Estonia</c:v>
                </c:pt>
                <c:pt idx="20">
                  <c:v>United States of America</c:v>
                </c:pt>
                <c:pt idx="21">
                  <c:v>France</c:v>
                </c:pt>
                <c:pt idx="22">
                  <c:v>Beligium</c:v>
                </c:pt>
                <c:pt idx="23">
                  <c:v>Slovenia</c:v>
                </c:pt>
                <c:pt idx="24">
                  <c:v>Italy</c:v>
                </c:pt>
                <c:pt idx="25">
                  <c:v>Paraguay</c:v>
                </c:pt>
                <c:pt idx="26">
                  <c:v>Philippines</c:v>
                </c:pt>
                <c:pt idx="27">
                  <c:v>Colombia</c:v>
                </c:pt>
                <c:pt idx="28">
                  <c:v>Mexico</c:v>
                </c:pt>
                <c:pt idx="29">
                  <c:v>Bahamas</c:v>
                </c:pt>
                <c:pt idx="30">
                  <c:v>Austria</c:v>
                </c:pt>
                <c:pt idx="31">
                  <c:v>Switzerland</c:v>
                </c:pt>
                <c:pt idx="32">
                  <c:v>Brazil [BPC]</c:v>
                </c:pt>
                <c:pt idx="33">
                  <c:v>Cyprus</c:v>
                </c:pt>
                <c:pt idx="34">
                  <c:v>Greece</c:v>
                </c:pt>
                <c:pt idx="35">
                  <c:v>India</c:v>
                </c:pt>
                <c:pt idx="36">
                  <c:v>Costa Rica</c:v>
                </c:pt>
                <c:pt idx="37">
                  <c:v>Uruguay</c:v>
                </c:pt>
                <c:pt idx="38">
                  <c:v>United Kingdom</c:v>
                </c:pt>
                <c:pt idx="39">
                  <c:v>Jamaica</c:v>
                </c:pt>
                <c:pt idx="40">
                  <c:v>Venezuela</c:v>
                </c:pt>
                <c:pt idx="41">
                  <c:v>Norway</c:v>
                </c:pt>
                <c:pt idx="42">
                  <c:v>Brazil [Rural pensionn]</c:v>
                </c:pt>
                <c:pt idx="43">
                  <c:v>Ireland</c:v>
                </c:pt>
                <c:pt idx="44">
                  <c:v>Bangladesh</c:v>
                </c:pt>
                <c:pt idx="45">
                  <c:v>Barbados</c:v>
                </c:pt>
                <c:pt idx="46">
                  <c:v>Canada Targeted</c:v>
                </c:pt>
                <c:pt idx="47">
                  <c:v>Azerbaijan</c:v>
                </c:pt>
                <c:pt idx="48">
                  <c:v>Cape Verde</c:v>
                </c:pt>
                <c:pt idx="49">
                  <c:v>Viet Nam  [80 years old and over]</c:v>
                </c:pt>
                <c:pt idx="50">
                  <c:v>Mexico</c:v>
                </c:pt>
                <c:pt idx="51">
                  <c:v>Belize</c:v>
                </c:pt>
                <c:pt idx="52">
                  <c:v>Sweden</c:v>
                </c:pt>
                <c:pt idx="53">
                  <c:v>Chile</c:v>
                </c:pt>
                <c:pt idx="54">
                  <c:v>Panama</c:v>
                </c:pt>
                <c:pt idx="55">
                  <c:v>Ecuador</c:v>
                </c:pt>
                <c:pt idx="56">
                  <c:v>Korea, Republic of</c:v>
                </c:pt>
                <c:pt idx="57">
                  <c:v>Kosovo</c:v>
                </c:pt>
                <c:pt idx="58">
                  <c:v>Nepal</c:v>
                </c:pt>
                <c:pt idx="59">
                  <c:v>South Africa</c:v>
                </c:pt>
                <c:pt idx="60">
                  <c:v>Australia</c:v>
                </c:pt>
                <c:pt idx="61">
                  <c:v>Hong Kong</c:v>
                </c:pt>
                <c:pt idx="62">
                  <c:v>Trinidad and Tobago</c:v>
                </c:pt>
                <c:pt idx="63">
                  <c:v>Iceland</c:v>
                </c:pt>
                <c:pt idx="64">
                  <c:v>Thailand</c:v>
                </c:pt>
                <c:pt idx="65">
                  <c:v>Georgia</c:v>
                </c:pt>
                <c:pt idx="66">
                  <c:v>Maldives</c:v>
                </c:pt>
                <c:pt idx="67">
                  <c:v>Suriname</c:v>
                </c:pt>
                <c:pt idx="68">
                  <c:v>Guyana</c:v>
                </c:pt>
                <c:pt idx="69">
                  <c:v>Brunei Darussalam</c:v>
                </c:pt>
                <c:pt idx="70">
                  <c:v>Samoa</c:v>
                </c:pt>
                <c:pt idx="71">
                  <c:v>New Zealand</c:v>
                </c:pt>
                <c:pt idx="72">
                  <c:v>Swaziland</c:v>
                </c:pt>
                <c:pt idx="73">
                  <c:v>Denmark</c:v>
                </c:pt>
                <c:pt idx="74">
                  <c:v>Canada basic</c:v>
                </c:pt>
                <c:pt idx="75">
                  <c:v>Namibia</c:v>
                </c:pt>
                <c:pt idx="76">
                  <c:v>Bolivia</c:v>
                </c:pt>
                <c:pt idx="77">
                  <c:v>Botswana</c:v>
                </c:pt>
                <c:pt idx="78">
                  <c:v>Lesotho</c:v>
                </c:pt>
                <c:pt idx="79">
                  <c:v>Mauritius</c:v>
                </c:pt>
                <c:pt idx="80">
                  <c:v>Netherlands</c:v>
                </c:pt>
                <c:pt idx="81">
                  <c:v>Seychelles</c:v>
                </c:pt>
                <c:pt idx="82">
                  <c:v>Timor-Leste</c:v>
                </c:pt>
              </c:strCache>
            </c:strRef>
          </c:cat>
          <c:val>
            <c:numRef>
              <c:f>'Data Graph PPP'!$H$4:$H$86</c:f>
              <c:numCache>
                <c:formatCode>#,##0.0</c:formatCode>
                <c:ptCount val="83"/>
                <c:pt idx="0">
                  <c:v>0.11500217124099303</c:v>
                </c:pt>
                <c:pt idx="1">
                  <c:v>0.25478071426208798</c:v>
                </c:pt>
                <c:pt idx="2">
                  <c:v>0.36114779269177716</c:v>
                </c:pt>
                <c:pt idx="3">
                  <c:v>0.52306198413982841</c:v>
                </c:pt>
                <c:pt idx="4">
                  <c:v>0.52979490246149374</c:v>
                </c:pt>
                <c:pt idx="5">
                  <c:v>0.76569808694586838</c:v>
                </c:pt>
                <c:pt idx="6">
                  <c:v>1.2744169149881444</c:v>
                </c:pt>
                <c:pt idx="7">
                  <c:v>1.4876238769939658</c:v>
                </c:pt>
                <c:pt idx="8">
                  <c:v>2</c:v>
                </c:pt>
                <c:pt idx="9">
                  <c:v>2.2285239672065762</c:v>
                </c:pt>
                <c:pt idx="10">
                  <c:v>2.3239029125005444</c:v>
                </c:pt>
                <c:pt idx="11">
                  <c:v>2.4778331802392093</c:v>
                </c:pt>
                <c:pt idx="12">
                  <c:v>2.6060463295585632</c:v>
                </c:pt>
                <c:pt idx="13">
                  <c:v>2.6356131570151606</c:v>
                </c:pt>
                <c:pt idx="14">
                  <c:v>2.8660504882377555</c:v>
                </c:pt>
                <c:pt idx="15">
                  <c:v>3.1451815818166571</c:v>
                </c:pt>
                <c:pt idx="16">
                  <c:v>3.1504887195626221</c:v>
                </c:pt>
                <c:pt idx="17">
                  <c:v>3.2538145810983807</c:v>
                </c:pt>
                <c:pt idx="18">
                  <c:v>4.4051579216724059</c:v>
                </c:pt>
                <c:pt idx="19">
                  <c:v>4.8664698732418818</c:v>
                </c:pt>
                <c:pt idx="20">
                  <c:v>4.9435903770628888</c:v>
                </c:pt>
                <c:pt idx="21">
                  <c:v>5</c:v>
                </c:pt>
                <c:pt idx="22">
                  <c:v>5.1105047019154295</c:v>
                </c:pt>
                <c:pt idx="23">
                  <c:v>6.1480719128294448</c:v>
                </c:pt>
                <c:pt idx="24">
                  <c:v>7.1672058277400374</c:v>
                </c:pt>
                <c:pt idx="25">
                  <c:v>7.3196796908167299</c:v>
                </c:pt>
                <c:pt idx="26">
                  <c:v>8.3156517515077084</c:v>
                </c:pt>
                <c:pt idx="27">
                  <c:v>9.112354551407547</c:v>
                </c:pt>
                <c:pt idx="28">
                  <c:v>9.5781966008406805</c:v>
                </c:pt>
                <c:pt idx="29">
                  <c:v>9.7089450324342774</c:v>
                </c:pt>
                <c:pt idx="30">
                  <c:v>11</c:v>
                </c:pt>
                <c:pt idx="31">
                  <c:v>12</c:v>
                </c:pt>
                <c:pt idx="32">
                  <c:v>12.364729278340851</c:v>
                </c:pt>
                <c:pt idx="33">
                  <c:v>12.633127977452425</c:v>
                </c:pt>
                <c:pt idx="34">
                  <c:v>14.460017791729458</c:v>
                </c:pt>
                <c:pt idx="35">
                  <c:v>14.947869523254726</c:v>
                </c:pt>
                <c:pt idx="36">
                  <c:v>16.93084850479832</c:v>
                </c:pt>
                <c:pt idx="37">
                  <c:v>19.347563869633696</c:v>
                </c:pt>
                <c:pt idx="38">
                  <c:v>19.477563084802355</c:v>
                </c:pt>
                <c:pt idx="39">
                  <c:v>19.5</c:v>
                </c:pt>
                <c:pt idx="40">
                  <c:v>20.234783442850976</c:v>
                </c:pt>
                <c:pt idx="41">
                  <c:v>21.558703888045386</c:v>
                </c:pt>
                <c:pt idx="42">
                  <c:v>23.945626680505882</c:v>
                </c:pt>
                <c:pt idx="43">
                  <c:v>28</c:v>
                </c:pt>
                <c:pt idx="44">
                  <c:v>28.297416156642424</c:v>
                </c:pt>
                <c:pt idx="45">
                  <c:v>33.766107306306594</c:v>
                </c:pt>
                <c:pt idx="46">
                  <c:v>34</c:v>
                </c:pt>
                <c:pt idx="47">
                  <c:v>36.316015362774984</c:v>
                </c:pt>
                <c:pt idx="48">
                  <c:v>37.468684651856144</c:v>
                </c:pt>
                <c:pt idx="49">
                  <c:v>37.554000000000002</c:v>
                </c:pt>
                <c:pt idx="50">
                  <c:v>38.444170729927869</c:v>
                </c:pt>
                <c:pt idx="51">
                  <c:v>39.1</c:v>
                </c:pt>
                <c:pt idx="52">
                  <c:v>47.878538424615044</c:v>
                </c:pt>
                <c:pt idx="53">
                  <c:v>51.197644022933233</c:v>
                </c:pt>
                <c:pt idx="54">
                  <c:v>55.580647906316074</c:v>
                </c:pt>
                <c:pt idx="55">
                  <c:v>56.684322429035028</c:v>
                </c:pt>
                <c:pt idx="56">
                  <c:v>60</c:v>
                </c:pt>
                <c:pt idx="57">
                  <c:v>60</c:v>
                </c:pt>
                <c:pt idx="58">
                  <c:v>69.099199210671884</c:v>
                </c:pt>
                <c:pt idx="59">
                  <c:v>70.634410911389537</c:v>
                </c:pt>
                <c:pt idx="60">
                  <c:v>70.724438445894648</c:v>
                </c:pt>
                <c:pt idx="61">
                  <c:v>71.864998937716464</c:v>
                </c:pt>
                <c:pt idx="62">
                  <c:v>77.94435583909268</c:v>
                </c:pt>
                <c:pt idx="63">
                  <c:v>79.296961282383023</c:v>
                </c:pt>
                <c:pt idx="64">
                  <c:v>81.732667719776884</c:v>
                </c:pt>
                <c:pt idx="65">
                  <c:v>88.265157600228576</c:v>
                </c:pt>
                <c:pt idx="66">
                  <c:v>89.643822734218887</c:v>
                </c:pt>
                <c:pt idx="67">
                  <c:v>91.710226923313456</c:v>
                </c:pt>
                <c:pt idx="68">
                  <c:v>91.875523773367803</c:v>
                </c:pt>
                <c:pt idx="69">
                  <c:v>92.373918548216906</c:v>
                </c:pt>
                <c:pt idx="70">
                  <c:v>93.107876712328761</c:v>
                </c:pt>
                <c:pt idx="71">
                  <c:v>93.650535675923081</c:v>
                </c:pt>
                <c:pt idx="72">
                  <c:v>93.660729617083717</c:v>
                </c:pt>
                <c:pt idx="73">
                  <c:v>93.9856125207655</c:v>
                </c:pt>
                <c:pt idx="74">
                  <c:v>96.095065306777698</c:v>
                </c:pt>
                <c:pt idx="75">
                  <c:v>98.376560425957138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</c:numCache>
            </c:numRef>
          </c:val>
        </c:ser>
        <c:gapWidth val="30"/>
        <c:axId val="50118656"/>
        <c:axId val="50116480"/>
      </c:barChart>
      <c:catAx>
        <c:axId val="50104576"/>
        <c:scaling>
          <c:orientation val="minMax"/>
        </c:scaling>
        <c:axPos val="b"/>
        <c:tickLblPos val="nextTo"/>
        <c:spPr>
          <a:ln>
            <a:noFill/>
          </a:ln>
        </c:spPr>
        <c:txPr>
          <a:bodyPr/>
          <a:lstStyle/>
          <a:p>
            <a:pPr>
              <a:defRPr lang="en-GB" sz="800"/>
            </a:pPr>
            <a:endParaRPr lang="fr-FR"/>
          </a:p>
        </c:txPr>
        <c:crossAx val="50114560"/>
        <c:crosses val="autoZero"/>
        <c:auto val="1"/>
        <c:lblAlgn val="ctr"/>
        <c:lblOffset val="100"/>
        <c:tickLblSkip val="1"/>
      </c:catAx>
      <c:valAx>
        <c:axId val="50114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Level of benefit in</a:t>
                </a:r>
                <a:r>
                  <a:rPr lang="fr-FR" baseline="0"/>
                  <a:t> PPP$</a:t>
                </a:r>
                <a:endParaRPr lang="fr-FR"/>
              </a:p>
            </c:rich>
          </c:tx>
          <c:layout/>
        </c:title>
        <c:numFmt formatCode="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50104576"/>
        <c:crosses val="autoZero"/>
        <c:crossBetween val="between"/>
      </c:valAx>
      <c:valAx>
        <c:axId val="50116480"/>
        <c:scaling>
          <c:orientation val="minMax"/>
          <c:max val="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Coverage of population above eligible age</a:t>
                </a:r>
              </a:p>
            </c:rich>
          </c:tx>
          <c:layout/>
        </c:title>
        <c:numFmt formatCode="#,##0.0" sourceLinked="1"/>
        <c:tickLblPos val="nextTo"/>
        <c:spPr>
          <a:ln>
            <a:noFill/>
          </a:ln>
        </c:spPr>
        <c:crossAx val="50118656"/>
        <c:crosses val="max"/>
        <c:crossBetween val="between"/>
      </c:valAx>
      <c:catAx>
        <c:axId val="50118656"/>
        <c:scaling>
          <c:orientation val="minMax"/>
        </c:scaling>
        <c:delete val="1"/>
        <c:axPos val="b"/>
        <c:tickLblPos val="nextTo"/>
        <c:crossAx val="501164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6.7546065409665901E-2"/>
          <c:y val="5.0697117231131288E-2"/>
          <c:w val="0.16196521696367988"/>
          <c:h val="7.5549503194075468E-2"/>
        </c:manualLayout>
      </c:layout>
      <c:txPr>
        <a:bodyPr/>
        <a:lstStyle/>
        <a:p>
          <a:pPr>
            <a:defRPr lang="en-GB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 lang="en-GB"/>
            </a:pPr>
            <a:r>
              <a:rPr lang="en-US"/>
              <a:t>Non</a:t>
            </a:r>
            <a:r>
              <a:rPr lang="en-US" baseline="0"/>
              <a:t> contributory pension: extent and level of coverage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'Data G3 level in USD &amp; Coverage'!$O$2</c:f>
              <c:strCache>
                <c:ptCount val="1"/>
                <c:pt idx="0">
                  <c:v>US$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</c:marker>
          <c:dLbls>
            <c:dLbl>
              <c:idx val="0"/>
              <c:layout/>
              <c:tx>
                <c:strRef>
                  <c:f>'Data G3 level in USD &amp; Coverage'!$B$4</c:f>
                  <c:strCache>
                    <c:ptCount val="1"/>
                    <c:pt idx="0">
                      <c:v>Argentina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'Data G3 level in USD &amp; Coverage'!$B$6</c:f>
                  <c:strCache>
                    <c:ptCount val="1"/>
                    <c:pt idx="0">
                      <c:v>Australia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'Data G3 level in USD &amp; Coverage'!$B$9</c:f>
                  <c:strCache>
                    <c:ptCount val="1"/>
                    <c:pt idx="0">
                      <c:v>Bahamas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'Data G3 level in USD &amp; Coverage'!$B$10</c:f>
                  <c:strCache>
                    <c:ptCount val="1"/>
                    <c:pt idx="0">
                      <c:v>Bangladesh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'Data G3 level in USD &amp; Coverage'!$B$13</c:f>
                  <c:strCache>
                    <c:ptCount val="1"/>
                    <c:pt idx="0">
                      <c:v>Belarus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'Data G3 level in USD &amp; Coverage'!$B$14</c:f>
                  <c:strCache>
                    <c:ptCount val="1"/>
                    <c:pt idx="0">
                      <c:v>Beligium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'Data G3 level in USD &amp; Coverage'!$B$15</c:f>
                  <c:strCache>
                    <c:ptCount val="1"/>
                    <c:pt idx="0">
                      <c:v>Belize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'Data G3 level in USD &amp; Coverage'!$B$17</c:f>
                  <c:strCache>
                    <c:ptCount val="1"/>
                    <c:pt idx="0">
                      <c:v>Bolivia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>
                <c:manualLayout>
                  <c:x val="-3.271820320387208E-2"/>
                  <c:y val="3.3384225657650278E-2"/>
                </c:manualLayout>
              </c:layout>
              <c:tx>
                <c:strRef>
                  <c:f>'Data G3 level in USD &amp; Coverage'!$B$18</c:f>
                  <c:strCache>
                    <c:ptCount val="1"/>
                    <c:pt idx="0">
                      <c:v>Botswana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'Data G3 level in USD &amp; Coverage'!$B$19</c:f>
                  <c:strCache>
                    <c:ptCount val="1"/>
                    <c:pt idx="0">
                      <c:v>Brazil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/>
              <c:tx>
                <c:strRef>
                  <c:f>'Data G3 level in USD &amp; Coverage'!$B$20</c:f>
                  <c:strCache>
                    <c:ptCount val="1"/>
                    <c:pt idx="0">
                      <c:v>Brazil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/>
              <c:tx>
                <c:strRef>
                  <c:f>'Data G3 level in USD &amp; Coverage'!$B$22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'Data G3 level in USD &amp; Coverage'!$B$23</c:f>
                  <c:strCache>
                    <c:ptCount val="1"/>
                    <c:pt idx="0">
                      <c:v>Canada Targeted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>
                <c:manualLayout>
                  <c:x val="-4.0897754004841306E-3"/>
                  <c:y val="5.6335880797284875E-2"/>
                </c:manualLayout>
              </c:layout>
              <c:tx>
                <c:strRef>
                  <c:f>'Data G3 level in USD &amp; Coverage'!$B$24</c:f>
                  <c:strCache>
                    <c:ptCount val="1"/>
                    <c:pt idx="0">
                      <c:v>Canada basic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/>
              <c:tx>
                <c:strRef>
                  <c:f>'Data G3 level in USD &amp; Coverage'!$B$26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'Data G3 level in USD &amp; Coverage'!$B$27</c:f>
                  <c:strCache>
                    <c:ptCount val="1"/>
                    <c:pt idx="0">
                      <c:v>Colombia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/>
              <c:tx>
                <c:strRef>
                  <c:f>'Data G3 level in USD &amp; Coverage'!$B$29</c:f>
                  <c:strCache>
                    <c:ptCount val="1"/>
                    <c:pt idx="0">
                      <c:v>Costa Rica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/>
              <c:tx>
                <c:strRef>
                  <c:f>'Data G3 level in USD &amp; Coverage'!$B$30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/>
              <c:tx>
                <c:strRef>
                  <c:f>'Data G3 level in USD &amp; Coverage'!$B$36</c:f>
                  <c:strCache>
                    <c:ptCount val="1"/>
                    <c:pt idx="0">
                      <c:v>Ecuador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/>
              <c:tx>
                <c:strRef>
                  <c:f>'Data G3 level in USD &amp; Coverage'!$B$37</c:f>
                  <c:strCache>
                    <c:ptCount val="1"/>
                    <c:pt idx="0">
                      <c:v>El Salvador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/>
              <c:tx>
                <c:strRef>
                  <c:f>'Data G3 level in USD &amp; Coverage'!$B$38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'Data G3 level in USD &amp; Coverage'!$B$39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/>
              <c:tx>
                <c:strRef>
                  <c:f>'Data G3 level in USD &amp; Coverage'!$B$40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'Data G3 level in USD &amp; Coverage'!$B$42</c:f>
                  <c:strCache>
                    <c:ptCount val="1"/>
                    <c:pt idx="0">
                      <c:v>Georgia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/>
              <c:tx>
                <c:strRef>
                  <c:f>'Data G3 level in USD &amp; Coverage'!$B$44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'Data G3 level in USD &amp; Coverage'!$B$53</c:f>
                  <c:strCache>
                    <c:ptCount val="1"/>
                    <c:pt idx="0">
                      <c:v>India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/>
              <c:tx>
                <c:strRef>
                  <c:f>'Data G3 level in USD &amp; Coverage'!$B$54</c:f>
                  <c:strCache>
                    <c:ptCount val="1"/>
                    <c:pt idx="0">
                      <c:v>Indonesia 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'Data G3 level in USD &amp; Coverage'!$B$56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/>
              <c:tx>
                <c:strRef>
                  <c:f>'Data G3 level in USD &amp; Coverage'!$B$60</c:f>
                  <c:strCache>
                    <c:ptCount val="1"/>
                    <c:pt idx="0">
                      <c:v>Jamaica</c:v>
                    </c:pt>
                  </c:strCache>
                </c:strRef>
              </c:tx>
              <c:dLblPos val="t"/>
              <c:showVal val="1"/>
            </c:dLbl>
            <c:dLbl>
              <c:idx val="29"/>
              <c:layout/>
              <c:tx>
                <c:strRef>
                  <c:f>'Data G3 level in USD &amp; Coverage'!$B$64</c:f>
                  <c:strCache>
                    <c:ptCount val="1"/>
                    <c:pt idx="0">
                      <c:v>Kenya</c:v>
                    </c:pt>
                  </c:strCache>
                </c:strRef>
              </c:tx>
              <c:dLblPos val="t"/>
              <c:showVal val="1"/>
            </c:dLbl>
            <c:dLbl>
              <c:idx val="30"/>
              <c:layout/>
              <c:tx>
                <c:strRef>
                  <c:f>'Data G3 level in USD &amp; Coverage'!$B$68</c:f>
                  <c:strCache>
                    <c:ptCount val="1"/>
                    <c:pt idx="0">
                      <c:v>Korea, Republic of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/>
              <c:tx>
                <c:strRef>
                  <c:f>'Data G3 level in USD &amp; Coverage'!$B$81</c:f>
                  <c:strCache>
                    <c:ptCount val="1"/>
                    <c:pt idx="0">
                      <c:v>Mexico</c:v>
                    </c:pt>
                  </c:strCache>
                </c:strRef>
              </c:tx>
              <c:dLblPos val="t"/>
              <c:showVal val="1"/>
            </c:dLbl>
            <c:dLbl>
              <c:idx val="32"/>
              <c:layout/>
              <c:tx>
                <c:strRef>
                  <c:f>'Data G3 level in USD &amp; Coverage'!$B$84</c:f>
                  <c:strCache>
                    <c:ptCount val="1"/>
                    <c:pt idx="0">
                      <c:v>Mongolia</c:v>
                    </c:pt>
                  </c:strCache>
                </c:strRef>
              </c:tx>
              <c:dLblPos val="t"/>
              <c:showVal val="1"/>
            </c:dLbl>
            <c:dLbl>
              <c:idx val="33"/>
              <c:layout/>
              <c:tx>
                <c:strRef>
                  <c:f>'Data G3 level in USD &amp; Coverage'!$B$86</c:f>
                  <c:strCache>
                    <c:ptCount val="1"/>
                    <c:pt idx="0">
                      <c:v>Nepal</c:v>
                    </c:pt>
                  </c:strCache>
                </c:strRef>
              </c:tx>
              <c:dLblPos val="t"/>
              <c:showVal val="1"/>
            </c:dLbl>
            <c:dLbl>
              <c:idx val="34"/>
              <c:layout/>
              <c:tx>
                <c:strRef>
                  <c:f>'Data G3 level in USD &amp; Coverage'!$B$88</c:f>
                  <c:strCache>
                    <c:ptCount val="1"/>
                    <c:pt idx="0">
                      <c:v>New Zealand</c:v>
                    </c:pt>
                  </c:strCache>
                </c:strRef>
              </c:tx>
              <c:dLblPos val="t"/>
              <c:showVal val="1"/>
            </c:dLbl>
            <c:dLbl>
              <c:idx val="35"/>
              <c:layout/>
              <c:tx>
                <c:strRef>
                  <c:f>'Data G3 level in USD &amp; Coverage'!$B$92</c:f>
                  <c:strCache>
                    <c:ptCount val="1"/>
                    <c:pt idx="0">
                      <c:v>Panama</c:v>
                    </c:pt>
                  </c:strCache>
                </c:strRef>
              </c:tx>
              <c:dLblPos val="t"/>
              <c:showVal val="1"/>
            </c:dLbl>
            <c:dLbl>
              <c:idx val="36"/>
              <c:layout/>
              <c:tx>
                <c:strRef>
                  <c:f>'Data G3 level in USD &amp; Coverage'!$B$93</c:f>
                  <c:strCache>
                    <c:ptCount val="1"/>
                    <c:pt idx="0">
                      <c:v>Paraguay</c:v>
                    </c:pt>
                  </c:strCache>
                </c:strRef>
              </c:tx>
              <c:dLblPos val="t"/>
              <c:showVal val="1"/>
            </c:dLbl>
            <c:dLbl>
              <c:idx val="37"/>
              <c:layout/>
              <c:tx>
                <c:strRef>
                  <c:f>'Data G3 level in USD &amp; Coverage'!$B$95</c:f>
                  <c:strCache>
                    <c:ptCount val="1"/>
                    <c:pt idx="0">
                      <c:v>Philippines</c:v>
                    </c:pt>
                  </c:strCache>
                </c:strRef>
              </c:tx>
              <c:dLblPos val="t"/>
              <c:showVal val="1"/>
            </c:dLbl>
            <c:dLbl>
              <c:idx val="38"/>
              <c:layout/>
              <c:tx>
                <c:strRef>
                  <c:f>'Data G3 level in USD &amp; Coverage'!$B$98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39"/>
              <c:layout/>
              <c:tx>
                <c:strRef>
                  <c:f>'Data G3 level in USD &amp; Coverage'!$B$102</c:f>
                  <c:strCache>
                    <c:ptCount val="1"/>
                    <c:pt idx="0">
                      <c:v>Seychelles</c:v>
                    </c:pt>
                  </c:strCache>
                </c:strRef>
              </c:tx>
              <c:dLblPos val="t"/>
              <c:showVal val="1"/>
            </c:dLbl>
            <c:dLbl>
              <c:idx val="40"/>
              <c:layout/>
              <c:tx>
                <c:strRef>
                  <c:f>'Data G3 level in USD &amp; Coverage'!$B$104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/>
              <c:tx>
                <c:strRef>
                  <c:f>'Data G3 level in USD &amp; Coverage'!$B$106</c:f>
                  <c:strCache>
                    <c:ptCount val="1"/>
                    <c:pt idx="0">
                      <c:v>South Africa</c:v>
                    </c:pt>
                  </c:strCache>
                </c:strRef>
              </c:tx>
              <c:dLblPos val="t"/>
              <c:showVal val="1"/>
            </c:dLbl>
            <c:dLbl>
              <c:idx val="42"/>
              <c:layout/>
              <c:tx>
                <c:strRef>
                  <c:f>'Data G3 level in USD &amp; Coverage'!$B$107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43"/>
              <c:layout/>
              <c:tx>
                <c:strRef>
                  <c:f>'Data G3 level in USD &amp; Coverage'!$B$115</c:f>
                  <c:strCache>
                    <c:ptCount val="1"/>
                    <c:pt idx="0">
                      <c:v>Thailand</c:v>
                    </c:pt>
                  </c:strCache>
                </c:strRef>
              </c:tx>
              <c:dLblPos val="t"/>
              <c:showVal val="1"/>
            </c:dLbl>
            <c:dLbl>
              <c:idx val="44"/>
              <c:layout>
                <c:manualLayout>
                  <c:x val="0"/>
                  <c:y val="5.6335880797285048E-2"/>
                </c:manualLayout>
              </c:layout>
              <c:tx>
                <c:strRef>
                  <c:f>'Data G3 level in USD &amp; Coverage'!$B$116</c:f>
                  <c:strCache>
                    <c:ptCount val="1"/>
                    <c:pt idx="0">
                      <c:v>Timor-Leste</c:v>
                    </c:pt>
                  </c:strCache>
                </c:strRef>
              </c:tx>
              <c:dLblPos val="t"/>
              <c:showVal val="1"/>
            </c:dLbl>
            <c:dLbl>
              <c:idx val="45"/>
              <c:layout/>
              <c:tx>
                <c:strRef>
                  <c:f>'Data G3 level in USD &amp; Coverage'!$B$121</c:f>
                  <c:strCache>
                    <c:ptCount val="1"/>
                    <c:pt idx="0">
                      <c:v>Ukraine</c:v>
                    </c:pt>
                  </c:strCache>
                </c:strRef>
              </c:tx>
              <c:dLblPos val="t"/>
              <c:showVal val="1"/>
            </c:dLbl>
            <c:dLbl>
              <c:idx val="46"/>
              <c:layout/>
              <c:tx>
                <c:strRef>
                  <c:f>'Data G3 level in USD &amp; Coverage'!$B$122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47"/>
              <c:layout/>
              <c:tx>
                <c:strRef>
                  <c:f>'Data G3 level in USD &amp; Coverage'!$B$123</c:f>
                  <c:strCache>
                    <c:ptCount val="1"/>
                    <c:pt idx="0">
                      <c:v>United States of America</c:v>
                    </c:pt>
                  </c:strCache>
                </c:strRef>
              </c:tx>
              <c:dLblPos val="t"/>
              <c:showVal val="1"/>
            </c:dLbl>
            <c:dLbl>
              <c:idx val="48"/>
              <c:layout/>
              <c:tx>
                <c:strRef>
                  <c:f>'Data G3 level in USD &amp; Coverage'!$B$124</c:f>
                  <c:strCache>
                    <c:ptCount val="1"/>
                    <c:pt idx="0">
                      <c:v>Uruguay</c:v>
                    </c:pt>
                  </c:strCache>
                </c:strRef>
              </c:tx>
              <c:dLblPos val="t"/>
              <c:showVal val="1"/>
            </c:dLbl>
            <c:dLbl>
              <c:idx val="49"/>
              <c:layout/>
              <c:tx>
                <c:strRef>
                  <c:f>'Data G3 level in USD &amp; Coverage'!$B$125</c:f>
                  <c:strCache>
                    <c:ptCount val="1"/>
                    <c:pt idx="0">
                      <c:v>Uzbekestan</c:v>
                    </c:pt>
                  </c:strCache>
                </c:strRef>
              </c:tx>
              <c:dLblPos val="t"/>
              <c:showVal val="1"/>
            </c:dLbl>
            <c:dLbl>
              <c:idx val="50"/>
              <c:layout/>
              <c:tx>
                <c:strRef>
                  <c:f>'Data G3 level in USD &amp; Coverage'!$B$127</c:f>
                  <c:strCache>
                    <c:ptCount val="1"/>
                    <c:pt idx="0">
                      <c:v>Viet Nam</c:v>
                    </c:pt>
                  </c:strCache>
                </c:strRef>
              </c:tx>
              <c:dLblPos val="t"/>
              <c:showVal val="1"/>
            </c:dLbl>
            <c:dLbl>
              <c:idx val="51"/>
              <c:layout/>
              <c:tx>
                <c:strRef>
                  <c:f>'Data G3 level in USD &amp; Coverage'!$B$128</c:f>
                  <c:strCache>
                    <c:ptCount val="1"/>
                    <c:pt idx="0">
                      <c:v>Viet Nam</c:v>
                    </c:pt>
                  </c:strCache>
                </c:strRef>
              </c:tx>
              <c:dLblPos val="t"/>
              <c:showVal val="1"/>
            </c:dLbl>
            <c:dLbl>
              <c:idx val="52"/>
              <c:layout/>
              <c:tx>
                <c:strRef>
                  <c:f>'Data G3 level in USD &amp; Coverage'!$B$129</c:f>
                  <c:strCache>
                    <c:ptCount val="1"/>
                    <c:pt idx="0">
                      <c:v>Zambia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lang="en-GB" sz="800"/>
                </a:pPr>
                <a:endParaRPr lang="fr-FR"/>
              </a:p>
            </c:txPr>
            <c:showVal val="1"/>
          </c:dLbls>
          <c:xVal>
            <c:numRef>
              <c:f>'Data G3 level in USD &amp; Coverage'!$C$3:$C$129</c:f>
              <c:numCache>
                <c:formatCode>0.00</c:formatCode>
                <c:ptCount val="53"/>
                <c:pt idx="0">
                  <c:v>2.5220028649904269</c:v>
                </c:pt>
                <c:pt idx="1">
                  <c:v>68.399692746795836</c:v>
                </c:pt>
                <c:pt idx="2">
                  <c:v>9.7089450324342774</c:v>
                </c:pt>
                <c:pt idx="3">
                  <c:v>32.446982286438548</c:v>
                </c:pt>
                <c:pt idx="4">
                  <c:v>2.4778331802392093</c:v>
                </c:pt>
                <c:pt idx="5">
                  <c:v>5.1105047019154295</c:v>
                </c:pt>
                <c:pt idx="6">
                  <c:v>39.1</c:v>
                </c:pt>
                <c:pt idx="7">
                  <c:v>100</c:v>
                </c:pt>
                <c:pt idx="8">
                  <c:v>100</c:v>
                </c:pt>
                <c:pt idx="9">
                  <c:v>23.945626680505882</c:v>
                </c:pt>
                <c:pt idx="10">
                  <c:v>12.364729278340851</c:v>
                </c:pt>
                <c:pt idx="11">
                  <c:v>0.52979490246149374</c:v>
                </c:pt>
                <c:pt idx="12">
                  <c:v>34</c:v>
                </c:pt>
                <c:pt idx="13">
                  <c:v>96.095065306777698</c:v>
                </c:pt>
                <c:pt idx="14">
                  <c:v>51.197644022933233</c:v>
                </c:pt>
                <c:pt idx="15">
                  <c:v>9.112354551407547</c:v>
                </c:pt>
                <c:pt idx="16">
                  <c:v>16.93084850479832</c:v>
                </c:pt>
                <c:pt idx="17">
                  <c:v>12.633127977452425</c:v>
                </c:pt>
                <c:pt idx="18">
                  <c:v>56.684322429035028</c:v>
                </c:pt>
                <c:pt idx="19">
                  <c:v>4.4051579216724059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88.265157600228576</c:v>
                </c:pt>
                <c:pt idx="24">
                  <c:v>8.7266424229988466</c:v>
                </c:pt>
                <c:pt idx="25">
                  <c:v>14.947869523254726</c:v>
                </c:pt>
                <c:pt idx="26">
                  <c:v>0.11500217124099303</c:v>
                </c:pt>
                <c:pt idx="27">
                  <c:v>28</c:v>
                </c:pt>
                <c:pt idx="28">
                  <c:v>19.5</c:v>
                </c:pt>
                <c:pt idx="29">
                  <c:v>2.985517525892579</c:v>
                </c:pt>
                <c:pt idx="30">
                  <c:v>60</c:v>
                </c:pt>
                <c:pt idx="31">
                  <c:v>38.444170729927869</c:v>
                </c:pt>
                <c:pt idx="32">
                  <c:v>1.2744169149881444</c:v>
                </c:pt>
                <c:pt idx="33">
                  <c:v>69.099199210671884</c:v>
                </c:pt>
                <c:pt idx="34">
                  <c:v>93.650535675923081</c:v>
                </c:pt>
                <c:pt idx="35">
                  <c:v>55.580647906316074</c:v>
                </c:pt>
                <c:pt idx="36">
                  <c:v>7.3196796908167299</c:v>
                </c:pt>
                <c:pt idx="37">
                  <c:v>8.3156517515077084</c:v>
                </c:pt>
                <c:pt idx="38">
                  <c:v>2.6356131570151606</c:v>
                </c:pt>
                <c:pt idx="39">
                  <c:v>100</c:v>
                </c:pt>
                <c:pt idx="40">
                  <c:v>6.1480719128294448</c:v>
                </c:pt>
                <c:pt idx="41">
                  <c:v>70.634410911389537</c:v>
                </c:pt>
                <c:pt idx="42">
                  <c:v>3.2538145810983807</c:v>
                </c:pt>
                <c:pt idx="43">
                  <c:v>81.732667719776884</c:v>
                </c:pt>
                <c:pt idx="44">
                  <c:v>100</c:v>
                </c:pt>
                <c:pt idx="45">
                  <c:v>2.8660504882377555</c:v>
                </c:pt>
                <c:pt idx="46">
                  <c:v>19.477563084802355</c:v>
                </c:pt>
                <c:pt idx="47">
                  <c:v>4.9435903770628888</c:v>
                </c:pt>
                <c:pt idx="48">
                  <c:v>19.347563869633696</c:v>
                </c:pt>
                <c:pt idx="49">
                  <c:v>0.25478071426208798</c:v>
                </c:pt>
                <c:pt idx="50">
                  <c:v>37.554000000000002</c:v>
                </c:pt>
                <c:pt idx="51">
                  <c:v>1.4876238769939658</c:v>
                </c:pt>
                <c:pt idx="52">
                  <c:v>0.76569808694586838</c:v>
                </c:pt>
              </c:numCache>
            </c:numRef>
          </c:xVal>
          <c:yVal>
            <c:numRef>
              <c:f>'Data G3 level in USD &amp; Coverage'!$O$3:$O$129</c:f>
              <c:numCache>
                <c:formatCode>0</c:formatCode>
                <c:ptCount val="53"/>
                <c:pt idx="0">
                  <c:v>96.077151765644302</c:v>
                </c:pt>
                <c:pt idx="1">
                  <c:v>1558</c:v>
                </c:pt>
                <c:pt idx="2">
                  <c:v>245</c:v>
                </c:pt>
                <c:pt idx="3">
                  <c:v>4.3361735619999999</c:v>
                </c:pt>
                <c:pt idx="4">
                  <c:v>17</c:v>
                </c:pt>
                <c:pt idx="5">
                  <c:v>1212</c:v>
                </c:pt>
                <c:pt idx="6">
                  <c:v>51.432127592822134</c:v>
                </c:pt>
                <c:pt idx="7">
                  <c:v>29.154518950437318</c:v>
                </c:pt>
                <c:pt idx="8">
                  <c:v>29.391999764864</c:v>
                </c:pt>
                <c:pt idx="9">
                  <c:v>330.9549273442197</c:v>
                </c:pt>
                <c:pt idx="10">
                  <c:v>330.9549273442197</c:v>
                </c:pt>
                <c:pt idx="11">
                  <c:v>68.296311322987464</c:v>
                </c:pt>
                <c:pt idx="12">
                  <c:v>504.36598144335937</c:v>
                </c:pt>
                <c:pt idx="13">
                  <c:v>547</c:v>
                </c:pt>
                <c:pt idx="14">
                  <c:v>157.68643216080403</c:v>
                </c:pt>
                <c:pt idx="15">
                  <c:v>33.955857385398978</c:v>
                </c:pt>
                <c:pt idx="16">
                  <c:v>140.86699744882586</c:v>
                </c:pt>
                <c:pt idx="17">
                  <c:v>429.70888214870303</c:v>
                </c:pt>
                <c:pt idx="18">
                  <c:v>35</c:v>
                </c:pt>
                <c:pt idx="19">
                  <c:v>50</c:v>
                </c:pt>
                <c:pt idx="20">
                  <c:v>169.83327383549508</c:v>
                </c:pt>
                <c:pt idx="21">
                  <c:v>804.71487313738714</c:v>
                </c:pt>
                <c:pt idx="22">
                  <c:v>981.41023098382982</c:v>
                </c:pt>
                <c:pt idx="23">
                  <c:v>49.15816640039327</c:v>
                </c:pt>
                <c:pt idx="24">
                  <c:v>436.3174804648765</c:v>
                </c:pt>
                <c:pt idx="25">
                  <c:v>3.8062612998382339</c:v>
                </c:pt>
                <c:pt idx="26">
                  <c:v>32.679738562091501</c:v>
                </c:pt>
                <c:pt idx="27">
                  <c:v>1254.7432998823265</c:v>
                </c:pt>
                <c:pt idx="28">
                  <c:v>10.776361529548089</c:v>
                </c:pt>
                <c:pt idx="29">
                  <c:v>18.028846153846153</c:v>
                </c:pt>
                <c:pt idx="30">
                  <c:v>352.14367461924462</c:v>
                </c:pt>
                <c:pt idx="31">
                  <c:v>38.08247140006398</c:v>
                </c:pt>
                <c:pt idx="32">
                  <c:v>27.802401482794743</c:v>
                </c:pt>
                <c:pt idx="33">
                  <c:v>6.7385444743935308</c:v>
                </c:pt>
                <c:pt idx="34">
                  <c:v>869.42813758325678</c:v>
                </c:pt>
                <c:pt idx="35">
                  <c:v>100</c:v>
                </c:pt>
                <c:pt idx="36">
                  <c:v>87.441860465116278</c:v>
                </c:pt>
                <c:pt idx="37">
                  <c:v>11.725748806318773</c:v>
                </c:pt>
                <c:pt idx="38">
                  <c:v>258.35283540253596</c:v>
                </c:pt>
                <c:pt idx="39">
                  <c:v>172.92312126233878</c:v>
                </c:pt>
                <c:pt idx="40">
                  <c:v>239.78950987003032</c:v>
                </c:pt>
                <c:pt idx="41">
                  <c:v>154.70915323812704</c:v>
                </c:pt>
                <c:pt idx="42">
                  <c:v>472.94170534026154</c:v>
                </c:pt>
                <c:pt idx="43">
                  <c:v>19.389238972370336</c:v>
                </c:pt>
                <c:pt idx="44">
                  <c:v>20</c:v>
                </c:pt>
                <c:pt idx="45">
                  <c:v>86.518112784762863</c:v>
                </c:pt>
                <c:pt idx="46">
                  <c:v>958.12587029837641</c:v>
                </c:pt>
                <c:pt idx="47">
                  <c:v>674</c:v>
                </c:pt>
                <c:pt idx="48">
                  <c:v>240.75757575757575</c:v>
                </c:pt>
                <c:pt idx="49">
                  <c:v>31.75</c:v>
                </c:pt>
                <c:pt idx="50">
                  <c:v>8.6538461538461533</c:v>
                </c:pt>
                <c:pt idx="51">
                  <c:v>5.7692307692307692</c:v>
                </c:pt>
                <c:pt idx="52">
                  <c:v>11.551790527531768</c:v>
                </c:pt>
              </c:numCache>
            </c:numRef>
          </c:yVal>
        </c:ser>
        <c:axId val="50065792"/>
        <c:axId val="50067712"/>
      </c:scatterChart>
      <c:valAx>
        <c:axId val="5006579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Percentage of the population above eligible age receiving non contributory pension</a:t>
                </a:r>
              </a:p>
            </c:rich>
          </c:tx>
          <c:layout/>
        </c:title>
        <c:numFmt formatCode="0.00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50067712"/>
        <c:crosses val="autoZero"/>
        <c:crossBetween val="midCat"/>
      </c:valAx>
      <c:valAx>
        <c:axId val="50067712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Level of benefit as</a:t>
                </a:r>
                <a:r>
                  <a:rPr lang="en-US" baseline="0"/>
                  <a:t> apercentage of minimum wage</a:t>
                </a:r>
                <a:endParaRPr lang="en-US"/>
              </a:p>
            </c:rich>
          </c:tx>
          <c:layout/>
        </c:title>
        <c:numFmt formatCode="#,##0.0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50065792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884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-35277" y="23519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5915" cy="608670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bajo.gov.ar/left/estadisticas/descargas/bess/boletin2trim_2011.pdf" TargetMode="External"/><Relationship Id="rId1" Type="http://schemas.openxmlformats.org/officeDocument/2006/relationships/hyperlink" Target="http://www.aps.gob.bo/NR/rdonlyres/D7BADF6E-B2D1-4E93-A233-71ACBDA08A2E/12668/EstadisticasRentaDignidad_al_20111130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AN155"/>
  <sheetViews>
    <sheetView topLeftCell="A7" workbookViewId="0">
      <pane xSplit="3" ySplit="2" topLeftCell="D9" activePane="bottomRight" state="frozen"/>
      <selection activeCell="O2" sqref="O2"/>
      <selection pane="topRight" activeCell="O2" sqref="O2"/>
      <selection pane="bottomLeft" activeCell="O2" sqref="O2"/>
      <selection pane="bottomRight" activeCell="A10" sqref="A10"/>
    </sheetView>
  </sheetViews>
  <sheetFormatPr baseColWidth="10" defaultColWidth="11" defaultRowHeight="30.75" customHeight="1" thickBottom="1"/>
  <cols>
    <col min="1" max="1" width="3.25" style="4" customWidth="1"/>
    <col min="2" max="2" width="3.5" style="30" bestFit="1" customWidth="1"/>
    <col min="3" max="3" width="16.875" style="2" customWidth="1"/>
    <col min="4" max="4" width="9.125" style="3" customWidth="1"/>
    <col min="5" max="5" width="9.125" style="4" customWidth="1"/>
    <col min="6" max="6" width="6.75" style="4" customWidth="1"/>
    <col min="7" max="7" width="24.625" style="4" customWidth="1"/>
    <col min="8" max="8" width="16.875" style="4" customWidth="1"/>
    <col min="9" max="9" width="7.75" style="4" customWidth="1"/>
    <col min="10" max="10" width="8.75" style="4" customWidth="1"/>
    <col min="11" max="11" width="9.875" style="4" customWidth="1"/>
    <col min="12" max="12" width="13.625" style="4" bestFit="1" customWidth="1"/>
    <col min="13" max="13" width="7.625" style="4" customWidth="1"/>
    <col min="14" max="14" width="7.625" style="159" customWidth="1"/>
    <col min="15" max="15" width="7.625" style="4" customWidth="1"/>
    <col min="16" max="16" width="7.625" style="159" customWidth="1"/>
    <col min="17" max="17" width="10.375" style="54" bestFit="1" customWidth="1"/>
    <col min="18" max="18" width="7.75" style="57" bestFit="1" customWidth="1"/>
    <col min="19" max="19" width="8.875" style="54" customWidth="1"/>
    <col min="20" max="21" width="7.625" style="5" customWidth="1"/>
    <col min="22" max="22" width="11.125" style="34" bestFit="1" customWidth="1"/>
    <col min="23" max="23" width="15.625" style="4" bestFit="1" customWidth="1"/>
    <col min="24" max="24" width="11.125" style="4" bestFit="1" customWidth="1"/>
    <col min="25" max="25" width="11.125" style="130" bestFit="1" customWidth="1"/>
    <col min="26" max="28" width="11.125" style="4" bestFit="1" customWidth="1"/>
    <col min="29" max="29" width="9.5" style="4" customWidth="1"/>
    <col min="30" max="30" width="9.125" style="4" customWidth="1"/>
    <col min="31" max="32" width="8.75" style="5" customWidth="1"/>
    <col min="33" max="33" width="10.125" style="6" customWidth="1"/>
    <col min="34" max="34" width="11.25" style="31" bestFit="1" customWidth="1"/>
    <col min="35" max="35" width="11.125" style="49" bestFit="1" customWidth="1"/>
    <col min="36" max="36" width="17.75" style="4" customWidth="1"/>
    <col min="37" max="37" width="30" style="4" customWidth="1"/>
    <col min="38" max="38" width="11.125" style="4" bestFit="1" customWidth="1"/>
    <col min="39" max="16384" width="11" style="4"/>
  </cols>
  <sheetData>
    <row r="1" spans="1:39" ht="18" hidden="1" customHeight="1">
      <c r="B1" s="1"/>
      <c r="N1" s="5"/>
      <c r="P1" s="5"/>
    </row>
    <row r="2" spans="1:39" ht="18" hidden="1" customHeight="1">
      <c r="B2" s="1"/>
      <c r="G2" s="7" t="s">
        <v>253</v>
      </c>
      <c r="N2" s="5"/>
      <c r="P2" s="5"/>
    </row>
    <row r="3" spans="1:39" ht="18" hidden="1" customHeight="1">
      <c r="B3" s="1"/>
      <c r="G3" s="4" t="s">
        <v>143</v>
      </c>
      <c r="N3" s="5"/>
      <c r="P3" s="5"/>
    </row>
    <row r="4" spans="1:39" ht="18" hidden="1" customHeight="1">
      <c r="B4" s="1"/>
      <c r="G4" s="8" t="s">
        <v>112</v>
      </c>
      <c r="N4" s="5"/>
      <c r="P4" s="5"/>
    </row>
    <row r="5" spans="1:39" ht="18" hidden="1" customHeight="1">
      <c r="B5" s="1"/>
      <c r="N5" s="5"/>
      <c r="P5" s="5"/>
    </row>
    <row r="6" spans="1:39" ht="11.25" hidden="1" customHeight="1">
      <c r="B6" s="1"/>
      <c r="N6" s="5"/>
      <c r="P6" s="5"/>
    </row>
    <row r="7" spans="1:39" s="12" customFormat="1" ht="12" thickBot="1">
      <c r="B7" s="9"/>
      <c r="C7" s="10"/>
      <c r="D7" s="11"/>
      <c r="I7" s="200" t="s">
        <v>144</v>
      </c>
      <c r="J7" s="200"/>
      <c r="K7" s="200"/>
      <c r="L7" s="200"/>
      <c r="M7" s="200"/>
      <c r="N7" s="201"/>
      <c r="O7" s="200"/>
      <c r="P7" s="201"/>
      <c r="Q7" s="55"/>
      <c r="R7" s="58"/>
      <c r="S7" s="55"/>
      <c r="T7" s="53"/>
      <c r="U7" s="53"/>
      <c r="V7" s="35"/>
      <c r="Y7" s="131"/>
      <c r="AE7" s="13"/>
      <c r="AF7" s="13"/>
      <c r="AG7" s="14"/>
      <c r="AH7" s="32"/>
      <c r="AI7" s="50"/>
    </row>
    <row r="8" spans="1:39" s="15" customFormat="1" ht="33.75">
      <c r="A8" s="37"/>
      <c r="B8" s="38"/>
      <c r="C8" s="39" t="s">
        <v>113</v>
      </c>
      <c r="D8" s="40" t="s">
        <v>145</v>
      </c>
      <c r="E8" s="41" t="s">
        <v>146</v>
      </c>
      <c r="F8" s="42" t="s">
        <v>114</v>
      </c>
      <c r="G8" s="42" t="s">
        <v>115</v>
      </c>
      <c r="H8" s="43" t="s">
        <v>116</v>
      </c>
      <c r="I8" s="40" t="s">
        <v>147</v>
      </c>
      <c r="J8" s="40" t="s">
        <v>276</v>
      </c>
      <c r="K8" s="40" t="s">
        <v>219</v>
      </c>
      <c r="L8" s="43" t="s">
        <v>117</v>
      </c>
      <c r="M8" s="42" t="s">
        <v>118</v>
      </c>
      <c r="N8" s="170" t="s">
        <v>119</v>
      </c>
      <c r="O8" s="42" t="s">
        <v>137</v>
      </c>
      <c r="P8" s="168" t="s">
        <v>148</v>
      </c>
      <c r="Q8" s="56" t="s">
        <v>282</v>
      </c>
      <c r="R8" s="59" t="s">
        <v>276</v>
      </c>
      <c r="S8" s="56" t="s">
        <v>283</v>
      </c>
      <c r="T8" s="44" t="s">
        <v>282</v>
      </c>
      <c r="U8" s="44" t="s">
        <v>283</v>
      </c>
      <c r="V8" s="45" t="s">
        <v>138</v>
      </c>
      <c r="W8" s="42" t="s">
        <v>139</v>
      </c>
      <c r="X8" s="42" t="s">
        <v>149</v>
      </c>
      <c r="Y8" s="132" t="s">
        <v>319</v>
      </c>
      <c r="Z8" s="42" t="s">
        <v>251</v>
      </c>
      <c r="AA8" s="42" t="s">
        <v>243</v>
      </c>
      <c r="AB8" s="42" t="s">
        <v>242</v>
      </c>
      <c r="AC8" s="42" t="s">
        <v>226</v>
      </c>
      <c r="AD8" s="42" t="s">
        <v>244</v>
      </c>
      <c r="AE8" s="46" t="s">
        <v>140</v>
      </c>
      <c r="AF8" s="46" t="s">
        <v>574</v>
      </c>
      <c r="AG8" s="47" t="s">
        <v>141</v>
      </c>
      <c r="AH8" s="48" t="s">
        <v>248</v>
      </c>
      <c r="AI8" s="51"/>
      <c r="AJ8" s="42" t="s">
        <v>142</v>
      </c>
      <c r="AK8" s="37" t="s">
        <v>220</v>
      </c>
      <c r="AL8" s="37"/>
      <c r="AM8" s="37"/>
    </row>
    <row r="9" spans="1:39" s="15" customFormat="1" ht="76.5">
      <c r="A9" s="63">
        <v>1</v>
      </c>
      <c r="B9" s="64"/>
      <c r="C9" s="65" t="s">
        <v>575</v>
      </c>
      <c r="D9" s="66">
        <v>2332107</v>
      </c>
      <c r="E9" s="67">
        <v>6.6000000000000003E-2</v>
      </c>
      <c r="F9" s="68"/>
      <c r="G9" s="69" t="s">
        <v>576</v>
      </c>
      <c r="H9" s="65"/>
      <c r="I9" s="66">
        <v>3000</v>
      </c>
      <c r="J9" s="66">
        <v>2009</v>
      </c>
      <c r="K9" s="66"/>
      <c r="L9" s="65"/>
      <c r="M9" s="70">
        <v>41.3</v>
      </c>
      <c r="N9" s="67">
        <v>0.126</v>
      </c>
      <c r="O9" s="70">
        <v>85.2</v>
      </c>
      <c r="P9" s="67"/>
      <c r="Q9" s="70"/>
      <c r="R9" s="70"/>
      <c r="S9" s="70"/>
      <c r="T9" s="84"/>
      <c r="U9" s="84"/>
      <c r="V9" s="71"/>
      <c r="W9" s="65"/>
      <c r="X9" s="72">
        <v>292664</v>
      </c>
      <c r="Y9" s="133" t="s">
        <v>577</v>
      </c>
      <c r="Z9" s="72">
        <v>3000</v>
      </c>
      <c r="AA9" s="72">
        <v>2332107</v>
      </c>
      <c r="AB9" s="72">
        <v>1594170</v>
      </c>
      <c r="AC9" s="73"/>
      <c r="AD9" s="73">
        <f>X9/AA9*100</f>
        <v>12.549338430869595</v>
      </c>
      <c r="AE9" s="74">
        <f>X9/D9</f>
        <v>0.12549338430869594</v>
      </c>
      <c r="AF9" s="74"/>
      <c r="AG9" s="74">
        <v>1.2999999999999999E-3</v>
      </c>
      <c r="AH9" s="75">
        <v>13064540000</v>
      </c>
      <c r="AI9" s="76"/>
      <c r="AJ9" s="65"/>
      <c r="AK9" s="77"/>
      <c r="AL9" s="63"/>
      <c r="AM9" s="63"/>
    </row>
    <row r="10" spans="1:39" s="12" customFormat="1" ht="89.25">
      <c r="A10" s="63">
        <v>1</v>
      </c>
      <c r="B10" s="64">
        <v>1</v>
      </c>
      <c r="C10" s="65" t="s">
        <v>150</v>
      </c>
      <c r="D10" s="66"/>
      <c r="E10" s="67"/>
      <c r="F10" s="68" t="s">
        <v>151</v>
      </c>
      <c r="G10" s="69" t="s">
        <v>278</v>
      </c>
      <c r="H10" s="65">
        <v>1993</v>
      </c>
      <c r="I10" s="66">
        <v>255</v>
      </c>
      <c r="J10" s="66">
        <v>2012</v>
      </c>
      <c r="K10" s="66">
        <f>I10*12</f>
        <v>3060</v>
      </c>
      <c r="L10" s="65" t="s">
        <v>152</v>
      </c>
      <c r="M10" s="70">
        <v>94</v>
      </c>
      <c r="N10" s="67">
        <v>8.1759944253611869E-2</v>
      </c>
      <c r="O10" s="70">
        <v>130.76923076923077</v>
      </c>
      <c r="P10" s="67">
        <v>3.4394099051633296</v>
      </c>
      <c r="Q10" s="70" t="s">
        <v>151</v>
      </c>
      <c r="R10" s="70"/>
      <c r="S10" s="70" t="s">
        <v>151</v>
      </c>
      <c r="T10" s="84" t="str">
        <f>IF(Q10="no data","no data",I10/Q10*100)</f>
        <v>no data</v>
      </c>
      <c r="U10" s="84" t="str">
        <f>IF(S10="no data","no data",I10/S10*100)</f>
        <v>no data</v>
      </c>
      <c r="V10" s="71">
        <v>77</v>
      </c>
      <c r="W10" s="65" t="s">
        <v>156</v>
      </c>
      <c r="X10" s="72">
        <v>152</v>
      </c>
      <c r="Y10" s="133" t="s">
        <v>567</v>
      </c>
      <c r="Z10" s="72"/>
      <c r="AA10" s="72"/>
      <c r="AB10" s="72"/>
      <c r="AC10" s="73" t="s">
        <v>151</v>
      </c>
      <c r="AD10" s="73" t="s">
        <v>151</v>
      </c>
      <c r="AE10" s="74" t="s">
        <v>151</v>
      </c>
      <c r="AF10" s="74"/>
      <c r="AG10" s="74" t="s">
        <v>151</v>
      </c>
      <c r="AH10" s="75"/>
      <c r="AI10" s="76"/>
      <c r="AJ10" s="65" t="s">
        <v>153</v>
      </c>
      <c r="AK10" s="77"/>
      <c r="AL10" s="63"/>
      <c r="AM10" s="63"/>
    </row>
    <row r="11" spans="1:39" s="12" customFormat="1" ht="12.75">
      <c r="A11" s="63">
        <v>1</v>
      </c>
      <c r="B11" s="78">
        <v>2</v>
      </c>
      <c r="C11" s="79" t="s">
        <v>154</v>
      </c>
      <c r="D11" s="80">
        <v>5803490</v>
      </c>
      <c r="E11" s="81">
        <v>0.14798</v>
      </c>
      <c r="F11" s="82">
        <v>3.39E-2</v>
      </c>
      <c r="G11" s="79" t="s">
        <v>256</v>
      </c>
      <c r="H11" s="79">
        <v>1994</v>
      </c>
      <c r="I11" s="80">
        <v>878.85</v>
      </c>
      <c r="J11" s="80" t="s">
        <v>277</v>
      </c>
      <c r="K11" s="80">
        <f>I11*12</f>
        <v>10546.2</v>
      </c>
      <c r="L11" s="79" t="s">
        <v>155</v>
      </c>
      <c r="M11" s="83">
        <v>96.077151765644302</v>
      </c>
      <c r="N11" s="81">
        <v>0.21566050850635865</v>
      </c>
      <c r="O11" s="83">
        <v>239.81900452488688</v>
      </c>
      <c r="P11" s="81">
        <v>6.3075683381888048</v>
      </c>
      <c r="Q11" s="83">
        <v>1440</v>
      </c>
      <c r="R11" s="83">
        <v>2009</v>
      </c>
      <c r="S11" s="83">
        <v>1906</v>
      </c>
      <c r="T11" s="84">
        <f t="shared" ref="T11:T75" si="0">IF(Q11="no data","no data",I11/Q11*100)</f>
        <v>61.03125</v>
      </c>
      <c r="U11" s="84">
        <f t="shared" ref="U11:U75" si="1">IF(S11="no data","no data",I11/S11*100)</f>
        <v>46.109653725078701</v>
      </c>
      <c r="V11" s="85">
        <v>70</v>
      </c>
      <c r="W11" s="79" t="s">
        <v>156</v>
      </c>
      <c r="X11" s="86">
        <v>75229</v>
      </c>
      <c r="Y11" s="134">
        <v>2009</v>
      </c>
      <c r="Z11" s="86"/>
      <c r="AA11" s="86">
        <v>2886710</v>
      </c>
      <c r="AB11" s="86">
        <v>4202040</v>
      </c>
      <c r="AC11" s="87">
        <f>X11/AB11*100</f>
        <v>1.7902970937925387</v>
      </c>
      <c r="AD11" s="88">
        <f>X11/AA11*100</f>
        <v>2.6060463295585632</v>
      </c>
      <c r="AE11" s="89">
        <v>1.2999999999999999E-2</v>
      </c>
      <c r="AF11" s="89"/>
      <c r="AG11" s="89">
        <v>2.3E-3</v>
      </c>
      <c r="AH11" s="90"/>
      <c r="AI11" s="91"/>
      <c r="AJ11" s="79" t="s">
        <v>157</v>
      </c>
      <c r="AK11" s="92" t="s">
        <v>252</v>
      </c>
      <c r="AL11" s="63"/>
      <c r="AM11" s="63"/>
    </row>
    <row r="12" spans="1:39" s="12" customFormat="1" ht="12.75">
      <c r="A12" s="63">
        <v>1</v>
      </c>
      <c r="B12" s="78">
        <v>3</v>
      </c>
      <c r="C12" s="79" t="s">
        <v>279</v>
      </c>
      <c r="D12" s="80">
        <v>448457.99999999994</v>
      </c>
      <c r="E12" s="81">
        <v>0.14511424003334217</v>
      </c>
      <c r="F12" s="82">
        <v>3.6499999999999998E-2</v>
      </c>
      <c r="G12" s="79" t="s">
        <v>280</v>
      </c>
      <c r="H12" s="79" t="s">
        <v>151</v>
      </c>
      <c r="I12" s="80">
        <v>10067</v>
      </c>
      <c r="J12" s="80"/>
      <c r="K12" s="80">
        <v>120804</v>
      </c>
      <c r="L12" s="79" t="s">
        <v>281</v>
      </c>
      <c r="M12" s="83">
        <v>25.647754197345293</v>
      </c>
      <c r="N12" s="81">
        <v>0.12560635787184468</v>
      </c>
      <c r="O12" s="83">
        <v>52.207419085501513</v>
      </c>
      <c r="P12" s="81">
        <v>1.3731266389611356</v>
      </c>
      <c r="Q12" s="83">
        <v>30000</v>
      </c>
      <c r="R12" s="83">
        <v>2009</v>
      </c>
      <c r="S12" s="83">
        <v>101800</v>
      </c>
      <c r="T12" s="84">
        <f t="shared" si="0"/>
        <v>33.556666666666665</v>
      </c>
      <c r="U12" s="84">
        <f t="shared" si="1"/>
        <v>9.8889980353634588</v>
      </c>
      <c r="V12" s="85">
        <v>65</v>
      </c>
      <c r="W12" s="79" t="s">
        <v>165</v>
      </c>
      <c r="X12" s="86" t="s">
        <v>151</v>
      </c>
      <c r="Y12" s="134"/>
      <c r="Z12" s="86"/>
      <c r="AA12" s="86"/>
      <c r="AB12" s="86"/>
      <c r="AC12" s="87" t="s">
        <v>151</v>
      </c>
      <c r="AD12" s="88" t="s">
        <v>151</v>
      </c>
      <c r="AE12" s="89" t="s">
        <v>151</v>
      </c>
      <c r="AF12" s="89"/>
      <c r="AG12" s="89" t="s">
        <v>151</v>
      </c>
      <c r="AH12" s="90"/>
      <c r="AI12" s="91"/>
      <c r="AJ12" s="79" t="s">
        <v>166</v>
      </c>
      <c r="AK12" s="92"/>
      <c r="AL12" s="63"/>
      <c r="AM12" s="63"/>
    </row>
    <row r="13" spans="1:39" s="12" customFormat="1" ht="25.5">
      <c r="A13" s="63">
        <v>1</v>
      </c>
      <c r="B13" s="78">
        <v>4</v>
      </c>
      <c r="C13" s="79" t="s">
        <v>158</v>
      </c>
      <c r="D13" s="80">
        <v>4227000</v>
      </c>
      <c r="E13" s="81">
        <v>0.19521657048418997</v>
      </c>
      <c r="F13" s="82" t="s">
        <v>151</v>
      </c>
      <c r="G13" s="79" t="s">
        <v>159</v>
      </c>
      <c r="H13" s="79">
        <v>1900</v>
      </c>
      <c r="I13" s="80">
        <v>1506</v>
      </c>
      <c r="J13" s="80"/>
      <c r="K13" s="80">
        <f>I13*12</f>
        <v>18072</v>
      </c>
      <c r="L13" s="79" t="s">
        <v>160</v>
      </c>
      <c r="M13" s="83">
        <v>1558</v>
      </c>
      <c r="N13" s="81">
        <v>0.27736136028482405</v>
      </c>
      <c r="O13" s="83">
        <v>958.32061068702285</v>
      </c>
      <c r="P13" s="81">
        <v>25.205144829028544</v>
      </c>
      <c r="Q13" s="83">
        <v>2356</v>
      </c>
      <c r="R13" s="83">
        <v>2009</v>
      </c>
      <c r="S13" s="83">
        <v>4312</v>
      </c>
      <c r="T13" s="84">
        <f t="shared" si="0"/>
        <v>63.921901528013578</v>
      </c>
      <c r="U13" s="84">
        <f t="shared" si="1"/>
        <v>34.92578849721707</v>
      </c>
      <c r="V13" s="85" t="s">
        <v>284</v>
      </c>
      <c r="W13" s="79" t="s">
        <v>156</v>
      </c>
      <c r="X13" s="86">
        <v>2117530</v>
      </c>
      <c r="Y13" s="135" t="s">
        <v>345</v>
      </c>
      <c r="Z13" s="86"/>
      <c r="AA13" s="86">
        <v>2994057</v>
      </c>
      <c r="AB13" s="86">
        <v>2994057</v>
      </c>
      <c r="AC13" s="87">
        <f>X13/AB13*100</f>
        <v>70.724438445894648</v>
      </c>
      <c r="AD13" s="88">
        <f>X13/AA13*100</f>
        <v>70.724438445894648</v>
      </c>
      <c r="AE13" s="89">
        <f>X13/D13</f>
        <v>0.50095339484267798</v>
      </c>
      <c r="AF13" s="89"/>
      <c r="AG13" s="89">
        <v>2.2416919038805209E-2</v>
      </c>
      <c r="AH13" s="90"/>
      <c r="AI13" s="91"/>
      <c r="AJ13" s="79" t="s">
        <v>161</v>
      </c>
      <c r="AK13" s="92" t="s">
        <v>221</v>
      </c>
      <c r="AL13" s="63"/>
      <c r="AM13" s="63"/>
    </row>
    <row r="14" spans="1:39" s="12" customFormat="1" ht="25.5">
      <c r="A14" s="63">
        <v>1</v>
      </c>
      <c r="B14" s="78">
        <v>5</v>
      </c>
      <c r="C14" s="79" t="s">
        <v>222</v>
      </c>
      <c r="D14" s="80">
        <v>1936530</v>
      </c>
      <c r="E14" s="81">
        <v>0.23100000000000001</v>
      </c>
      <c r="F14" s="82" t="s">
        <v>151</v>
      </c>
      <c r="G14" s="69" t="s">
        <v>286</v>
      </c>
      <c r="H14" s="79">
        <v>1978</v>
      </c>
      <c r="I14" s="80">
        <v>815</v>
      </c>
      <c r="J14" s="80"/>
      <c r="K14" s="80">
        <v>10458</v>
      </c>
      <c r="L14" s="79" t="s">
        <v>180</v>
      </c>
      <c r="M14" s="83">
        <v>1558</v>
      </c>
      <c r="N14" s="81">
        <v>0.27</v>
      </c>
      <c r="O14" s="83">
        <v>942</v>
      </c>
      <c r="P14" s="81">
        <v>24.78</v>
      </c>
      <c r="Q14" s="83" t="s">
        <v>151</v>
      </c>
      <c r="R14" s="83">
        <v>2009</v>
      </c>
      <c r="S14" s="83">
        <v>2990</v>
      </c>
      <c r="T14" s="84" t="str">
        <f t="shared" si="0"/>
        <v>no data</v>
      </c>
      <c r="U14" s="84">
        <f t="shared" si="1"/>
        <v>27.257525083612038</v>
      </c>
      <c r="V14" s="93" t="s">
        <v>287</v>
      </c>
      <c r="W14" s="79" t="s">
        <v>156</v>
      </c>
      <c r="X14" s="86">
        <v>103431</v>
      </c>
      <c r="Y14" s="135" t="s">
        <v>267</v>
      </c>
      <c r="Z14" s="86"/>
      <c r="AA14" s="86"/>
      <c r="AB14" s="86"/>
      <c r="AC14" s="87">
        <v>11</v>
      </c>
      <c r="AD14" s="88">
        <v>11</v>
      </c>
      <c r="AE14" s="89" t="s">
        <v>151</v>
      </c>
      <c r="AF14" s="89"/>
      <c r="AG14" s="89"/>
      <c r="AH14" s="90"/>
      <c r="AI14" s="91"/>
      <c r="AJ14" s="79"/>
      <c r="AK14" s="92"/>
      <c r="AL14" s="63"/>
      <c r="AM14" s="63"/>
    </row>
    <row r="15" spans="1:39" s="12" customFormat="1" ht="12.75">
      <c r="A15" s="63">
        <v>1</v>
      </c>
      <c r="B15" s="78">
        <v>6</v>
      </c>
      <c r="C15" s="79" t="s">
        <v>162</v>
      </c>
      <c r="D15" s="80">
        <v>775535</v>
      </c>
      <c r="E15" s="81">
        <v>8.6807840851191073E-2</v>
      </c>
      <c r="F15" s="82">
        <v>0.02</v>
      </c>
      <c r="G15" s="69" t="s">
        <v>293</v>
      </c>
      <c r="H15" s="79" t="s">
        <v>151</v>
      </c>
      <c r="I15" s="80">
        <v>60</v>
      </c>
      <c r="J15" s="80"/>
      <c r="K15" s="80">
        <f>I15*12</f>
        <v>720</v>
      </c>
      <c r="L15" s="79" t="s">
        <v>163</v>
      </c>
      <c r="M15" s="83">
        <v>76</v>
      </c>
      <c r="N15" s="81">
        <v>0.17</v>
      </c>
      <c r="O15" s="83">
        <v>122</v>
      </c>
      <c r="P15" s="81">
        <v>3.22</v>
      </c>
      <c r="Q15" s="83">
        <v>75</v>
      </c>
      <c r="R15" s="83">
        <v>2009</v>
      </c>
      <c r="S15" s="83">
        <v>298</v>
      </c>
      <c r="T15" s="84">
        <f t="shared" si="0"/>
        <v>80</v>
      </c>
      <c r="U15" s="84">
        <f t="shared" si="1"/>
        <v>20.134228187919462</v>
      </c>
      <c r="V15" s="85" t="s">
        <v>164</v>
      </c>
      <c r="W15" s="79" t="s">
        <v>165</v>
      </c>
      <c r="X15" s="86">
        <v>231000</v>
      </c>
      <c r="Y15" s="135">
        <v>2006</v>
      </c>
      <c r="Z15" s="86"/>
      <c r="AA15" s="86">
        <v>636083</v>
      </c>
      <c r="AB15" s="86">
        <v>593985</v>
      </c>
      <c r="AC15" s="87">
        <f t="shared" ref="AC15:AC20" si="2">X15/AB15*100</f>
        <v>38.889870956337283</v>
      </c>
      <c r="AD15" s="88">
        <f>X15/AA15*100</f>
        <v>36.316015362774984</v>
      </c>
      <c r="AE15" s="89">
        <f>X15/774157</f>
        <v>0.29838908645145623</v>
      </c>
      <c r="AF15" s="89"/>
      <c r="AG15" s="89" t="s">
        <v>151</v>
      </c>
      <c r="AH15" s="90"/>
      <c r="AI15" s="91"/>
      <c r="AJ15" s="79" t="s">
        <v>166</v>
      </c>
      <c r="AK15" s="92"/>
      <c r="AL15" s="63"/>
      <c r="AM15" s="63"/>
    </row>
    <row r="16" spans="1:39" s="12" customFormat="1" ht="25.5">
      <c r="A16" s="63">
        <v>1</v>
      </c>
      <c r="B16" s="78">
        <v>7</v>
      </c>
      <c r="C16" s="79" t="s">
        <v>167</v>
      </c>
      <c r="D16" s="80">
        <v>35641.000000000015</v>
      </c>
      <c r="E16" s="81">
        <v>0.10308732674641929</v>
      </c>
      <c r="F16" s="82" t="s">
        <v>151</v>
      </c>
      <c r="G16" s="69" t="s">
        <v>294</v>
      </c>
      <c r="H16" s="79" t="s">
        <v>151</v>
      </c>
      <c r="I16" s="80">
        <v>245</v>
      </c>
      <c r="J16" s="80"/>
      <c r="K16" s="80">
        <v>2942</v>
      </c>
      <c r="L16" s="79" t="s">
        <v>168</v>
      </c>
      <c r="M16" s="83">
        <v>245</v>
      </c>
      <c r="N16" s="81">
        <v>0.12</v>
      </c>
      <c r="O16" s="83">
        <v>316</v>
      </c>
      <c r="P16" s="81">
        <v>8.3000000000000007</v>
      </c>
      <c r="Q16" s="83">
        <v>693</v>
      </c>
      <c r="R16" s="83">
        <v>2009</v>
      </c>
      <c r="S16" s="83" t="s">
        <v>151</v>
      </c>
      <c r="T16" s="84">
        <f t="shared" si="0"/>
        <v>35.353535353535356</v>
      </c>
      <c r="U16" s="84" t="str">
        <f t="shared" si="1"/>
        <v>no data</v>
      </c>
      <c r="V16" s="85">
        <v>65</v>
      </c>
      <c r="W16" s="79" t="s">
        <v>165</v>
      </c>
      <c r="X16" s="86">
        <v>2275</v>
      </c>
      <c r="Y16" s="135"/>
      <c r="Z16" s="86"/>
      <c r="AA16" s="86">
        <v>23432</v>
      </c>
      <c r="AB16" s="86">
        <v>23432</v>
      </c>
      <c r="AC16" s="87">
        <f t="shared" si="2"/>
        <v>9.7089450324342774</v>
      </c>
      <c r="AD16" s="88">
        <f t="shared" ref="AD16:AD22" si="3">X16/AA16*100</f>
        <v>9.7089450324342774</v>
      </c>
      <c r="AE16" s="89">
        <f>X16/D16</f>
        <v>6.3830981173367718E-2</v>
      </c>
      <c r="AF16" s="89"/>
      <c r="AG16" s="89" t="s">
        <v>151</v>
      </c>
      <c r="AH16" s="90"/>
      <c r="AI16" s="91"/>
      <c r="AJ16" s="79" t="s">
        <v>153</v>
      </c>
      <c r="AK16" s="92"/>
      <c r="AL16" s="63"/>
      <c r="AM16" s="63"/>
    </row>
    <row r="17" spans="1:39" s="12" customFormat="1" ht="38.25">
      <c r="A17" s="63">
        <v>1</v>
      </c>
      <c r="B17" s="78">
        <v>8</v>
      </c>
      <c r="C17" s="79" t="s">
        <v>169</v>
      </c>
      <c r="D17" s="80">
        <v>9880869</v>
      </c>
      <c r="E17" s="81">
        <v>6.17798915376205E-2</v>
      </c>
      <c r="F17" s="82">
        <v>0.49640000000000001</v>
      </c>
      <c r="G17" s="79" t="s">
        <v>170</v>
      </c>
      <c r="H17" s="79">
        <v>1998</v>
      </c>
      <c r="I17" s="80">
        <v>300</v>
      </c>
      <c r="J17" s="80"/>
      <c r="K17" s="80">
        <f>I17*12</f>
        <v>3600</v>
      </c>
      <c r="L17" s="79" t="s">
        <v>171</v>
      </c>
      <c r="M17" s="83">
        <v>4.3361735619999999</v>
      </c>
      <c r="N17" s="81">
        <v>7.0000000000000007E-2</v>
      </c>
      <c r="O17" s="83">
        <v>10</v>
      </c>
      <c r="P17" s="81">
        <v>0.26</v>
      </c>
      <c r="Q17" s="83">
        <v>1700</v>
      </c>
      <c r="R17" s="83">
        <v>2009</v>
      </c>
      <c r="S17" s="83" t="s">
        <v>151</v>
      </c>
      <c r="T17" s="84">
        <f t="shared" si="0"/>
        <v>17.647058823529413</v>
      </c>
      <c r="U17" s="84" t="str">
        <f t="shared" si="1"/>
        <v>no data</v>
      </c>
      <c r="V17" s="85" t="s">
        <v>240</v>
      </c>
      <c r="W17" s="79" t="s">
        <v>156</v>
      </c>
      <c r="X17" s="86">
        <v>2250000</v>
      </c>
      <c r="Y17" s="135">
        <v>2010</v>
      </c>
      <c r="Z17" s="86">
        <f>8100000000/2250000</f>
        <v>3600</v>
      </c>
      <c r="AA17" s="86">
        <v>7951256</v>
      </c>
      <c r="AB17" s="86">
        <v>6819259.0000000009</v>
      </c>
      <c r="AC17" s="87">
        <f t="shared" si="2"/>
        <v>32.994787263542854</v>
      </c>
      <c r="AD17" s="88">
        <f t="shared" si="3"/>
        <v>28.297416156642424</v>
      </c>
      <c r="AE17" s="89">
        <v>0.23</v>
      </c>
      <c r="AF17" s="89"/>
      <c r="AG17" s="89">
        <v>1.2445516295329336E-3</v>
      </c>
      <c r="AH17" s="90">
        <v>8100000000</v>
      </c>
      <c r="AI17" s="91"/>
      <c r="AJ17" s="79" t="s">
        <v>172</v>
      </c>
      <c r="AK17" s="92" t="s">
        <v>241</v>
      </c>
      <c r="AL17" s="63">
        <v>2010</v>
      </c>
      <c r="AM17" s="63" t="s">
        <v>245</v>
      </c>
    </row>
    <row r="18" spans="1:39" s="12" customFormat="1" ht="38.25" hidden="1">
      <c r="A18" s="63"/>
      <c r="B18" s="78">
        <v>9</v>
      </c>
      <c r="C18" s="79" t="s">
        <v>169</v>
      </c>
      <c r="D18" s="80">
        <v>9880869</v>
      </c>
      <c r="E18" s="81">
        <v>6.17798915376205E-2</v>
      </c>
      <c r="F18" s="82">
        <v>0.49640000000000001</v>
      </c>
      <c r="G18" s="79" t="s">
        <v>259</v>
      </c>
      <c r="H18" s="79">
        <v>1998</v>
      </c>
      <c r="I18" s="80">
        <f>K18/12</f>
        <v>300</v>
      </c>
      <c r="J18" s="80"/>
      <c r="K18" s="80">
        <v>3600</v>
      </c>
      <c r="L18" s="79" t="s">
        <v>171</v>
      </c>
      <c r="M18" s="83">
        <v>4.3361735619999999</v>
      </c>
      <c r="N18" s="82">
        <f>(M18*12)/674.9316</f>
        <v>7.7095342319132787E-2</v>
      </c>
      <c r="O18" s="83">
        <v>10.659396839999999</v>
      </c>
      <c r="P18" s="82">
        <v>0.29360761177733535</v>
      </c>
      <c r="Q18" s="83">
        <v>1700</v>
      </c>
      <c r="R18" s="83">
        <v>2009</v>
      </c>
      <c r="S18" s="83" t="s">
        <v>151</v>
      </c>
      <c r="T18" s="84">
        <f t="shared" si="0"/>
        <v>17.647058823529413</v>
      </c>
      <c r="U18" s="84" t="str">
        <f t="shared" si="1"/>
        <v>no data</v>
      </c>
      <c r="V18" s="85" t="s">
        <v>240</v>
      </c>
      <c r="W18" s="79" t="s">
        <v>156</v>
      </c>
      <c r="X18" s="86">
        <v>920000</v>
      </c>
      <c r="Y18" s="135">
        <v>2010</v>
      </c>
      <c r="Z18" s="86">
        <f>3312000000/920000</f>
        <v>3600</v>
      </c>
      <c r="AA18" s="86">
        <v>7951256</v>
      </c>
      <c r="AB18" s="86">
        <v>6819259.0000000009</v>
      </c>
      <c r="AC18" s="87">
        <f t="shared" si="2"/>
        <v>13.4912019033153</v>
      </c>
      <c r="AD18" s="88">
        <f t="shared" si="3"/>
        <v>11.570499050716013</v>
      </c>
      <c r="AE18" s="89">
        <v>0.23</v>
      </c>
      <c r="AF18" s="89"/>
      <c r="AG18" s="89" t="s">
        <v>151</v>
      </c>
      <c r="AH18" s="90">
        <v>3312000000</v>
      </c>
      <c r="AI18" s="91"/>
      <c r="AJ18" s="79"/>
      <c r="AK18" s="92"/>
      <c r="AL18" s="63"/>
      <c r="AM18" s="63"/>
    </row>
    <row r="19" spans="1:39" s="12" customFormat="1" ht="25.5">
      <c r="A19" s="63">
        <v>1</v>
      </c>
      <c r="B19" s="78">
        <v>10</v>
      </c>
      <c r="C19" s="79" t="s">
        <v>173</v>
      </c>
      <c r="D19" s="80">
        <v>39501</v>
      </c>
      <c r="E19" s="81">
        <v>0.15396878605506878</v>
      </c>
      <c r="F19" s="82" t="s">
        <v>151</v>
      </c>
      <c r="G19" s="79" t="s">
        <v>174</v>
      </c>
      <c r="H19" s="79">
        <v>1937</v>
      </c>
      <c r="I19" s="80">
        <v>598</v>
      </c>
      <c r="J19" s="80"/>
      <c r="K19" s="80">
        <f>I19*12</f>
        <v>7176</v>
      </c>
      <c r="L19" s="79" t="s">
        <v>175</v>
      </c>
      <c r="M19" s="83">
        <v>299</v>
      </c>
      <c r="N19" s="81">
        <v>0.22</v>
      </c>
      <c r="O19" s="83">
        <v>421</v>
      </c>
      <c r="P19" s="81">
        <v>11.08</v>
      </c>
      <c r="Q19" s="83" t="s">
        <v>151</v>
      </c>
      <c r="R19" s="83">
        <v>2009</v>
      </c>
      <c r="S19" s="83" t="s">
        <v>151</v>
      </c>
      <c r="T19" s="84" t="str">
        <f t="shared" si="0"/>
        <v>no data</v>
      </c>
      <c r="U19" s="84" t="str">
        <f t="shared" si="1"/>
        <v>no data</v>
      </c>
      <c r="V19" s="85" t="s">
        <v>176</v>
      </c>
      <c r="W19" s="79" t="s">
        <v>165</v>
      </c>
      <c r="X19" s="86">
        <v>10403</v>
      </c>
      <c r="Y19" s="135">
        <v>2007</v>
      </c>
      <c r="Z19" s="86">
        <v>524</v>
      </c>
      <c r="AA19" s="86">
        <v>30809</v>
      </c>
      <c r="AB19" s="86">
        <v>30809</v>
      </c>
      <c r="AC19" s="87">
        <f t="shared" si="2"/>
        <v>33.766107306306594</v>
      </c>
      <c r="AD19" s="88">
        <f t="shared" si="3"/>
        <v>33.766107306306594</v>
      </c>
      <c r="AE19" s="89">
        <f>X19/41845</f>
        <v>0.24860795794001672</v>
      </c>
      <c r="AF19" s="89"/>
      <c r="AG19" s="89">
        <v>6.7000000000000002E-3</v>
      </c>
      <c r="AH19" s="90">
        <v>27452082</v>
      </c>
      <c r="AI19" s="91"/>
      <c r="AJ19" s="79" t="s">
        <v>153</v>
      </c>
      <c r="AK19" s="92" t="s">
        <v>260</v>
      </c>
      <c r="AL19" s="63"/>
      <c r="AM19" s="63"/>
    </row>
    <row r="20" spans="1:39" s="12" customFormat="1" ht="25.5">
      <c r="A20" s="63">
        <v>1</v>
      </c>
      <c r="B20" s="78">
        <v>11</v>
      </c>
      <c r="C20" s="79" t="s">
        <v>177</v>
      </c>
      <c r="D20" s="80">
        <v>1752814</v>
      </c>
      <c r="E20" s="81">
        <v>0.18281445232239674</v>
      </c>
      <c r="F20" s="82">
        <v>0.02</v>
      </c>
      <c r="G20" s="79" t="s">
        <v>261</v>
      </c>
      <c r="H20" s="79" t="s">
        <v>151</v>
      </c>
      <c r="I20" s="80">
        <f>266230/2</f>
        <v>133115</v>
      </c>
      <c r="J20" s="80"/>
      <c r="K20" s="80">
        <f>I20*12</f>
        <v>1597380</v>
      </c>
      <c r="L20" s="79" t="s">
        <v>262</v>
      </c>
      <c r="M20" s="83">
        <v>17</v>
      </c>
      <c r="N20" s="81">
        <v>0.09</v>
      </c>
      <c r="O20" s="83">
        <v>107</v>
      </c>
      <c r="P20" s="81">
        <v>2.8</v>
      </c>
      <c r="Q20" s="83">
        <v>229700</v>
      </c>
      <c r="R20" s="83">
        <v>2009</v>
      </c>
      <c r="S20" s="83">
        <v>998282</v>
      </c>
      <c r="T20" s="84">
        <f t="shared" si="0"/>
        <v>57.951676099259906</v>
      </c>
      <c r="U20" s="84">
        <f t="shared" si="1"/>
        <v>13.334408513826753</v>
      </c>
      <c r="V20" s="93" t="s">
        <v>297</v>
      </c>
      <c r="W20" s="79" t="s">
        <v>165</v>
      </c>
      <c r="X20" s="86">
        <v>51900</v>
      </c>
      <c r="Y20" s="135">
        <v>2009</v>
      </c>
      <c r="Z20" s="86"/>
      <c r="AA20" s="86">
        <v>2094571.9999999995</v>
      </c>
      <c r="AB20" s="86">
        <v>1322743</v>
      </c>
      <c r="AC20" s="87">
        <f t="shared" si="2"/>
        <v>3.9236646876982149</v>
      </c>
      <c r="AD20" s="88">
        <f t="shared" si="3"/>
        <v>2.4778331802392093</v>
      </c>
      <c r="AE20" s="89">
        <f>X20/1763496</f>
        <v>2.9430177329577159E-2</v>
      </c>
      <c r="AF20" s="89"/>
      <c r="AG20" s="89" t="s">
        <v>151</v>
      </c>
      <c r="AH20" s="90"/>
      <c r="AI20" s="91"/>
      <c r="AJ20" s="79" t="s">
        <v>157</v>
      </c>
      <c r="AK20" s="92" t="s">
        <v>263</v>
      </c>
      <c r="AL20" s="63"/>
      <c r="AM20" s="63"/>
    </row>
    <row r="21" spans="1:39" s="12" customFormat="1" ht="25.5">
      <c r="A21" s="63">
        <v>1</v>
      </c>
      <c r="B21" s="78">
        <v>12</v>
      </c>
      <c r="C21" s="79" t="s">
        <v>179</v>
      </c>
      <c r="D21" s="80">
        <v>2499504</v>
      </c>
      <c r="E21" s="81">
        <v>0.23365117445166156</v>
      </c>
      <c r="F21" s="82" t="s">
        <v>151</v>
      </c>
      <c r="G21" s="69" t="s">
        <v>295</v>
      </c>
      <c r="H21" s="69" t="s">
        <v>296</v>
      </c>
      <c r="I21" s="80">
        <v>916</v>
      </c>
      <c r="J21" s="80"/>
      <c r="K21" s="80">
        <v>10996</v>
      </c>
      <c r="L21" s="79" t="s">
        <v>180</v>
      </c>
      <c r="M21" s="83">
        <v>1212</v>
      </c>
      <c r="N21" s="81">
        <v>0.33</v>
      </c>
      <c r="O21" s="83">
        <v>1026</v>
      </c>
      <c r="P21" s="81">
        <v>26.99</v>
      </c>
      <c r="Q21" s="83">
        <v>1388</v>
      </c>
      <c r="R21" s="83" t="s">
        <v>285</v>
      </c>
      <c r="S21" s="83">
        <v>2687</v>
      </c>
      <c r="T21" s="84">
        <f t="shared" si="0"/>
        <v>65.994236311239192</v>
      </c>
      <c r="U21" s="84">
        <f t="shared" si="1"/>
        <v>34.090063267584668</v>
      </c>
      <c r="V21" s="85">
        <v>65</v>
      </c>
      <c r="W21" s="79" t="s">
        <v>156</v>
      </c>
      <c r="X21" s="86">
        <v>93620</v>
      </c>
      <c r="Y21" s="135" t="s">
        <v>264</v>
      </c>
      <c r="Z21" s="86"/>
      <c r="AA21" s="86">
        <v>1831913</v>
      </c>
      <c r="AB21" s="86">
        <v>1831913</v>
      </c>
      <c r="AC21" s="87">
        <f>X21/AA21*100</f>
        <v>5.1105047019154295</v>
      </c>
      <c r="AD21" s="88">
        <f t="shared" si="3"/>
        <v>5.1105047019154295</v>
      </c>
      <c r="AE21" s="89">
        <f>X21/D21</f>
        <v>3.7455431157541658E-2</v>
      </c>
      <c r="AF21" s="89"/>
      <c r="AG21" s="89">
        <f>AH21/340397600000</f>
        <v>1.1977170226817109E-3</v>
      </c>
      <c r="AH21" s="90">
        <v>407700000</v>
      </c>
      <c r="AI21" s="91">
        <v>2009</v>
      </c>
      <c r="AJ21" s="79" t="s">
        <v>161</v>
      </c>
      <c r="AK21" s="92" t="s">
        <v>265</v>
      </c>
      <c r="AL21" s="63"/>
      <c r="AM21" s="63"/>
    </row>
    <row r="22" spans="1:39" s="12" customFormat="1" ht="25.5">
      <c r="A22" s="63">
        <v>1</v>
      </c>
      <c r="B22" s="78">
        <v>13</v>
      </c>
      <c r="C22" s="79" t="s">
        <v>181</v>
      </c>
      <c r="D22" s="80">
        <v>18307</v>
      </c>
      <c r="E22" s="81">
        <v>5.8502275283771346E-2</v>
      </c>
      <c r="F22" s="82">
        <v>0.1336</v>
      </c>
      <c r="G22" s="69" t="s">
        <v>300</v>
      </c>
      <c r="H22" s="79">
        <v>2003</v>
      </c>
      <c r="I22" s="80">
        <v>100</v>
      </c>
      <c r="J22" s="80"/>
      <c r="K22" s="80">
        <f>I22*12</f>
        <v>1200</v>
      </c>
      <c r="L22" s="79" t="s">
        <v>182</v>
      </c>
      <c r="M22" s="83">
        <v>51.432127592822134</v>
      </c>
      <c r="N22" s="81">
        <v>0.14604612964368882</v>
      </c>
      <c r="O22" s="83">
        <v>94.161958568738228</v>
      </c>
      <c r="P22" s="81">
        <v>2.4765884993421561</v>
      </c>
      <c r="Q22" s="83">
        <v>585</v>
      </c>
      <c r="R22" s="83"/>
      <c r="S22" s="83" t="s">
        <v>151</v>
      </c>
      <c r="T22" s="84">
        <f t="shared" si="0"/>
        <v>17.094017094017094</v>
      </c>
      <c r="U22" s="84" t="str">
        <f t="shared" si="1"/>
        <v>no data</v>
      </c>
      <c r="V22" s="93" t="s">
        <v>298</v>
      </c>
      <c r="W22" s="79" t="s">
        <v>156</v>
      </c>
      <c r="X22" s="86">
        <v>4297</v>
      </c>
      <c r="Y22" s="135">
        <v>2010</v>
      </c>
      <c r="Z22" s="86"/>
      <c r="AA22" s="86">
        <f>X22/0.391</f>
        <v>10989.769820971867</v>
      </c>
      <c r="AB22" s="86">
        <v>12327.000000000002</v>
      </c>
      <c r="AC22" s="87">
        <f>X22/AB22*100</f>
        <v>34.858440820962109</v>
      </c>
      <c r="AD22" s="88">
        <f t="shared" si="3"/>
        <v>39.1</v>
      </c>
      <c r="AE22" s="89">
        <v>0.18</v>
      </c>
      <c r="AF22" s="89"/>
      <c r="AG22" s="89">
        <f>AH22/2717400000</f>
        <v>1.8157061897401928E-3</v>
      </c>
      <c r="AH22" s="90">
        <v>4934000</v>
      </c>
      <c r="AI22" s="91" t="s">
        <v>266</v>
      </c>
      <c r="AJ22" s="79" t="s">
        <v>166</v>
      </c>
      <c r="AK22" s="92" t="s">
        <v>260</v>
      </c>
      <c r="AL22" s="63"/>
      <c r="AM22" s="63"/>
    </row>
    <row r="23" spans="1:39" s="12" customFormat="1" ht="12.75">
      <c r="A23" s="63">
        <v>1</v>
      </c>
      <c r="B23" s="78">
        <v>14</v>
      </c>
      <c r="C23" s="79" t="s">
        <v>183</v>
      </c>
      <c r="D23" s="80" t="s">
        <v>151</v>
      </c>
      <c r="E23" s="81" t="s">
        <v>151</v>
      </c>
      <c r="F23" s="82" t="s">
        <v>151</v>
      </c>
      <c r="G23" s="69" t="s">
        <v>299</v>
      </c>
      <c r="H23" s="79" t="s">
        <v>151</v>
      </c>
      <c r="I23" s="80">
        <v>451</v>
      </c>
      <c r="J23" s="80"/>
      <c r="K23" s="80">
        <v>5413</v>
      </c>
      <c r="L23" s="79" t="s">
        <v>184</v>
      </c>
      <c r="M23" s="83">
        <v>451</v>
      </c>
      <c r="N23" s="81" t="s">
        <v>151</v>
      </c>
      <c r="O23" s="83" t="s">
        <v>151</v>
      </c>
      <c r="P23" s="81" t="s">
        <v>151</v>
      </c>
      <c r="Q23" s="83" t="s">
        <v>151</v>
      </c>
      <c r="R23" s="83"/>
      <c r="S23" s="83" t="s">
        <v>151</v>
      </c>
      <c r="T23" s="84" t="str">
        <f t="shared" si="0"/>
        <v>no data</v>
      </c>
      <c r="U23" s="84" t="str">
        <f t="shared" si="1"/>
        <v>no data</v>
      </c>
      <c r="V23" s="85">
        <v>65</v>
      </c>
      <c r="W23" s="79" t="s">
        <v>165</v>
      </c>
      <c r="X23" s="86" t="s">
        <v>151</v>
      </c>
      <c r="Y23" s="135"/>
      <c r="Z23" s="86"/>
      <c r="AA23" s="86"/>
      <c r="AB23" s="86"/>
      <c r="AC23" s="87" t="s">
        <v>151</v>
      </c>
      <c r="AD23" s="87" t="s">
        <v>151</v>
      </c>
      <c r="AE23" s="89" t="s">
        <v>151</v>
      </c>
      <c r="AF23" s="89"/>
      <c r="AG23" s="89" t="s">
        <v>151</v>
      </c>
      <c r="AH23" s="94"/>
      <c r="AI23" s="91"/>
      <c r="AJ23" s="79" t="s">
        <v>153</v>
      </c>
      <c r="AK23" s="92"/>
      <c r="AL23" s="63"/>
      <c r="AM23" s="63"/>
    </row>
    <row r="24" spans="1:39" s="12" customFormat="1" ht="38.25">
      <c r="A24" s="63">
        <v>1</v>
      </c>
      <c r="B24" s="78">
        <v>15</v>
      </c>
      <c r="C24" s="79" t="s">
        <v>185</v>
      </c>
      <c r="D24" s="80">
        <v>720986</v>
      </c>
      <c r="E24" s="81">
        <v>7.1876988867922445E-2</v>
      </c>
      <c r="F24" s="82">
        <v>0.1186</v>
      </c>
      <c r="G24" s="79" t="s">
        <v>186</v>
      </c>
      <c r="H24" s="69" t="s">
        <v>301</v>
      </c>
      <c r="I24" s="80">
        <v>200</v>
      </c>
      <c r="J24" s="80"/>
      <c r="K24" s="80">
        <f t="shared" ref="K24:K29" si="4">I24*12</f>
        <v>2400</v>
      </c>
      <c r="L24" s="79" t="s">
        <v>187</v>
      </c>
      <c r="M24" s="83">
        <v>29.154518950437318</v>
      </c>
      <c r="N24" s="81">
        <v>0.15015132438160333</v>
      </c>
      <c r="O24" s="83">
        <v>59.934072520227744</v>
      </c>
      <c r="P24" s="81">
        <v>1.5763482087511953</v>
      </c>
      <c r="Q24" s="83">
        <v>647</v>
      </c>
      <c r="R24" s="83">
        <v>2009</v>
      </c>
      <c r="S24" s="83" t="s">
        <v>151</v>
      </c>
      <c r="T24" s="84">
        <f t="shared" si="0"/>
        <v>30.911901081916536</v>
      </c>
      <c r="U24" s="84" t="str">
        <f t="shared" si="1"/>
        <v>no data</v>
      </c>
      <c r="V24" s="85">
        <v>60</v>
      </c>
      <c r="W24" s="79" t="s">
        <v>188</v>
      </c>
      <c r="X24" s="86">
        <v>896470</v>
      </c>
      <c r="Y24" s="135">
        <v>2011</v>
      </c>
      <c r="Z24" s="86"/>
      <c r="AA24" s="86">
        <v>701443.99999999988</v>
      </c>
      <c r="AB24" s="86">
        <v>464696</v>
      </c>
      <c r="AC24" s="87">
        <v>100</v>
      </c>
      <c r="AD24" s="88">
        <v>100</v>
      </c>
      <c r="AE24" s="89">
        <v>1</v>
      </c>
      <c r="AF24" s="95"/>
      <c r="AG24" s="95">
        <v>1.0571905221583251E-2</v>
      </c>
      <c r="AH24" s="90">
        <v>1667781650</v>
      </c>
      <c r="AI24" s="91">
        <v>2009</v>
      </c>
      <c r="AJ24" s="79" t="s">
        <v>166</v>
      </c>
      <c r="AK24" s="92" t="s">
        <v>246</v>
      </c>
      <c r="AL24" s="63"/>
      <c r="AM24" s="63"/>
    </row>
    <row r="25" spans="1:39" s="12" customFormat="1" ht="12.75">
      <c r="A25" s="63">
        <v>1</v>
      </c>
      <c r="B25" s="78">
        <v>16</v>
      </c>
      <c r="C25" s="79" t="s">
        <v>189</v>
      </c>
      <c r="D25" s="80">
        <v>117057.00000000001</v>
      </c>
      <c r="E25" s="81">
        <v>5.919237204871234E-2</v>
      </c>
      <c r="F25" s="82">
        <v>0.31230000000000002</v>
      </c>
      <c r="G25" s="79" t="s">
        <v>127</v>
      </c>
      <c r="H25" s="79">
        <v>1996</v>
      </c>
      <c r="I25" s="80">
        <v>220</v>
      </c>
      <c r="J25" s="80"/>
      <c r="K25" s="80">
        <f t="shared" si="4"/>
        <v>2640</v>
      </c>
      <c r="L25" s="79" t="s">
        <v>190</v>
      </c>
      <c r="M25" s="83">
        <v>29.391999764864</v>
      </c>
      <c r="N25" s="81">
        <v>4.0830308449317308E-2</v>
      </c>
      <c r="O25" s="83">
        <v>54.536440257808628</v>
      </c>
      <c r="P25" s="81">
        <v>1.4343830862327749</v>
      </c>
      <c r="Q25" s="83">
        <v>659</v>
      </c>
      <c r="R25" s="83">
        <v>2009</v>
      </c>
      <c r="S25" s="83">
        <v>4461</v>
      </c>
      <c r="T25" s="84">
        <f t="shared" si="0"/>
        <v>33.383915022761762</v>
      </c>
      <c r="U25" s="84">
        <f t="shared" si="1"/>
        <v>4.9316296794440708</v>
      </c>
      <c r="V25" s="85">
        <v>65</v>
      </c>
      <c r="W25" s="79" t="s">
        <v>188</v>
      </c>
      <c r="X25" s="86">
        <v>91446</v>
      </c>
      <c r="Y25" s="135">
        <v>2011</v>
      </c>
      <c r="Z25" s="86"/>
      <c r="AA25" s="86">
        <v>80070</v>
      </c>
      <c r="AB25" s="86">
        <v>8070</v>
      </c>
      <c r="AC25" s="87">
        <v>100</v>
      </c>
      <c r="AD25" s="88">
        <v>100</v>
      </c>
      <c r="AE25" s="89">
        <v>1</v>
      </c>
      <c r="AF25" s="95"/>
      <c r="AG25" s="95">
        <v>3.338815463570254E-3</v>
      </c>
      <c r="AH25" s="96"/>
      <c r="AI25" s="91"/>
      <c r="AJ25" s="79" t="s">
        <v>157</v>
      </c>
      <c r="AK25" s="92"/>
      <c r="AL25" s="63"/>
      <c r="AM25" s="63"/>
    </row>
    <row r="26" spans="1:39" s="12" customFormat="1" ht="89.25">
      <c r="A26" s="63">
        <v>1</v>
      </c>
      <c r="B26" s="78">
        <v>17</v>
      </c>
      <c r="C26" s="79" t="s">
        <v>572</v>
      </c>
      <c r="D26" s="80">
        <v>19840393.999999996</v>
      </c>
      <c r="E26" s="81">
        <v>0.1015252473641161</v>
      </c>
      <c r="F26" s="82">
        <v>5.21E-2</v>
      </c>
      <c r="G26" s="79" t="s">
        <v>192</v>
      </c>
      <c r="H26" s="69" t="s">
        <v>302</v>
      </c>
      <c r="I26" s="80">
        <v>622</v>
      </c>
      <c r="J26" s="80"/>
      <c r="K26" s="80">
        <f t="shared" si="4"/>
        <v>7464</v>
      </c>
      <c r="L26" s="79" t="s">
        <v>193</v>
      </c>
      <c r="M26" s="83">
        <v>330.9549273442197</v>
      </c>
      <c r="N26" s="81">
        <v>0.32587175496958792</v>
      </c>
      <c r="O26" s="83">
        <v>330.85106382978728</v>
      </c>
      <c r="P26" s="81">
        <v>8.7018361993587874</v>
      </c>
      <c r="Q26" s="83">
        <v>465</v>
      </c>
      <c r="R26" s="83">
        <v>2009</v>
      </c>
      <c r="S26" s="83">
        <v>1330</v>
      </c>
      <c r="T26" s="84">
        <f t="shared" si="0"/>
        <v>133.76344086021504</v>
      </c>
      <c r="U26" s="84">
        <f t="shared" si="1"/>
        <v>46.766917293233085</v>
      </c>
      <c r="V26" s="85" t="s">
        <v>297</v>
      </c>
      <c r="W26" s="79" t="s">
        <v>303</v>
      </c>
      <c r="X26" s="86">
        <v>5851554</v>
      </c>
      <c r="Y26" s="135">
        <v>2010</v>
      </c>
      <c r="Z26" s="86"/>
      <c r="AA26" s="86">
        <v>24436838</v>
      </c>
      <c r="AB26" s="86">
        <v>13652415</v>
      </c>
      <c r="AC26" s="87"/>
      <c r="AD26" s="88">
        <f>X26/AA26*100</f>
        <v>23.945626680505882</v>
      </c>
      <c r="AE26" s="89" t="s">
        <v>151</v>
      </c>
      <c r="AF26" s="89"/>
      <c r="AG26" s="89">
        <v>1.4999999999999999E-2</v>
      </c>
      <c r="AH26" s="90"/>
      <c r="AI26" s="91" t="s">
        <v>255</v>
      </c>
      <c r="AJ26" s="79" t="s">
        <v>157</v>
      </c>
      <c r="AK26" s="92"/>
      <c r="AL26" s="63"/>
      <c r="AM26" s="63"/>
    </row>
    <row r="27" spans="1:39" s="12" customFormat="1" ht="38.25">
      <c r="A27" s="63">
        <v>1</v>
      </c>
      <c r="B27" s="78">
        <v>18</v>
      </c>
      <c r="C27" s="79" t="s">
        <v>573</v>
      </c>
      <c r="D27" s="80" t="s">
        <v>194</v>
      </c>
      <c r="E27" s="81" t="s">
        <v>194</v>
      </c>
      <c r="F27" s="82">
        <v>5.21E-2</v>
      </c>
      <c r="G27" s="79" t="s">
        <v>195</v>
      </c>
      <c r="H27" s="79" t="s">
        <v>196</v>
      </c>
      <c r="I27" s="80">
        <v>622</v>
      </c>
      <c r="J27" s="80"/>
      <c r="K27" s="80">
        <f t="shared" si="4"/>
        <v>7464</v>
      </c>
      <c r="L27" s="79" t="s">
        <v>193</v>
      </c>
      <c r="M27" s="83">
        <v>330.9549273442197</v>
      </c>
      <c r="N27" s="81">
        <v>0.32587175496958792</v>
      </c>
      <c r="O27" s="83">
        <v>330.85106382978728</v>
      </c>
      <c r="P27" s="81">
        <v>8.7018361993587874</v>
      </c>
      <c r="Q27" s="83">
        <v>465</v>
      </c>
      <c r="R27" s="83">
        <v>2009</v>
      </c>
      <c r="S27" s="83">
        <v>1330</v>
      </c>
      <c r="T27" s="84">
        <f t="shared" si="0"/>
        <v>133.76344086021504</v>
      </c>
      <c r="U27" s="84">
        <f t="shared" si="1"/>
        <v>46.766917293233085</v>
      </c>
      <c r="V27" s="85">
        <v>65</v>
      </c>
      <c r="W27" s="79" t="s">
        <v>304</v>
      </c>
      <c r="X27" s="86">
        <v>1700000</v>
      </c>
      <c r="Y27" s="135">
        <v>2010</v>
      </c>
      <c r="Z27" s="86"/>
      <c r="AA27" s="86">
        <v>13206387</v>
      </c>
      <c r="AB27" s="86">
        <v>13206387</v>
      </c>
      <c r="AC27" s="87">
        <v>12.364729278340851</v>
      </c>
      <c r="AD27" s="88">
        <v>12.364729278340851</v>
      </c>
      <c r="AE27" s="89">
        <v>8.4683373803734169E-2</v>
      </c>
      <c r="AF27" s="89"/>
      <c r="AG27" s="89">
        <v>3.0000000000000001E-3</v>
      </c>
      <c r="AH27" s="90">
        <v>9682778924</v>
      </c>
      <c r="AI27" s="91">
        <v>2010</v>
      </c>
      <c r="AJ27" s="79" t="s">
        <v>157</v>
      </c>
      <c r="AK27" s="92" t="s">
        <v>260</v>
      </c>
      <c r="AL27" s="63"/>
      <c r="AM27" s="63"/>
    </row>
    <row r="28" spans="1:39" s="12" customFormat="1" ht="51">
      <c r="A28" s="63">
        <v>1</v>
      </c>
      <c r="B28" s="78">
        <v>19</v>
      </c>
      <c r="C28" s="79" t="s">
        <v>197</v>
      </c>
      <c r="D28" s="80">
        <v>23695.000000000004</v>
      </c>
      <c r="E28" s="81">
        <v>5.8212236976255723E-2</v>
      </c>
      <c r="F28" s="82" t="s">
        <v>151</v>
      </c>
      <c r="G28" s="79" t="s">
        <v>198</v>
      </c>
      <c r="H28" s="79">
        <v>1984</v>
      </c>
      <c r="I28" s="80">
        <v>250</v>
      </c>
      <c r="J28" s="80"/>
      <c r="K28" s="80">
        <f t="shared" si="4"/>
        <v>3000</v>
      </c>
      <c r="L28" s="79" t="s">
        <v>199</v>
      </c>
      <c r="M28" s="83">
        <v>201</v>
      </c>
      <c r="N28" s="81">
        <v>7.0000000000000007E-2</v>
      </c>
      <c r="O28" s="83">
        <v>268</v>
      </c>
      <c r="P28" s="81">
        <v>7.06</v>
      </c>
      <c r="Q28" s="83" t="s">
        <v>151</v>
      </c>
      <c r="R28" s="83"/>
      <c r="S28" s="83" t="s">
        <v>151</v>
      </c>
      <c r="T28" s="84" t="str">
        <f t="shared" si="0"/>
        <v>no data</v>
      </c>
      <c r="U28" s="84" t="str">
        <f t="shared" si="1"/>
        <v>no data</v>
      </c>
      <c r="V28" s="85">
        <v>60</v>
      </c>
      <c r="W28" s="79" t="s">
        <v>188</v>
      </c>
      <c r="X28" s="86">
        <v>21888</v>
      </c>
      <c r="Y28" s="135" t="s">
        <v>254</v>
      </c>
      <c r="Z28" s="86"/>
      <c r="AA28" s="86">
        <f>D28</f>
        <v>23695.000000000004</v>
      </c>
      <c r="AB28" s="86"/>
      <c r="AC28" s="87" t="s">
        <v>151</v>
      </c>
      <c r="AD28" s="88">
        <f>X28/AA28*100</f>
        <v>92.373918548216906</v>
      </c>
      <c r="AE28" s="89">
        <v>0.87</v>
      </c>
      <c r="AF28" s="89"/>
      <c r="AG28" s="89">
        <v>4.0000000000000001E-3</v>
      </c>
      <c r="AH28" s="90"/>
      <c r="AI28" s="91"/>
      <c r="AJ28" s="79" t="s">
        <v>200</v>
      </c>
      <c r="AK28" s="92"/>
      <c r="AL28" s="63"/>
      <c r="AM28" s="63"/>
    </row>
    <row r="29" spans="1:39" s="12" customFormat="1" ht="25.5">
      <c r="A29" s="63">
        <v>1</v>
      </c>
      <c r="B29" s="78">
        <v>20</v>
      </c>
      <c r="C29" s="79" t="s">
        <v>201</v>
      </c>
      <c r="D29" s="80">
        <v>1838115.9999999998</v>
      </c>
      <c r="E29" s="81">
        <v>0.24517098329768036</v>
      </c>
      <c r="F29" s="82">
        <v>0.02</v>
      </c>
      <c r="G29" s="79" t="s">
        <v>247</v>
      </c>
      <c r="H29" s="79" t="s">
        <v>151</v>
      </c>
      <c r="I29" s="80">
        <v>101</v>
      </c>
      <c r="J29" s="80"/>
      <c r="K29" s="80">
        <f t="shared" si="4"/>
        <v>1212</v>
      </c>
      <c r="L29" s="79" t="s">
        <v>202</v>
      </c>
      <c r="M29" s="83">
        <v>68.296311322987464</v>
      </c>
      <c r="N29" s="81">
        <v>0.12899928379853079</v>
      </c>
      <c r="O29" s="83">
        <v>139.31034482758622</v>
      </c>
      <c r="P29" s="81">
        <v>3.6640529050543225</v>
      </c>
      <c r="Q29" s="83">
        <v>240</v>
      </c>
      <c r="R29" s="83">
        <v>2009</v>
      </c>
      <c r="S29" s="83">
        <v>585</v>
      </c>
      <c r="T29" s="84">
        <f t="shared" si="0"/>
        <v>42.083333333333336</v>
      </c>
      <c r="U29" s="84">
        <f t="shared" si="1"/>
        <v>17.264957264957264</v>
      </c>
      <c r="V29" s="85">
        <v>70</v>
      </c>
      <c r="W29" s="79" t="s">
        <v>156</v>
      </c>
      <c r="X29" s="86">
        <v>4917</v>
      </c>
      <c r="Y29" s="135" t="s">
        <v>250</v>
      </c>
      <c r="Z29" s="86">
        <f>(4793000/4917)/12</f>
        <v>81.231780896210424</v>
      </c>
      <c r="AA29" s="86">
        <v>928095</v>
      </c>
      <c r="AB29" s="86">
        <v>1313538</v>
      </c>
      <c r="AC29" s="87">
        <f>X29/AB29*100</f>
        <v>0.37433252787509763</v>
      </c>
      <c r="AD29" s="88">
        <f>X29/AA29*100</f>
        <v>0.52979490246149374</v>
      </c>
      <c r="AE29" s="89">
        <v>2.7000000000000001E-3</v>
      </c>
      <c r="AF29" s="89"/>
      <c r="AG29" s="89">
        <f>AH29/22125024000</f>
        <v>2.5283588392943662E-4</v>
      </c>
      <c r="AH29" s="90">
        <v>5594000</v>
      </c>
      <c r="AI29" s="91" t="s">
        <v>249</v>
      </c>
      <c r="AJ29" s="79" t="s">
        <v>157</v>
      </c>
      <c r="AK29" s="92"/>
      <c r="AL29" s="63"/>
      <c r="AM29" s="63"/>
    </row>
    <row r="30" spans="1:39" s="12" customFormat="1" ht="38.25">
      <c r="A30" s="63">
        <v>1</v>
      </c>
      <c r="B30" s="78">
        <v>21</v>
      </c>
      <c r="C30" s="79" t="s">
        <v>224</v>
      </c>
      <c r="D30" s="80">
        <v>6766514.9999999981</v>
      </c>
      <c r="E30" s="81">
        <v>0.19966260001881975</v>
      </c>
      <c r="F30" s="82" t="s">
        <v>151</v>
      </c>
      <c r="G30" s="79" t="s">
        <v>225</v>
      </c>
      <c r="H30" s="79" t="s">
        <v>151</v>
      </c>
      <c r="I30" s="80">
        <v>6082</v>
      </c>
      <c r="J30" s="80"/>
      <c r="K30" s="80">
        <v>7677</v>
      </c>
      <c r="L30" s="79" t="s">
        <v>50</v>
      </c>
      <c r="M30" s="83">
        <v>504.36598144335937</v>
      </c>
      <c r="N30" s="81">
        <v>0.13680646639199609</v>
      </c>
      <c r="O30" s="83">
        <v>433.32774518021796</v>
      </c>
      <c r="P30" s="81">
        <v>11.397113297890664</v>
      </c>
      <c r="Q30" s="83">
        <v>1603</v>
      </c>
      <c r="R30" s="83">
        <v>2009</v>
      </c>
      <c r="S30" s="83">
        <v>3569</v>
      </c>
      <c r="T30" s="84">
        <f t="shared" si="0"/>
        <v>379.41359950093573</v>
      </c>
      <c r="U30" s="84">
        <f t="shared" si="1"/>
        <v>170.41188007845335</v>
      </c>
      <c r="V30" s="85">
        <v>65</v>
      </c>
      <c r="W30" s="79" t="s">
        <v>51</v>
      </c>
      <c r="X30" s="86" t="s">
        <v>151</v>
      </c>
      <c r="Y30" s="135"/>
      <c r="Z30" s="86"/>
      <c r="AA30" s="86"/>
      <c r="AB30" s="86"/>
      <c r="AC30" s="87">
        <v>34</v>
      </c>
      <c r="AD30" s="88">
        <f>AC30</f>
        <v>34</v>
      </c>
      <c r="AE30" s="89"/>
      <c r="AF30" s="89"/>
      <c r="AG30" s="89" t="s">
        <v>151</v>
      </c>
      <c r="AH30" s="90"/>
      <c r="AI30" s="91"/>
      <c r="AJ30" s="79" t="s">
        <v>161</v>
      </c>
      <c r="AK30" s="92" t="s">
        <v>221</v>
      </c>
      <c r="AL30" s="63"/>
      <c r="AM30" s="63"/>
    </row>
    <row r="31" spans="1:39" s="12" customFormat="1" ht="226.5">
      <c r="A31" s="63">
        <v>1</v>
      </c>
      <c r="B31" s="78">
        <v>22</v>
      </c>
      <c r="C31" s="79" t="s">
        <v>223</v>
      </c>
      <c r="D31" s="80">
        <v>6766515</v>
      </c>
      <c r="E31" s="81">
        <v>0.2</v>
      </c>
      <c r="F31" s="82"/>
      <c r="G31" s="69" t="s">
        <v>305</v>
      </c>
      <c r="H31" s="79">
        <v>1952</v>
      </c>
      <c r="I31" s="80">
        <v>544.98</v>
      </c>
      <c r="J31" s="80" t="s">
        <v>307</v>
      </c>
      <c r="K31" s="80">
        <f>I31*12</f>
        <v>6539.76</v>
      </c>
      <c r="L31" s="79" t="s">
        <v>50</v>
      </c>
      <c r="M31" s="83">
        <v>547</v>
      </c>
      <c r="N31" s="81">
        <v>0.12557590302920207</v>
      </c>
      <c r="O31" s="83">
        <v>432.44195356285024</v>
      </c>
      <c r="P31" s="81">
        <v>11.373815764940717</v>
      </c>
      <c r="Q31" s="83">
        <v>1603</v>
      </c>
      <c r="R31" s="83">
        <v>2009</v>
      </c>
      <c r="S31" s="83">
        <v>3569</v>
      </c>
      <c r="T31" s="84">
        <f t="shared" si="0"/>
        <v>33.997504678727388</v>
      </c>
      <c r="U31" s="84">
        <f t="shared" si="1"/>
        <v>15.269823479966377</v>
      </c>
      <c r="V31" s="85">
        <v>65</v>
      </c>
      <c r="W31" s="79" t="s">
        <v>51</v>
      </c>
      <c r="X31" s="86">
        <v>4764820</v>
      </c>
      <c r="Y31" s="135"/>
      <c r="Z31" s="86"/>
      <c r="AA31" s="86">
        <v>4958444</v>
      </c>
      <c r="AB31" s="86">
        <v>4958444</v>
      </c>
      <c r="AC31" s="87">
        <f>X31/AB31*100</f>
        <v>96.095065306777698</v>
      </c>
      <c r="AD31" s="88">
        <f>X31/AA31*100</f>
        <v>96.095065306777698</v>
      </c>
      <c r="AE31" s="89"/>
      <c r="AF31" s="89"/>
      <c r="AG31" s="89"/>
      <c r="AH31" s="90"/>
      <c r="AI31" s="91">
        <v>2011</v>
      </c>
      <c r="AJ31" s="79"/>
      <c r="AK31" s="92" t="s">
        <v>306</v>
      </c>
      <c r="AL31" s="63"/>
      <c r="AM31" s="63"/>
    </row>
    <row r="32" spans="1:39" s="12" customFormat="1" ht="38.25">
      <c r="A32" s="63">
        <v>1</v>
      </c>
      <c r="B32" s="78">
        <v>23</v>
      </c>
      <c r="C32" s="79" t="s">
        <v>52</v>
      </c>
      <c r="D32" s="80">
        <v>27665</v>
      </c>
      <c r="E32" s="81">
        <v>5.3971852308508685E-2</v>
      </c>
      <c r="F32" s="82">
        <v>0.20559999999999998</v>
      </c>
      <c r="G32" s="79" t="s">
        <v>308</v>
      </c>
      <c r="H32" s="79" t="s">
        <v>309</v>
      </c>
      <c r="I32" s="80">
        <v>5000</v>
      </c>
      <c r="J32" s="80"/>
      <c r="K32" s="80">
        <f>I32*12</f>
        <v>60000</v>
      </c>
      <c r="L32" s="79" t="s">
        <v>53</v>
      </c>
      <c r="M32" s="83">
        <v>59.737156511350058</v>
      </c>
      <c r="N32" s="81">
        <v>0.22269522771067687</v>
      </c>
      <c r="O32" s="83">
        <v>69.226189652069166</v>
      </c>
      <c r="P32" s="81">
        <v>1.8207436182462027</v>
      </c>
      <c r="Q32" s="83" t="s">
        <v>151</v>
      </c>
      <c r="R32" s="83"/>
      <c r="S32" s="83" t="s">
        <v>151</v>
      </c>
      <c r="T32" s="84" t="str">
        <f t="shared" si="0"/>
        <v>no data</v>
      </c>
      <c r="U32" s="84" t="str">
        <f t="shared" si="1"/>
        <v>no data</v>
      </c>
      <c r="V32" s="85">
        <v>60</v>
      </c>
      <c r="W32" s="79" t="s">
        <v>156</v>
      </c>
      <c r="X32" s="86">
        <v>18097</v>
      </c>
      <c r="Y32" s="135" t="s">
        <v>310</v>
      </c>
      <c r="Z32" s="86"/>
      <c r="AA32" s="86">
        <v>48299</v>
      </c>
      <c r="AB32" s="86"/>
      <c r="AC32" s="87" t="s">
        <v>151</v>
      </c>
      <c r="AD32" s="88">
        <f>X32/AA32*100</f>
        <v>37.468684651856144</v>
      </c>
      <c r="AE32" s="89">
        <f>X32/AA32</f>
        <v>0.37468684651856143</v>
      </c>
      <c r="AF32" s="89"/>
      <c r="AG32" s="89">
        <v>4.0000000000000001E-3</v>
      </c>
      <c r="AH32" s="90"/>
      <c r="AI32" s="91">
        <v>2009</v>
      </c>
      <c r="AJ32" s="79" t="s">
        <v>166</v>
      </c>
      <c r="AK32" s="92" t="s">
        <v>311</v>
      </c>
      <c r="AL32" s="63"/>
      <c r="AM32" s="63"/>
    </row>
    <row r="33" spans="1:39" s="12" customFormat="1" ht="89.25">
      <c r="A33" s="63">
        <v>1</v>
      </c>
      <c r="B33" s="78">
        <v>24</v>
      </c>
      <c r="C33" s="79" t="s">
        <v>54</v>
      </c>
      <c r="D33" s="80">
        <v>2330001</v>
      </c>
      <c r="E33" s="81">
        <v>0.13153886252394847</v>
      </c>
      <c r="F33" s="82">
        <v>0.02</v>
      </c>
      <c r="G33" s="79" t="s">
        <v>203</v>
      </c>
      <c r="H33" s="79">
        <v>2008</v>
      </c>
      <c r="I33" s="80">
        <v>78449</v>
      </c>
      <c r="J33" s="80"/>
      <c r="K33" s="80">
        <f>I33*12</f>
        <v>941388</v>
      </c>
      <c r="L33" s="79" t="s">
        <v>204</v>
      </c>
      <c r="M33" s="83">
        <v>157.68643216080403</v>
      </c>
      <c r="N33" s="81">
        <v>0.13629576476424357</v>
      </c>
      <c r="O33" s="83">
        <v>195.60366128843245</v>
      </c>
      <c r="P33" s="81">
        <v>5.1446442421067164</v>
      </c>
      <c r="Q33" s="83">
        <v>165000</v>
      </c>
      <c r="R33" s="83"/>
      <c r="S33" s="83">
        <v>373221</v>
      </c>
      <c r="T33" s="84">
        <f t="shared" si="0"/>
        <v>47.544848484848487</v>
      </c>
      <c r="U33" s="84">
        <f t="shared" si="1"/>
        <v>21.019449602246389</v>
      </c>
      <c r="V33" s="85">
        <v>65</v>
      </c>
      <c r="W33" s="79" t="s">
        <v>156</v>
      </c>
      <c r="X33" s="86">
        <v>840032</v>
      </c>
      <c r="Y33" s="135" t="s">
        <v>257</v>
      </c>
      <c r="Z33" s="86">
        <v>5206</v>
      </c>
      <c r="AA33" s="86">
        <v>1640763</v>
      </c>
      <c r="AB33" s="86">
        <v>1640763</v>
      </c>
      <c r="AC33" s="87">
        <f>X33/AB33*100</f>
        <v>51.197644022933233</v>
      </c>
      <c r="AD33" s="88">
        <f>X33/AA33*100</f>
        <v>51.197644022933233</v>
      </c>
      <c r="AE33" s="89">
        <f>X33/D33</f>
        <v>0.36052860063150188</v>
      </c>
      <c r="AF33" s="89"/>
      <c r="AG33" s="89">
        <v>8.9999999999999993E-3</v>
      </c>
      <c r="AH33" s="90">
        <v>51496894581</v>
      </c>
      <c r="AI33" s="91">
        <v>2011</v>
      </c>
      <c r="AJ33" s="79" t="s">
        <v>157</v>
      </c>
      <c r="AK33" s="97" t="s">
        <v>258</v>
      </c>
      <c r="AL33" s="63"/>
      <c r="AM33" s="63"/>
    </row>
    <row r="34" spans="1:39" s="12" customFormat="1" ht="51">
      <c r="A34" s="63">
        <v>1</v>
      </c>
      <c r="B34" s="78">
        <v>25</v>
      </c>
      <c r="C34" s="79" t="s">
        <v>312</v>
      </c>
      <c r="D34" s="80">
        <v>3636213</v>
      </c>
      <c r="E34" s="81">
        <v>8.5846051278055058E-2</v>
      </c>
      <c r="F34" s="82">
        <v>0.16010000000000002</v>
      </c>
      <c r="G34" s="79" t="s">
        <v>313</v>
      </c>
      <c r="H34" s="79">
        <v>2003</v>
      </c>
      <c r="I34" s="80">
        <v>60000</v>
      </c>
      <c r="J34" s="80"/>
      <c r="K34" s="80">
        <v>720000</v>
      </c>
      <c r="L34" s="79" t="s">
        <v>204</v>
      </c>
      <c r="M34" s="83">
        <v>33.955857385398978</v>
      </c>
      <c r="N34" s="81">
        <v>5.1453174785808312E-2</v>
      </c>
      <c r="O34" s="83">
        <v>45.428836862775384</v>
      </c>
      <c r="P34" s="81">
        <v>1.1948406407743661</v>
      </c>
      <c r="Q34" s="83">
        <v>496900</v>
      </c>
      <c r="R34" s="83">
        <v>2009</v>
      </c>
      <c r="S34" s="83">
        <v>921903</v>
      </c>
      <c r="T34" s="84">
        <f t="shared" si="0"/>
        <v>12.074864157778226</v>
      </c>
      <c r="U34" s="84">
        <f t="shared" si="1"/>
        <v>6.5082769011490367</v>
      </c>
      <c r="V34" s="85" t="s">
        <v>314</v>
      </c>
      <c r="W34" s="79" t="s">
        <v>156</v>
      </c>
      <c r="X34" s="86">
        <v>486211</v>
      </c>
      <c r="Y34" s="161" t="s">
        <v>320</v>
      </c>
      <c r="Z34" s="86"/>
      <c r="AA34" s="86">
        <v>5335734</v>
      </c>
      <c r="AB34" s="86">
        <v>2410960</v>
      </c>
      <c r="AC34" s="86"/>
      <c r="AD34" s="88">
        <f>X34/AA34*100</f>
        <v>9.112354551407547</v>
      </c>
      <c r="AE34" s="89">
        <f>X34/D34</f>
        <v>0.13371356408439219</v>
      </c>
      <c r="AF34" s="89"/>
      <c r="AG34" s="89">
        <v>1.9000000000000001E-4</v>
      </c>
      <c r="AH34" s="90"/>
      <c r="AI34" s="91"/>
      <c r="AJ34" s="79" t="s">
        <v>157</v>
      </c>
      <c r="AK34" s="97"/>
      <c r="AL34" s="63"/>
      <c r="AM34" s="63"/>
    </row>
    <row r="35" spans="1:39" s="12" customFormat="1" ht="12.75">
      <c r="A35" s="63">
        <v>1</v>
      </c>
      <c r="B35" s="78">
        <v>26</v>
      </c>
      <c r="C35" s="79" t="s">
        <v>205</v>
      </c>
      <c r="D35" s="80" t="s">
        <v>151</v>
      </c>
      <c r="E35" s="81" t="s">
        <v>151</v>
      </c>
      <c r="F35" s="82" t="s">
        <v>151</v>
      </c>
      <c r="G35" s="79" t="s">
        <v>206</v>
      </c>
      <c r="H35" s="79">
        <v>1966</v>
      </c>
      <c r="I35" s="80">
        <v>400</v>
      </c>
      <c r="J35" s="80"/>
      <c r="K35" s="80">
        <v>4800</v>
      </c>
      <c r="L35" s="79" t="s">
        <v>207</v>
      </c>
      <c r="M35" s="83">
        <v>325.48639873711278</v>
      </c>
      <c r="N35" s="81" t="s">
        <v>151</v>
      </c>
      <c r="O35" s="83" t="s">
        <v>151</v>
      </c>
      <c r="P35" s="81" t="s">
        <v>151</v>
      </c>
      <c r="Q35" s="70" t="s">
        <v>151</v>
      </c>
      <c r="R35" s="83"/>
      <c r="S35" s="70" t="s">
        <v>151</v>
      </c>
      <c r="T35" s="84" t="str">
        <f t="shared" si="0"/>
        <v>no data</v>
      </c>
      <c r="U35" s="84" t="str">
        <f t="shared" si="1"/>
        <v>no data</v>
      </c>
      <c r="V35" s="85">
        <v>60</v>
      </c>
      <c r="W35" s="79" t="s">
        <v>188</v>
      </c>
      <c r="X35" s="86" t="s">
        <v>151</v>
      </c>
      <c r="Y35" s="135"/>
      <c r="Z35" s="86"/>
      <c r="AA35" s="86"/>
      <c r="AB35" s="86"/>
      <c r="AC35" s="87" t="s">
        <v>151</v>
      </c>
      <c r="AD35" s="87" t="s">
        <v>151</v>
      </c>
      <c r="AE35" s="89" t="s">
        <v>151</v>
      </c>
      <c r="AF35" s="89"/>
      <c r="AG35" s="89" t="s">
        <v>151</v>
      </c>
      <c r="AH35" s="90"/>
      <c r="AI35" s="91"/>
      <c r="AJ35" s="79" t="s">
        <v>151</v>
      </c>
      <c r="AK35" s="92"/>
      <c r="AL35" s="63"/>
      <c r="AM35" s="63"/>
    </row>
    <row r="36" spans="1:39" s="12" customFormat="1" ht="63.75">
      <c r="A36" s="63">
        <v>1</v>
      </c>
      <c r="B36" s="78">
        <v>27</v>
      </c>
      <c r="C36" s="79" t="s">
        <v>208</v>
      </c>
      <c r="D36" s="80">
        <v>463743</v>
      </c>
      <c r="E36" s="81">
        <v>9.4609130900785723E-2</v>
      </c>
      <c r="F36" s="82">
        <v>0.02</v>
      </c>
      <c r="G36" s="79" t="s">
        <v>315</v>
      </c>
      <c r="H36" s="79">
        <v>1974</v>
      </c>
      <c r="I36" s="80">
        <v>70125</v>
      </c>
      <c r="J36" s="80"/>
      <c r="K36" s="80">
        <f>I36*12</f>
        <v>841500</v>
      </c>
      <c r="L36" s="79" t="s">
        <v>209</v>
      </c>
      <c r="M36" s="83">
        <v>140.86699744882586</v>
      </c>
      <c r="N36" s="81">
        <v>0.20153562935961622</v>
      </c>
      <c r="O36" s="83">
        <v>190.4354556193735</v>
      </c>
      <c r="P36" s="81">
        <v>5.0087133532766721</v>
      </c>
      <c r="Q36" s="83">
        <v>170937</v>
      </c>
      <c r="R36" s="83" t="s">
        <v>285</v>
      </c>
      <c r="S36" s="83">
        <v>309542</v>
      </c>
      <c r="T36" s="84">
        <f t="shared" si="0"/>
        <v>41.023885993085173</v>
      </c>
      <c r="U36" s="84">
        <f t="shared" si="1"/>
        <v>22.654437846883461</v>
      </c>
      <c r="V36" s="85">
        <v>65</v>
      </c>
      <c r="W36" s="79" t="s">
        <v>156</v>
      </c>
      <c r="X36" s="86">
        <v>53492</v>
      </c>
      <c r="Y36" s="135" t="s">
        <v>321</v>
      </c>
      <c r="Z36" s="86"/>
      <c r="AA36" s="86">
        <v>315944</v>
      </c>
      <c r="AB36" s="86">
        <v>315944</v>
      </c>
      <c r="AC36" s="87">
        <f>X36/AB36*100</f>
        <v>16.93084850479832</v>
      </c>
      <c r="AD36" s="88">
        <f>X36/AA36*100</f>
        <v>16.93084850479832</v>
      </c>
      <c r="AE36" s="89">
        <f>X36/D36</f>
        <v>0.1153483718352622</v>
      </c>
      <c r="AF36" s="89"/>
      <c r="AG36" s="89">
        <v>1.8E-3</v>
      </c>
      <c r="AH36" s="90"/>
      <c r="AI36" s="91"/>
      <c r="AJ36" s="79" t="s">
        <v>157</v>
      </c>
      <c r="AK36" s="92"/>
      <c r="AL36" s="63"/>
      <c r="AM36" s="63"/>
    </row>
    <row r="37" spans="1:39" s="12" customFormat="1" ht="25.5">
      <c r="A37" s="63">
        <v>1</v>
      </c>
      <c r="B37" s="78">
        <v>28</v>
      </c>
      <c r="C37" s="79" t="s">
        <v>210</v>
      </c>
      <c r="D37" s="80">
        <v>168835</v>
      </c>
      <c r="E37" s="81">
        <v>0.18358506029738902</v>
      </c>
      <c r="F37" s="82" t="s">
        <v>151</v>
      </c>
      <c r="G37" s="79" t="s">
        <v>211</v>
      </c>
      <c r="H37" s="79">
        <v>1995</v>
      </c>
      <c r="I37" s="80">
        <v>325</v>
      </c>
      <c r="J37" s="80"/>
      <c r="K37" s="80">
        <f>I37*12</f>
        <v>3900</v>
      </c>
      <c r="L37" s="79" t="s">
        <v>180</v>
      </c>
      <c r="M37" s="83">
        <v>429.70888214870303</v>
      </c>
      <c r="N37" s="81">
        <v>0.17750605090818924</v>
      </c>
      <c r="O37" s="83">
        <v>429.8941798941799</v>
      </c>
      <c r="P37" s="81">
        <v>11.306805827353772</v>
      </c>
      <c r="Q37" s="83">
        <v>791</v>
      </c>
      <c r="R37" s="83">
        <v>2009</v>
      </c>
      <c r="S37" s="83">
        <v>1902</v>
      </c>
      <c r="T37" s="84">
        <f t="shared" si="0"/>
        <v>41.087231352718078</v>
      </c>
      <c r="U37" s="84">
        <f t="shared" si="1"/>
        <v>17.087276550998947</v>
      </c>
      <c r="V37" s="85">
        <v>65</v>
      </c>
      <c r="W37" s="79" t="s">
        <v>165</v>
      </c>
      <c r="X37" s="86">
        <v>15195</v>
      </c>
      <c r="Y37" s="135" t="s">
        <v>264</v>
      </c>
      <c r="Z37" s="86"/>
      <c r="AA37" s="86">
        <v>120279</v>
      </c>
      <c r="AB37" s="86">
        <v>120279</v>
      </c>
      <c r="AC37" s="87">
        <f>X37/AB37*100</f>
        <v>12.633127977452425</v>
      </c>
      <c r="AD37" s="88">
        <f>X37/AA37*100</f>
        <v>12.633127977452425</v>
      </c>
      <c r="AE37" s="89">
        <f>X37/D37</f>
        <v>8.9999111558622322E-2</v>
      </c>
      <c r="AF37" s="89"/>
      <c r="AG37" s="89">
        <v>3.3128480101073899E-3</v>
      </c>
      <c r="AH37" s="90"/>
      <c r="AI37" s="91"/>
      <c r="AJ37" s="79" t="s">
        <v>153</v>
      </c>
      <c r="AK37" s="92"/>
      <c r="AL37" s="63"/>
      <c r="AM37" s="63"/>
    </row>
    <row r="38" spans="1:39" s="12" customFormat="1" ht="12.75">
      <c r="A38" s="63">
        <v>1</v>
      </c>
      <c r="B38" s="78">
        <v>29</v>
      </c>
      <c r="C38" s="79" t="s">
        <v>227</v>
      </c>
      <c r="D38" s="80"/>
      <c r="E38" s="81"/>
      <c r="F38" s="82"/>
      <c r="G38" s="79" t="s">
        <v>228</v>
      </c>
      <c r="H38" s="79"/>
      <c r="I38" s="80">
        <f>K38/12</f>
        <v>1895.8333333333333</v>
      </c>
      <c r="J38" s="80"/>
      <c r="K38" s="80">
        <v>22750</v>
      </c>
      <c r="L38" s="79"/>
      <c r="M38" s="83">
        <v>99.459686303310079</v>
      </c>
      <c r="N38" s="81">
        <v>6.528982497002668E-2</v>
      </c>
      <c r="O38" s="83">
        <v>140.22999999999999</v>
      </c>
      <c r="P38" s="81"/>
      <c r="Q38" s="83">
        <v>8000</v>
      </c>
      <c r="R38" s="83">
        <v>2009</v>
      </c>
      <c r="S38" s="83">
        <v>26677</v>
      </c>
      <c r="T38" s="84">
        <f t="shared" si="0"/>
        <v>23.697916666666664</v>
      </c>
      <c r="U38" s="84">
        <f t="shared" si="1"/>
        <v>7.1066211842910869</v>
      </c>
      <c r="V38" s="85"/>
      <c r="W38" s="79"/>
      <c r="X38" s="86" t="s">
        <v>151</v>
      </c>
      <c r="Y38" s="135"/>
      <c r="Z38" s="86"/>
      <c r="AA38" s="86"/>
      <c r="AB38" s="86"/>
      <c r="AC38" s="87" t="s">
        <v>151</v>
      </c>
      <c r="AD38" s="87" t="s">
        <v>151</v>
      </c>
      <c r="AE38" s="89"/>
      <c r="AF38" s="89"/>
      <c r="AG38" s="89"/>
      <c r="AH38" s="90"/>
      <c r="AI38" s="91"/>
      <c r="AJ38" s="79"/>
      <c r="AK38" s="92" t="s">
        <v>221</v>
      </c>
      <c r="AL38" s="63"/>
      <c r="AM38" s="63"/>
    </row>
    <row r="39" spans="1:39" s="12" customFormat="1" ht="12.75">
      <c r="A39" s="63">
        <v>1</v>
      </c>
      <c r="B39" s="78">
        <v>30</v>
      </c>
      <c r="C39" s="79" t="s">
        <v>227</v>
      </c>
      <c r="D39" s="80"/>
      <c r="E39" s="81"/>
      <c r="F39" s="82"/>
      <c r="G39" s="79" t="s">
        <v>229</v>
      </c>
      <c r="H39" s="79"/>
      <c r="I39" s="80">
        <f>K39/12</f>
        <v>3126</v>
      </c>
      <c r="J39" s="80"/>
      <c r="K39" s="80">
        <v>37512</v>
      </c>
      <c r="L39" s="79"/>
      <c r="M39" s="83">
        <v>163.69999999999999</v>
      </c>
      <c r="N39" s="81">
        <v>0.10766682785951902</v>
      </c>
      <c r="O39" s="83">
        <v>226.8</v>
      </c>
      <c r="P39" s="81"/>
      <c r="Q39" s="83">
        <v>8000</v>
      </c>
      <c r="R39" s="83">
        <v>2009</v>
      </c>
      <c r="S39" s="83">
        <v>26677</v>
      </c>
      <c r="T39" s="84">
        <f t="shared" si="0"/>
        <v>39.074999999999996</v>
      </c>
      <c r="U39" s="84">
        <f t="shared" si="1"/>
        <v>11.717959290774825</v>
      </c>
      <c r="V39" s="85"/>
      <c r="W39" s="79"/>
      <c r="X39" s="86" t="s">
        <v>151</v>
      </c>
      <c r="Y39" s="135"/>
      <c r="Z39" s="86"/>
      <c r="AA39" s="86"/>
      <c r="AB39" s="86"/>
      <c r="AC39" s="87" t="s">
        <v>151</v>
      </c>
      <c r="AD39" s="87" t="s">
        <v>151</v>
      </c>
      <c r="AE39" s="89"/>
      <c r="AF39" s="89"/>
      <c r="AG39" s="89"/>
      <c r="AH39" s="90"/>
      <c r="AI39" s="91"/>
      <c r="AJ39" s="79"/>
      <c r="AK39" s="92" t="s">
        <v>221</v>
      </c>
      <c r="AL39" s="63"/>
      <c r="AM39" s="63"/>
    </row>
    <row r="40" spans="1:39" s="12" customFormat="1" ht="12.75" hidden="1">
      <c r="A40" s="63"/>
      <c r="B40" s="78">
        <v>31</v>
      </c>
      <c r="C40" s="79" t="s">
        <v>227</v>
      </c>
      <c r="D40" s="80"/>
      <c r="E40" s="81"/>
      <c r="F40" s="82"/>
      <c r="G40" s="79" t="s">
        <v>230</v>
      </c>
      <c r="H40" s="79"/>
      <c r="I40" s="80">
        <f>K40/12</f>
        <v>2665.8333333333335</v>
      </c>
      <c r="J40" s="80"/>
      <c r="K40" s="80">
        <v>31990</v>
      </c>
      <c r="L40" s="79"/>
      <c r="M40" s="83">
        <v>139.58704227318745</v>
      </c>
      <c r="N40" s="82">
        <v>9.180753849631447E-2</v>
      </c>
      <c r="O40" s="83">
        <v>193.43324610536868</v>
      </c>
      <c r="P40" s="82"/>
      <c r="Q40" s="83">
        <v>8000</v>
      </c>
      <c r="R40" s="83">
        <v>2009</v>
      </c>
      <c r="S40" s="83">
        <v>26677</v>
      </c>
      <c r="T40" s="84">
        <f t="shared" si="0"/>
        <v>33.322916666666671</v>
      </c>
      <c r="U40" s="84">
        <f t="shared" si="1"/>
        <v>9.9930027114493143</v>
      </c>
      <c r="V40" s="85"/>
      <c r="W40" s="79"/>
      <c r="X40" s="86" t="s">
        <v>151</v>
      </c>
      <c r="Y40" s="135"/>
      <c r="Z40" s="86"/>
      <c r="AA40" s="86"/>
      <c r="AB40" s="86"/>
      <c r="AC40" s="87" t="s">
        <v>151</v>
      </c>
      <c r="AD40" s="87" t="s">
        <v>151</v>
      </c>
      <c r="AE40" s="89"/>
      <c r="AF40" s="89"/>
      <c r="AG40" s="89"/>
      <c r="AH40" s="90"/>
      <c r="AI40" s="91"/>
      <c r="AJ40" s="79"/>
      <c r="AK40" s="92" t="s">
        <v>221</v>
      </c>
      <c r="AL40" s="63"/>
      <c r="AM40" s="63"/>
    </row>
    <row r="41" spans="1:39" s="12" customFormat="1" ht="25.5">
      <c r="A41" s="63">
        <v>1</v>
      </c>
      <c r="B41" s="78">
        <v>32</v>
      </c>
      <c r="C41" s="79" t="s">
        <v>212</v>
      </c>
      <c r="D41" s="80">
        <v>1235196</v>
      </c>
      <c r="E41" s="81">
        <v>0.23404046096506964</v>
      </c>
      <c r="F41" s="82" t="s">
        <v>151</v>
      </c>
      <c r="G41" s="79" t="s">
        <v>322</v>
      </c>
      <c r="H41" s="79" t="s">
        <v>151</v>
      </c>
      <c r="I41" s="80">
        <v>5713</v>
      </c>
      <c r="J41" s="80"/>
      <c r="K41" s="80">
        <f>I41*12</f>
        <v>68556</v>
      </c>
      <c r="L41" s="79" t="s">
        <v>213</v>
      </c>
      <c r="M41" s="83">
        <v>1015.2329366941044</v>
      </c>
      <c r="N41" s="81">
        <v>0.22654646838142631</v>
      </c>
      <c r="O41" s="83">
        <v>669.20463863183784</v>
      </c>
      <c r="P41" s="81">
        <v>17.600998714700392</v>
      </c>
      <c r="Q41" s="70" t="s">
        <v>151</v>
      </c>
      <c r="R41" s="83">
        <v>2009</v>
      </c>
      <c r="S41" s="83">
        <v>39934</v>
      </c>
      <c r="T41" s="84" t="str">
        <f t="shared" si="0"/>
        <v>no data</v>
      </c>
      <c r="U41" s="84">
        <f t="shared" si="1"/>
        <v>14.306105073371061</v>
      </c>
      <c r="V41" s="85">
        <v>65</v>
      </c>
      <c r="W41" s="79" t="s">
        <v>156</v>
      </c>
      <c r="X41" s="86">
        <v>883711</v>
      </c>
      <c r="Y41" s="135">
        <v>2011</v>
      </c>
      <c r="Z41" s="86"/>
      <c r="AA41" s="86">
        <v>940262</v>
      </c>
      <c r="AB41" s="86">
        <v>940262</v>
      </c>
      <c r="AC41" s="87">
        <f>X41/AB41*100</f>
        <v>93.9856125207655</v>
      </c>
      <c r="AD41" s="88">
        <f>X41/AA41*100</f>
        <v>93.9856125207655</v>
      </c>
      <c r="AE41" s="89">
        <f>X41/D41</f>
        <v>0.71544192176788135</v>
      </c>
      <c r="AF41" s="89"/>
      <c r="AG41" s="89" t="s">
        <v>151</v>
      </c>
      <c r="AH41" s="90"/>
      <c r="AI41" s="91"/>
      <c r="AJ41" s="79" t="s">
        <v>161</v>
      </c>
      <c r="AK41" s="92"/>
      <c r="AL41" s="63"/>
      <c r="AM41" s="63"/>
    </row>
    <row r="42" spans="1:39" s="12" customFormat="1" ht="25.5">
      <c r="A42" s="63">
        <v>1</v>
      </c>
      <c r="B42" s="78">
        <v>33</v>
      </c>
      <c r="C42" s="79" t="s">
        <v>214</v>
      </c>
      <c r="D42" s="80">
        <v>896581</v>
      </c>
      <c r="E42" s="81">
        <v>8.7681050145117873E-2</v>
      </c>
      <c r="F42" s="82">
        <v>4.4260000000000001E-2</v>
      </c>
      <c r="G42" s="79" t="s">
        <v>323</v>
      </c>
      <c r="H42" s="79" t="s">
        <v>151</v>
      </c>
      <c r="I42" s="80">
        <v>3071</v>
      </c>
      <c r="J42" s="80"/>
      <c r="K42" s="80">
        <f>I42*12</f>
        <v>36852</v>
      </c>
      <c r="L42" s="79" t="s">
        <v>155</v>
      </c>
      <c r="M42" s="83">
        <v>79.034749034749026</v>
      </c>
      <c r="N42" s="81">
        <v>0.1719080054879179</v>
      </c>
      <c r="O42" s="83">
        <v>133.0372616984402</v>
      </c>
      <c r="P42" s="81">
        <v>3.4990622254932218</v>
      </c>
      <c r="Q42" s="83">
        <v>5158</v>
      </c>
      <c r="R42" s="83">
        <v>2009</v>
      </c>
      <c r="S42" s="83">
        <v>11000</v>
      </c>
      <c r="T42" s="84">
        <f t="shared" si="0"/>
        <v>59.53858084528887</v>
      </c>
      <c r="U42" s="84">
        <f t="shared" si="1"/>
        <v>27.918181818181822</v>
      </c>
      <c r="V42" s="85">
        <v>60</v>
      </c>
      <c r="W42" s="79" t="s">
        <v>156</v>
      </c>
      <c r="X42" s="86" t="s">
        <v>151</v>
      </c>
      <c r="Y42" s="135"/>
      <c r="Z42" s="86"/>
      <c r="AA42" s="86"/>
      <c r="AB42" s="86"/>
      <c r="AC42" s="87" t="s">
        <v>151</v>
      </c>
      <c r="AD42" s="88" t="s">
        <v>151</v>
      </c>
      <c r="AE42" s="89" t="s">
        <v>151</v>
      </c>
      <c r="AF42" s="89"/>
      <c r="AG42" s="89" t="s">
        <v>151</v>
      </c>
      <c r="AH42" s="90"/>
      <c r="AI42" s="91"/>
      <c r="AJ42" s="79" t="s">
        <v>157</v>
      </c>
      <c r="AK42" s="92"/>
      <c r="AL42" s="63"/>
      <c r="AM42" s="63"/>
    </row>
    <row r="43" spans="1:39" s="12" customFormat="1" ht="38.25">
      <c r="A43" s="63">
        <v>1</v>
      </c>
      <c r="B43" s="78">
        <v>34</v>
      </c>
      <c r="C43" s="79" t="s">
        <v>215</v>
      </c>
      <c r="D43" s="80">
        <v>1400061</v>
      </c>
      <c r="E43" s="81">
        <v>9.4576740942535445E-2</v>
      </c>
      <c r="F43" s="82">
        <v>4.6900000000000004E-2</v>
      </c>
      <c r="G43" s="79" t="s">
        <v>325</v>
      </c>
      <c r="H43" s="79" t="s">
        <v>324</v>
      </c>
      <c r="I43" s="80">
        <v>35</v>
      </c>
      <c r="J43" s="80"/>
      <c r="K43" s="80"/>
      <c r="L43" s="79" t="s">
        <v>216</v>
      </c>
      <c r="M43" s="83">
        <v>35</v>
      </c>
      <c r="N43" s="81">
        <v>0.11765635268668281</v>
      </c>
      <c r="O43" s="83">
        <v>74.309978768577494</v>
      </c>
      <c r="P43" s="81">
        <v>1.9544542361050519</v>
      </c>
      <c r="Q43" s="83">
        <v>254</v>
      </c>
      <c r="R43" s="83">
        <v>2009</v>
      </c>
      <c r="S43" s="83">
        <v>401</v>
      </c>
      <c r="T43" s="84">
        <f t="shared" si="0"/>
        <v>13.779527559055119</v>
      </c>
      <c r="U43" s="84">
        <f t="shared" si="1"/>
        <v>8.7281795511221958</v>
      </c>
      <c r="V43" s="85">
        <v>65</v>
      </c>
      <c r="W43" s="79" t="s">
        <v>156</v>
      </c>
      <c r="X43" s="86">
        <v>547074</v>
      </c>
      <c r="Y43" s="135">
        <v>2012</v>
      </c>
      <c r="Z43" s="86"/>
      <c r="AA43" s="86">
        <v>965124</v>
      </c>
      <c r="AB43" s="86">
        <v>965124</v>
      </c>
      <c r="AC43" s="87">
        <f>X43/AB43*100</f>
        <v>56.684322429035028</v>
      </c>
      <c r="AD43" s="88">
        <f>X43/AA43*100</f>
        <v>56.684322429035028</v>
      </c>
      <c r="AE43" s="89">
        <f>X43/D43</f>
        <v>0.39075011731631693</v>
      </c>
      <c r="AF43" s="89"/>
      <c r="AG43" s="89">
        <v>3.112785030221069E-3</v>
      </c>
      <c r="AH43" s="90"/>
      <c r="AI43" s="91"/>
      <c r="AJ43" s="79" t="s">
        <v>166</v>
      </c>
      <c r="AK43" s="92"/>
      <c r="AL43" s="63"/>
      <c r="AM43" s="63"/>
    </row>
    <row r="44" spans="1:39" s="12" customFormat="1" ht="51">
      <c r="A44" s="63">
        <v>1</v>
      </c>
      <c r="B44" s="78">
        <v>35</v>
      </c>
      <c r="C44" s="79" t="s">
        <v>217</v>
      </c>
      <c r="D44" s="80">
        <v>629977</v>
      </c>
      <c r="E44" s="81">
        <v>0.10170555135623657</v>
      </c>
      <c r="F44" s="82">
        <v>6.4299999999999996E-2</v>
      </c>
      <c r="G44" s="79" t="s">
        <v>326</v>
      </c>
      <c r="H44" s="79">
        <v>2009</v>
      </c>
      <c r="I44" s="80">
        <v>50</v>
      </c>
      <c r="J44" s="80"/>
      <c r="K44" s="80">
        <f>I44*12</f>
        <v>600</v>
      </c>
      <c r="L44" s="79" t="s">
        <v>218</v>
      </c>
      <c r="M44" s="83">
        <v>50</v>
      </c>
      <c r="N44" s="81">
        <v>0.16911808021665153</v>
      </c>
      <c r="O44" s="83">
        <v>101.6260162601626</v>
      </c>
      <c r="P44" s="81">
        <v>2.6729034413631805</v>
      </c>
      <c r="Q44" s="83">
        <v>176</v>
      </c>
      <c r="R44" s="83">
        <v>2009</v>
      </c>
      <c r="S44" s="83" t="s">
        <v>151</v>
      </c>
      <c r="T44" s="84">
        <f t="shared" si="0"/>
        <v>28.40909090909091</v>
      </c>
      <c r="U44" s="84" t="str">
        <f t="shared" si="1"/>
        <v>no data</v>
      </c>
      <c r="V44" s="85">
        <v>70</v>
      </c>
      <c r="W44" s="79" t="s">
        <v>55</v>
      </c>
      <c r="X44" s="86">
        <v>13600</v>
      </c>
      <c r="Y44" s="135" t="s">
        <v>327</v>
      </c>
      <c r="Z44" s="86"/>
      <c r="AA44" s="86">
        <v>308729</v>
      </c>
      <c r="AB44" s="86">
        <v>448877</v>
      </c>
      <c r="AC44" s="87">
        <f>X44/AB44*100</f>
        <v>3.0297832145554349</v>
      </c>
      <c r="AD44" s="88">
        <f>X44/AA44*100</f>
        <v>4.4051579216724059</v>
      </c>
      <c r="AE44" s="89">
        <f>X44/D44</f>
        <v>2.1588089723910554E-2</v>
      </c>
      <c r="AF44" s="89"/>
      <c r="AG44" s="89">
        <v>3.58507974166337E-4</v>
      </c>
      <c r="AH44" s="90"/>
      <c r="AI44" s="91"/>
      <c r="AJ44" s="79" t="s">
        <v>166</v>
      </c>
      <c r="AK44" s="92"/>
      <c r="AL44" s="63"/>
      <c r="AM44" s="63"/>
    </row>
    <row r="45" spans="1:39" s="12" customFormat="1" ht="12.75">
      <c r="A45" s="63">
        <v>1</v>
      </c>
      <c r="B45" s="78">
        <v>36</v>
      </c>
      <c r="C45" s="79" t="s">
        <v>56</v>
      </c>
      <c r="D45" s="80">
        <v>311267</v>
      </c>
      <c r="E45" s="81">
        <v>0.22647277744223604</v>
      </c>
      <c r="F45" s="82">
        <v>0.02</v>
      </c>
      <c r="G45" s="79" t="s">
        <v>328</v>
      </c>
      <c r="H45" s="79" t="s">
        <v>151</v>
      </c>
      <c r="I45" s="80">
        <v>128.44999999999999</v>
      </c>
      <c r="J45" s="80"/>
      <c r="K45" s="80">
        <f>I45*12</f>
        <v>1541.3999999999999</v>
      </c>
      <c r="L45" s="79" t="s">
        <v>180</v>
      </c>
      <c r="M45" s="83">
        <v>169.83327383549508</v>
      </c>
      <c r="N45" s="81">
        <v>0.12932917976403588</v>
      </c>
      <c r="O45" s="83">
        <v>219.57264957264957</v>
      </c>
      <c r="P45" s="81">
        <v>5.7750614682121526</v>
      </c>
      <c r="Q45" s="83">
        <v>4350</v>
      </c>
      <c r="R45" s="83">
        <v>2009</v>
      </c>
      <c r="S45" s="83">
        <v>12264</v>
      </c>
      <c r="T45" s="84">
        <f t="shared" si="0"/>
        <v>2.9528735632183905</v>
      </c>
      <c r="U45" s="84">
        <f t="shared" si="1"/>
        <v>1.0473744292237444</v>
      </c>
      <c r="V45" s="85">
        <v>63</v>
      </c>
      <c r="W45" s="79" t="s">
        <v>165</v>
      </c>
      <c r="X45" s="86">
        <v>14013</v>
      </c>
      <c r="Y45" s="135">
        <v>2012</v>
      </c>
      <c r="Z45" s="86"/>
      <c r="AA45" s="86">
        <v>287950</v>
      </c>
      <c r="AB45" s="86">
        <v>233543</v>
      </c>
      <c r="AC45" s="87">
        <f>X45/AB45*100</f>
        <v>6.0001798384023495</v>
      </c>
      <c r="AD45" s="88">
        <f>X45/AA45*100</f>
        <v>4.8664698732418818</v>
      </c>
      <c r="AE45" s="89">
        <f>X45/311267</f>
        <v>4.5019227865465986E-2</v>
      </c>
      <c r="AF45" s="89"/>
      <c r="AG45" s="89" t="s">
        <v>151</v>
      </c>
      <c r="AH45" s="90"/>
      <c r="AI45" s="91"/>
      <c r="AJ45" s="79" t="s">
        <v>153</v>
      </c>
      <c r="AK45" s="92" t="s">
        <v>221</v>
      </c>
      <c r="AL45" s="63"/>
      <c r="AM45" s="63"/>
    </row>
    <row r="46" spans="1:39" s="12" customFormat="1" ht="12.75">
      <c r="A46" s="63">
        <v>1</v>
      </c>
      <c r="B46" s="78">
        <v>37</v>
      </c>
      <c r="C46" s="79" t="s">
        <v>57</v>
      </c>
      <c r="D46" s="80">
        <v>1364923</v>
      </c>
      <c r="E46" s="81">
        <v>0.24675232602033798</v>
      </c>
      <c r="F46" s="82" t="s">
        <v>151</v>
      </c>
      <c r="G46" s="79" t="s">
        <v>329</v>
      </c>
      <c r="H46" s="79" t="s">
        <v>151</v>
      </c>
      <c r="I46" s="80">
        <v>608.63</v>
      </c>
      <c r="J46" s="80"/>
      <c r="K46" s="80">
        <f>I46*12</f>
        <v>7303.5599999999995</v>
      </c>
      <c r="L46" s="79" t="s">
        <v>180</v>
      </c>
      <c r="M46" s="83">
        <v>804.71487313738714</v>
      </c>
      <c r="N46" s="81">
        <v>0.20226384654072954</v>
      </c>
      <c r="O46" s="83">
        <v>619.15564598168874</v>
      </c>
      <c r="P46" s="81">
        <v>16.284641647737566</v>
      </c>
      <c r="Q46" s="83" t="s">
        <v>151</v>
      </c>
      <c r="R46" s="83">
        <v>2009</v>
      </c>
      <c r="S46" s="83">
        <v>2954</v>
      </c>
      <c r="T46" s="84" t="str">
        <f t="shared" si="0"/>
        <v>no data</v>
      </c>
      <c r="U46" s="84">
        <f t="shared" si="1"/>
        <v>20.603588354773191</v>
      </c>
      <c r="V46" s="85">
        <v>65</v>
      </c>
      <c r="W46" s="79" t="s">
        <v>165</v>
      </c>
      <c r="X46" s="86">
        <f>AA46*0.02</f>
        <v>19119.7</v>
      </c>
      <c r="Y46" s="135">
        <v>2011</v>
      </c>
      <c r="Z46" s="86"/>
      <c r="AA46" s="86">
        <v>955985</v>
      </c>
      <c r="AB46" s="86">
        <v>955985</v>
      </c>
      <c r="AC46" s="87">
        <f>X46/AB46*100</f>
        <v>2</v>
      </c>
      <c r="AD46" s="88">
        <v>2</v>
      </c>
      <c r="AE46" s="89" t="s">
        <v>151</v>
      </c>
      <c r="AF46" s="89"/>
      <c r="AG46" s="89" t="s">
        <v>151</v>
      </c>
      <c r="AH46" s="90"/>
      <c r="AI46" s="91"/>
      <c r="AJ46" s="79" t="s">
        <v>161</v>
      </c>
      <c r="AK46" s="92" t="s">
        <v>221</v>
      </c>
      <c r="AL46" s="63"/>
      <c r="AM46" s="63"/>
    </row>
    <row r="47" spans="1:39" s="12" customFormat="1" ht="25.5">
      <c r="A47" s="63">
        <v>1</v>
      </c>
      <c r="B47" s="78">
        <v>38</v>
      </c>
      <c r="C47" s="79" t="s">
        <v>58</v>
      </c>
      <c r="D47" s="80">
        <v>14748344</v>
      </c>
      <c r="E47" s="81">
        <v>0.2317839671323052</v>
      </c>
      <c r="F47" s="82" t="s">
        <v>151</v>
      </c>
      <c r="G47" s="79" t="s">
        <v>330</v>
      </c>
      <c r="H47" s="79">
        <v>2004</v>
      </c>
      <c r="I47" s="80">
        <v>742</v>
      </c>
      <c r="J47" s="80"/>
      <c r="K47" s="80">
        <v>7537</v>
      </c>
      <c r="L47" s="79" t="s">
        <v>180</v>
      </c>
      <c r="M47" s="83">
        <v>981.41023098382982</v>
      </c>
      <c r="N47" s="81">
        <v>0.27378361527747025</v>
      </c>
      <c r="O47" s="83">
        <v>812.11159737417938</v>
      </c>
      <c r="P47" s="81">
        <v>21.359647492581153</v>
      </c>
      <c r="Q47" s="83">
        <v>1338</v>
      </c>
      <c r="R47" s="83">
        <v>2008</v>
      </c>
      <c r="S47" s="83">
        <v>2817</v>
      </c>
      <c r="T47" s="84">
        <f t="shared" si="0"/>
        <v>55.455904334828098</v>
      </c>
      <c r="U47" s="84">
        <f t="shared" si="1"/>
        <v>26.340078097266595</v>
      </c>
      <c r="V47" s="85">
        <v>65</v>
      </c>
      <c r="W47" s="79" t="s">
        <v>156</v>
      </c>
      <c r="X47" s="86">
        <v>586000</v>
      </c>
      <c r="Y47" s="135">
        <v>2011</v>
      </c>
      <c r="Z47" s="86"/>
      <c r="AA47" s="86">
        <v>11720000</v>
      </c>
      <c r="AB47" s="86">
        <v>11720000</v>
      </c>
      <c r="AC47" s="87">
        <v>5</v>
      </c>
      <c r="AD47" s="88">
        <v>5</v>
      </c>
      <c r="AE47" s="89" t="s">
        <v>151</v>
      </c>
      <c r="AF47" s="89"/>
      <c r="AG47" s="89">
        <v>2.5000000000000001E-3</v>
      </c>
      <c r="AH47" s="90"/>
      <c r="AI47" s="91"/>
      <c r="AJ47" s="79" t="s">
        <v>161</v>
      </c>
      <c r="AK47" s="92" t="s">
        <v>221</v>
      </c>
      <c r="AL47" s="63"/>
      <c r="AM47" s="63"/>
    </row>
    <row r="48" spans="1:39" s="12" customFormat="1" ht="12.75" hidden="1">
      <c r="A48" s="63"/>
      <c r="B48" s="78">
        <v>39</v>
      </c>
      <c r="C48" s="79" t="s">
        <v>58</v>
      </c>
      <c r="D48" s="80">
        <v>14518155</v>
      </c>
      <c r="E48" s="81">
        <v>0.2317839671323052</v>
      </c>
      <c r="F48" s="82"/>
      <c r="G48" s="79" t="s">
        <v>230</v>
      </c>
      <c r="H48" s="79"/>
      <c r="I48" s="80">
        <f>K48/12</f>
        <v>635.33333333333337</v>
      </c>
      <c r="J48" s="80"/>
      <c r="K48" s="80">
        <v>7624</v>
      </c>
      <c r="L48" s="79" t="s">
        <v>180</v>
      </c>
      <c r="M48" s="83">
        <v>841.50110375275949</v>
      </c>
      <c r="N48" s="82">
        <v>0.25590798453930363</v>
      </c>
      <c r="O48" s="83">
        <v>721.23108994754728</v>
      </c>
      <c r="P48" s="82"/>
      <c r="Q48" s="83">
        <v>1338</v>
      </c>
      <c r="R48" s="83">
        <v>2008</v>
      </c>
      <c r="S48" s="83">
        <v>2817</v>
      </c>
      <c r="T48" s="84">
        <f t="shared" si="0"/>
        <v>47.483806676631787</v>
      </c>
      <c r="U48" s="84">
        <f t="shared" si="1"/>
        <v>22.553543959294757</v>
      </c>
      <c r="V48" s="85"/>
      <c r="W48" s="79"/>
      <c r="X48" s="86" t="s">
        <v>555</v>
      </c>
      <c r="Y48" s="135"/>
      <c r="Z48" s="86"/>
      <c r="AA48" s="86"/>
      <c r="AB48" s="86"/>
      <c r="AC48" s="87">
        <v>53</v>
      </c>
      <c r="AD48" s="88">
        <v>53</v>
      </c>
      <c r="AE48" s="89"/>
      <c r="AF48" s="89"/>
      <c r="AG48" s="89"/>
      <c r="AH48" s="90"/>
      <c r="AI48" s="91"/>
      <c r="AJ48" s="79"/>
      <c r="AK48" s="92" t="s">
        <v>221</v>
      </c>
      <c r="AL48" s="63"/>
      <c r="AM48" s="63"/>
    </row>
    <row r="49" spans="1:39" s="12" customFormat="1" ht="25.5">
      <c r="A49" s="63">
        <v>1</v>
      </c>
      <c r="B49" s="78">
        <v>40</v>
      </c>
      <c r="C49" s="79" t="s">
        <v>59</v>
      </c>
      <c r="D49" s="80">
        <v>838745</v>
      </c>
      <c r="E49" s="81">
        <v>0.19133739145727227</v>
      </c>
      <c r="F49" s="82">
        <v>0.13439999999999999</v>
      </c>
      <c r="G49" s="79" t="s">
        <v>206</v>
      </c>
      <c r="H49" s="79">
        <v>2006</v>
      </c>
      <c r="I49" s="80">
        <v>80</v>
      </c>
      <c r="J49" s="80"/>
      <c r="K49" s="80">
        <f>I49*12</f>
        <v>960</v>
      </c>
      <c r="L49" s="79" t="s">
        <v>60</v>
      </c>
      <c r="M49" s="83">
        <v>49.15816640039327</v>
      </c>
      <c r="N49" s="81">
        <v>0.20531597272719493</v>
      </c>
      <c r="O49" s="83">
        <v>86.673889490790899</v>
      </c>
      <c r="P49" s="81">
        <v>2.2796420249632674</v>
      </c>
      <c r="Q49" s="83">
        <v>20</v>
      </c>
      <c r="R49" s="83">
        <v>2009</v>
      </c>
      <c r="S49" s="83">
        <v>572</v>
      </c>
      <c r="T49" s="84">
        <f t="shared" si="0"/>
        <v>400</v>
      </c>
      <c r="U49" s="84">
        <f t="shared" si="1"/>
        <v>13.986013986013987</v>
      </c>
      <c r="V49" s="85" t="s">
        <v>287</v>
      </c>
      <c r="W49" s="79" t="s">
        <v>156</v>
      </c>
      <c r="X49" s="86">
        <v>654931</v>
      </c>
      <c r="Y49" s="135" t="s">
        <v>334</v>
      </c>
      <c r="Z49" s="86"/>
      <c r="AA49" s="86">
        <v>742004</v>
      </c>
      <c r="AB49" s="86">
        <v>620349</v>
      </c>
      <c r="AC49" s="87">
        <f>X49/AB49*100</f>
        <v>105.5746039729249</v>
      </c>
      <c r="AD49" s="88">
        <f>X49/AA49*100</f>
        <v>88.265157600228576</v>
      </c>
      <c r="AE49" s="89">
        <f>X49/D49</f>
        <v>0.78084638358499903</v>
      </c>
      <c r="AF49" s="89"/>
      <c r="AG49" s="89">
        <v>3.6999999999999998E-2</v>
      </c>
      <c r="AH49" s="90"/>
      <c r="AI49" s="91"/>
      <c r="AJ49" s="79" t="s">
        <v>166</v>
      </c>
      <c r="AK49" s="92"/>
      <c r="AL49" s="63"/>
      <c r="AM49" s="63"/>
    </row>
    <row r="50" spans="1:39" s="12" customFormat="1" ht="12.75">
      <c r="A50" s="63">
        <v>1</v>
      </c>
      <c r="B50" s="78">
        <v>41</v>
      </c>
      <c r="C50" s="79" t="s">
        <v>231</v>
      </c>
      <c r="D50" s="80"/>
      <c r="E50" s="81"/>
      <c r="F50" s="82"/>
      <c r="G50" s="79" t="s">
        <v>229</v>
      </c>
      <c r="H50" s="79"/>
      <c r="I50" s="80">
        <f>K50/12</f>
        <v>702</v>
      </c>
      <c r="J50" s="80"/>
      <c r="K50" s="80">
        <v>8424</v>
      </c>
      <c r="L50" s="79" t="s">
        <v>180</v>
      </c>
      <c r="M50" s="83"/>
      <c r="N50" s="81"/>
      <c r="O50" s="83"/>
      <c r="P50" s="81"/>
      <c r="Q50" s="83" t="s">
        <v>151</v>
      </c>
      <c r="R50" s="83">
        <v>2009</v>
      </c>
      <c r="S50" s="83">
        <v>2312</v>
      </c>
      <c r="T50" s="84" t="str">
        <f t="shared" si="0"/>
        <v>no data</v>
      </c>
      <c r="U50" s="84">
        <f t="shared" si="1"/>
        <v>30.363321799307958</v>
      </c>
      <c r="V50" s="85"/>
      <c r="W50" s="79" t="s">
        <v>156</v>
      </c>
      <c r="X50" s="86">
        <v>17000</v>
      </c>
      <c r="Y50" s="135" t="s">
        <v>250</v>
      </c>
      <c r="Z50" s="86"/>
      <c r="AA50" s="86"/>
      <c r="AB50" s="86"/>
      <c r="AC50" s="87">
        <v>2</v>
      </c>
      <c r="AD50" s="88">
        <v>2</v>
      </c>
      <c r="AE50" s="89"/>
      <c r="AF50" s="89"/>
      <c r="AG50" s="89"/>
      <c r="AH50" s="90"/>
      <c r="AI50" s="91"/>
      <c r="AJ50" s="79"/>
      <c r="AK50" s="92"/>
      <c r="AL50" s="63"/>
      <c r="AM50" s="63"/>
    </row>
    <row r="51" spans="1:39" s="12" customFormat="1" ht="25.5">
      <c r="A51" s="63">
        <v>1</v>
      </c>
      <c r="B51" s="78">
        <v>42</v>
      </c>
      <c r="C51" s="79" t="s">
        <v>61</v>
      </c>
      <c r="D51" s="80">
        <v>2795681</v>
      </c>
      <c r="E51" s="81">
        <v>0.24271569460180822</v>
      </c>
      <c r="F51" s="82" t="s">
        <v>151</v>
      </c>
      <c r="G51" s="79" t="s">
        <v>335</v>
      </c>
      <c r="H51" s="79">
        <v>1996</v>
      </c>
      <c r="I51" s="80">
        <v>330</v>
      </c>
      <c r="J51" s="80"/>
      <c r="K51" s="80">
        <f>I51*12</f>
        <v>3960</v>
      </c>
      <c r="L51" s="79" t="s">
        <v>180</v>
      </c>
      <c r="M51" s="83">
        <v>436.3174804648765</v>
      </c>
      <c r="N51" s="81">
        <v>0.18615171336434386</v>
      </c>
      <c r="O51" s="83">
        <v>451.43638850889192</v>
      </c>
      <c r="P51" s="81">
        <v>11.873395423795513</v>
      </c>
      <c r="Q51" s="83">
        <v>863</v>
      </c>
      <c r="R51" s="83" t="s">
        <v>285</v>
      </c>
      <c r="S51" s="83">
        <v>1727</v>
      </c>
      <c r="T51" s="84">
        <f t="shared" si="0"/>
        <v>38.238702201622246</v>
      </c>
      <c r="U51" s="84">
        <f t="shared" si="1"/>
        <v>19.108280254777071</v>
      </c>
      <c r="V51" s="85">
        <v>60</v>
      </c>
      <c r="W51" s="79" t="s">
        <v>156</v>
      </c>
      <c r="X51" s="86">
        <f>AC51/100*AB51</f>
        <v>404255.97000000003</v>
      </c>
      <c r="Y51" s="135">
        <v>2011</v>
      </c>
      <c r="Z51" s="86"/>
      <c r="AA51" s="86">
        <v>2795681</v>
      </c>
      <c r="AB51" s="86">
        <v>2127663</v>
      </c>
      <c r="AC51" s="87">
        <v>19</v>
      </c>
      <c r="AD51" s="88">
        <f>X51/AA51*100</f>
        <v>14.460017791729458</v>
      </c>
      <c r="AE51" s="89">
        <f>X51/D51</f>
        <v>0.14460017791729457</v>
      </c>
      <c r="AF51" s="89"/>
      <c r="AG51" s="89">
        <v>1.39289286965477E-3</v>
      </c>
      <c r="AH51" s="90"/>
      <c r="AI51" s="91"/>
      <c r="AJ51" s="79" t="s">
        <v>161</v>
      </c>
      <c r="AK51" s="92" t="s">
        <v>221</v>
      </c>
      <c r="AL51" s="63"/>
      <c r="AM51" s="63"/>
    </row>
    <row r="52" spans="1:39" s="12" customFormat="1" ht="25.5" hidden="1">
      <c r="A52" s="63"/>
      <c r="B52" s="78">
        <v>43</v>
      </c>
      <c r="C52" s="79" t="s">
        <v>61</v>
      </c>
      <c r="D52" s="80">
        <v>2795681</v>
      </c>
      <c r="E52" s="81">
        <v>0.24271569460180822</v>
      </c>
      <c r="F52" s="82"/>
      <c r="G52" s="79" t="s">
        <v>230</v>
      </c>
      <c r="H52" s="79"/>
      <c r="I52" s="80">
        <f>K52/12</f>
        <v>570.25</v>
      </c>
      <c r="J52" s="80"/>
      <c r="K52" s="80">
        <v>6843</v>
      </c>
      <c r="L52" s="79" t="s">
        <v>180</v>
      </c>
      <c r="M52" s="83"/>
      <c r="N52" s="82"/>
      <c r="O52" s="83"/>
      <c r="P52" s="82"/>
      <c r="Q52" s="83">
        <v>863</v>
      </c>
      <c r="R52" s="83" t="s">
        <v>285</v>
      </c>
      <c r="S52" s="83">
        <v>1727</v>
      </c>
      <c r="T52" s="84">
        <f t="shared" si="0"/>
        <v>66.07763615295481</v>
      </c>
      <c r="U52" s="84">
        <f t="shared" si="1"/>
        <v>33.019687319050377</v>
      </c>
      <c r="V52" s="85"/>
      <c r="W52" s="79"/>
      <c r="X52" s="86">
        <f>AB52*0.6</f>
        <v>1276597.8</v>
      </c>
      <c r="Y52" s="135">
        <v>2011</v>
      </c>
      <c r="Z52" s="86"/>
      <c r="AA52" s="86"/>
      <c r="AB52" s="86">
        <v>2127663</v>
      </c>
      <c r="AC52" s="87">
        <v>60</v>
      </c>
      <c r="AD52" s="88">
        <v>60</v>
      </c>
      <c r="AE52" s="89"/>
      <c r="AF52" s="89"/>
      <c r="AG52" s="89"/>
      <c r="AH52" s="90"/>
      <c r="AI52" s="91"/>
      <c r="AJ52" s="79"/>
      <c r="AK52" s="92" t="s">
        <v>221</v>
      </c>
      <c r="AL52" s="63"/>
      <c r="AM52" s="63"/>
    </row>
    <row r="53" spans="1:39" s="12" customFormat="1" ht="51">
      <c r="A53" s="63">
        <v>1</v>
      </c>
      <c r="B53" s="78">
        <v>44</v>
      </c>
      <c r="C53" s="79" t="s">
        <v>331</v>
      </c>
      <c r="D53" s="80">
        <v>947936</v>
      </c>
      <c r="E53" s="81">
        <v>6.453326003046142E-2</v>
      </c>
      <c r="F53" s="82">
        <v>0.11699999999999999</v>
      </c>
      <c r="G53" s="79" t="s">
        <v>332</v>
      </c>
      <c r="H53" s="79">
        <v>2005</v>
      </c>
      <c r="I53" s="80">
        <v>400</v>
      </c>
      <c r="J53" s="80"/>
      <c r="K53" s="80">
        <f>I53*12</f>
        <v>4800</v>
      </c>
      <c r="L53" s="79" t="s">
        <v>333</v>
      </c>
      <c r="M53" s="83">
        <v>51.305072789072021</v>
      </c>
      <c r="N53" s="81">
        <v>0.19518394195684993</v>
      </c>
      <c r="O53" s="83">
        <v>80.759135877246109</v>
      </c>
      <c r="P53" s="81">
        <v>2.124075902524829</v>
      </c>
      <c r="Q53" s="83">
        <v>1810</v>
      </c>
      <c r="R53" s="83">
        <v>2009</v>
      </c>
      <c r="S53" s="83" t="s">
        <v>151</v>
      </c>
      <c r="T53" s="84">
        <f>IF(Q53="no data","no data",I53/Q53*100)</f>
        <v>22.099447513812155</v>
      </c>
      <c r="U53" s="84" t="str">
        <f>IF(S53="no data","no data",I53/S53*100)</f>
        <v>no data</v>
      </c>
      <c r="V53" s="85">
        <v>65</v>
      </c>
      <c r="W53" s="79" t="s">
        <v>156</v>
      </c>
      <c r="X53" s="86">
        <v>14940</v>
      </c>
      <c r="Y53" s="135" t="s">
        <v>336</v>
      </c>
      <c r="Z53" s="86"/>
      <c r="AA53" s="86">
        <v>642884</v>
      </c>
      <c r="AB53" s="86">
        <v>642884</v>
      </c>
      <c r="AC53" s="87">
        <f>X53/AB53*100</f>
        <v>2.3239029125005444</v>
      </c>
      <c r="AD53" s="88">
        <f>X53/AA53*100</f>
        <v>2.3239029125005444</v>
      </c>
      <c r="AE53" s="89">
        <f>X53/D53</f>
        <v>1.5760557674779734E-2</v>
      </c>
      <c r="AF53" s="89"/>
      <c r="AG53" s="89" t="s">
        <v>151</v>
      </c>
      <c r="AH53" s="90"/>
      <c r="AI53" s="91"/>
      <c r="AJ53" s="79" t="s">
        <v>166</v>
      </c>
      <c r="AK53" s="92"/>
      <c r="AL53" s="63"/>
      <c r="AM53" s="63"/>
    </row>
    <row r="54" spans="1:39" s="12" customFormat="1" ht="51">
      <c r="A54" s="63">
        <v>1</v>
      </c>
      <c r="B54" s="78">
        <v>45</v>
      </c>
      <c r="C54" s="79" t="s">
        <v>337</v>
      </c>
      <c r="D54" s="80">
        <v>71931.000000000015</v>
      </c>
      <c r="E54" s="81">
        <v>9.4466814281324155E-2</v>
      </c>
      <c r="F54" s="82">
        <v>7.6799999999999993E-2</v>
      </c>
      <c r="G54" s="79" t="s">
        <v>206</v>
      </c>
      <c r="H54" s="79" t="s">
        <v>338</v>
      </c>
      <c r="I54" s="80">
        <v>10000</v>
      </c>
      <c r="J54" s="80"/>
      <c r="K54" s="80">
        <f>I54*12</f>
        <v>120000</v>
      </c>
      <c r="L54" s="79" t="s">
        <v>339</v>
      </c>
      <c r="M54" s="83">
        <v>49.70178926441352</v>
      </c>
      <c r="N54" s="81">
        <v>0.18334451294326168</v>
      </c>
      <c r="O54" s="83">
        <v>114.06410402646287</v>
      </c>
      <c r="P54" s="81">
        <v>3.0000421880932699</v>
      </c>
      <c r="Q54" s="83">
        <v>17853</v>
      </c>
      <c r="R54" s="83">
        <v>2009</v>
      </c>
      <c r="S54" s="83" t="s">
        <v>151</v>
      </c>
      <c r="T54" s="84">
        <f>IF(Q54="no data","no data",I54/Q54*100)</f>
        <v>56.012995014843447</v>
      </c>
      <c r="U54" s="84" t="str">
        <f>IF(S54="no data","no data",I54/S54*100)</f>
        <v>no data</v>
      </c>
      <c r="V54" s="85">
        <v>65</v>
      </c>
      <c r="W54" s="79" t="s">
        <v>188</v>
      </c>
      <c r="X54" s="86">
        <v>43398</v>
      </c>
      <c r="Y54" s="135"/>
      <c r="Z54" s="86"/>
      <c r="AA54" s="86">
        <f>AB54</f>
        <v>47235.64908000001</v>
      </c>
      <c r="AB54" s="86">
        <f>0.65668*D54</f>
        <v>47235.64908000001</v>
      </c>
      <c r="AC54" s="87">
        <f>X54/AB54*100</f>
        <v>91.875523773367803</v>
      </c>
      <c r="AD54" s="88">
        <f>X54/AA54*100</f>
        <v>91.875523773367803</v>
      </c>
      <c r="AE54" s="89">
        <f>X54/D54</f>
        <v>0.60332818951495171</v>
      </c>
      <c r="AF54" s="89"/>
      <c r="AG54" s="89">
        <v>5.8095484770510734E-3</v>
      </c>
      <c r="AH54" s="90"/>
      <c r="AI54" s="91"/>
      <c r="AJ54" s="79" t="s">
        <v>166</v>
      </c>
      <c r="AK54" s="92"/>
      <c r="AL54" s="63"/>
      <c r="AM54" s="63"/>
    </row>
    <row r="55" spans="1:39" s="12" customFormat="1" ht="38.25">
      <c r="A55" s="63">
        <v>1</v>
      </c>
      <c r="B55" s="78">
        <v>46</v>
      </c>
      <c r="C55" s="79" t="s">
        <v>62</v>
      </c>
      <c r="D55" s="80">
        <v>1297521.0000000002</v>
      </c>
      <c r="E55" s="81">
        <v>0.18354104137591737</v>
      </c>
      <c r="F55" s="82" t="s">
        <v>151</v>
      </c>
      <c r="G55" s="79" t="s">
        <v>340</v>
      </c>
      <c r="H55" s="79" t="s">
        <v>151</v>
      </c>
      <c r="I55" s="80">
        <v>1090</v>
      </c>
      <c r="J55" s="80"/>
      <c r="K55" s="80">
        <f>I55*12</f>
        <v>13080</v>
      </c>
      <c r="L55" s="79" t="s">
        <v>63</v>
      </c>
      <c r="M55" s="83">
        <v>140.4765893830629</v>
      </c>
      <c r="N55" s="81">
        <v>4.6572183669497974E-2</v>
      </c>
      <c r="O55" s="83">
        <v>196.82195738533767</v>
      </c>
      <c r="P55" s="81">
        <v>5.176687098354086</v>
      </c>
      <c r="Q55" s="83" t="s">
        <v>151</v>
      </c>
      <c r="R55" s="83"/>
      <c r="S55" s="83">
        <v>11107</v>
      </c>
      <c r="T55" s="84" t="str">
        <f t="shared" si="0"/>
        <v>no data</v>
      </c>
      <c r="U55" s="84">
        <f t="shared" si="1"/>
        <v>9.8136310434860903</v>
      </c>
      <c r="V55" s="85" t="s">
        <v>341</v>
      </c>
      <c r="W55" s="79" t="s">
        <v>156</v>
      </c>
      <c r="X55" s="86">
        <v>639306</v>
      </c>
      <c r="Y55" s="135" t="s">
        <v>543</v>
      </c>
      <c r="Z55" s="86"/>
      <c r="AA55" s="86">
        <v>889593</v>
      </c>
      <c r="AB55" s="86">
        <v>889593</v>
      </c>
      <c r="AC55" s="87">
        <f>X55/AB55*100</f>
        <v>71.864998937716464</v>
      </c>
      <c r="AD55" s="88">
        <f>X55/AA55*100</f>
        <v>71.864998937716464</v>
      </c>
      <c r="AE55" s="89" t="s">
        <v>151</v>
      </c>
      <c r="AF55" s="89"/>
      <c r="AG55" s="89" t="s">
        <v>151</v>
      </c>
      <c r="AH55" s="90"/>
      <c r="AI55" s="91"/>
      <c r="AJ55" s="79" t="s">
        <v>153</v>
      </c>
      <c r="AK55" s="92"/>
      <c r="AL55" s="63"/>
      <c r="AM55" s="63"/>
    </row>
    <row r="56" spans="1:39" s="12" customFormat="1" ht="12.75" hidden="1">
      <c r="A56" s="63"/>
      <c r="B56" s="78">
        <v>47</v>
      </c>
      <c r="C56" s="79" t="s">
        <v>232</v>
      </c>
      <c r="D56" s="80">
        <v>2283034</v>
      </c>
      <c r="E56" s="81">
        <v>0.22900000000000001</v>
      </c>
      <c r="F56" s="82"/>
      <c r="G56" s="79" t="s">
        <v>230</v>
      </c>
      <c r="H56" s="79"/>
      <c r="I56" s="80">
        <v>342000</v>
      </c>
      <c r="J56" s="80"/>
      <c r="K56" s="80">
        <f>I56*12</f>
        <v>4104000</v>
      </c>
      <c r="L56" s="79"/>
      <c r="M56" s="83"/>
      <c r="N56" s="82"/>
      <c r="O56" s="83"/>
      <c r="P56" s="82"/>
      <c r="Q56" s="83">
        <v>71500</v>
      </c>
      <c r="R56" s="83">
        <v>2009</v>
      </c>
      <c r="S56" s="83">
        <v>199775</v>
      </c>
      <c r="T56" s="84">
        <f t="shared" si="0"/>
        <v>478.32167832167835</v>
      </c>
      <c r="U56" s="84">
        <f t="shared" si="1"/>
        <v>171.19259166562381</v>
      </c>
      <c r="V56" s="85"/>
      <c r="W56" s="79"/>
      <c r="X56" s="86" t="s">
        <v>151</v>
      </c>
      <c r="Y56" s="135"/>
      <c r="Z56" s="86"/>
      <c r="AA56" s="86"/>
      <c r="AB56" s="86"/>
      <c r="AC56" s="87">
        <v>1</v>
      </c>
      <c r="AD56" s="88">
        <v>1</v>
      </c>
      <c r="AE56" s="89"/>
      <c r="AF56" s="89"/>
      <c r="AG56" s="89"/>
      <c r="AH56" s="90"/>
      <c r="AI56" s="91"/>
      <c r="AJ56" s="79"/>
      <c r="AK56" s="92" t="s">
        <v>221</v>
      </c>
      <c r="AL56" s="63"/>
      <c r="AM56" s="63"/>
    </row>
    <row r="57" spans="1:39" s="12" customFormat="1" ht="25.5">
      <c r="A57" s="63">
        <v>1</v>
      </c>
      <c r="B57" s="78">
        <v>48</v>
      </c>
      <c r="C57" s="79" t="s">
        <v>232</v>
      </c>
      <c r="D57" s="80">
        <v>2237555.9999999995</v>
      </c>
      <c r="E57" s="81">
        <v>0.22435820369931597</v>
      </c>
      <c r="F57" s="82">
        <v>0.02</v>
      </c>
      <c r="G57" s="79" t="s">
        <v>342</v>
      </c>
      <c r="H57" s="79" t="s">
        <v>151</v>
      </c>
      <c r="I57" s="80">
        <v>22800</v>
      </c>
      <c r="J57" s="80"/>
      <c r="K57" s="80">
        <f>I57*12</f>
        <v>273600</v>
      </c>
      <c r="L57" s="79" t="s">
        <v>343</v>
      </c>
      <c r="M57" s="83">
        <v>104.28244075796869</v>
      </c>
      <c r="N57" s="81">
        <v>0.1035310359447822</v>
      </c>
      <c r="O57" s="83">
        <v>167.6865144739939</v>
      </c>
      <c r="P57" s="81">
        <v>4.4103850382201131</v>
      </c>
      <c r="Q57" s="83">
        <v>71500</v>
      </c>
      <c r="R57" s="83">
        <v>2009</v>
      </c>
      <c r="S57" s="83">
        <v>199775</v>
      </c>
      <c r="T57" s="84">
        <f t="shared" si="0"/>
        <v>31.888111888111887</v>
      </c>
      <c r="U57" s="84">
        <f t="shared" si="1"/>
        <v>11.412839444374921</v>
      </c>
      <c r="V57" s="85">
        <v>62</v>
      </c>
      <c r="W57" s="79" t="s">
        <v>156</v>
      </c>
      <c r="X57" s="86" t="s">
        <v>151</v>
      </c>
      <c r="Y57" s="135">
        <v>2010</v>
      </c>
      <c r="Z57" s="86"/>
      <c r="AA57" s="86">
        <v>2070235</v>
      </c>
      <c r="AB57" s="86">
        <v>1649251</v>
      </c>
      <c r="AC57" s="87"/>
      <c r="AD57" s="88" t="s">
        <v>151</v>
      </c>
      <c r="AE57" s="89" t="s">
        <v>151</v>
      </c>
      <c r="AF57" s="89"/>
      <c r="AG57" s="89" t="s">
        <v>151</v>
      </c>
      <c r="AH57" s="90"/>
      <c r="AI57" s="91"/>
      <c r="AJ57" s="79"/>
      <c r="AK57" s="92"/>
      <c r="AL57" s="63"/>
      <c r="AM57" s="63"/>
    </row>
    <row r="58" spans="1:39" s="12" customFormat="1" ht="12.75" hidden="1">
      <c r="A58" s="63"/>
      <c r="B58" s="78">
        <v>49</v>
      </c>
      <c r="C58" s="79" t="s">
        <v>64</v>
      </c>
      <c r="D58" s="80">
        <v>54359.999999999993</v>
      </c>
      <c r="E58" s="81">
        <v>0.16508796491728897</v>
      </c>
      <c r="F58" s="82"/>
      <c r="G58" s="79" t="s">
        <v>229</v>
      </c>
      <c r="H58" s="79"/>
      <c r="I58" s="80">
        <f>K58/12</f>
        <v>81100</v>
      </c>
      <c r="J58" s="80"/>
      <c r="K58" s="80">
        <v>973200</v>
      </c>
      <c r="L58" s="79" t="s">
        <v>65</v>
      </c>
      <c r="M58" s="83"/>
      <c r="N58" s="82"/>
      <c r="O58" s="83"/>
      <c r="P58" s="82"/>
      <c r="Q58" s="83" t="s">
        <v>151</v>
      </c>
      <c r="R58" s="83">
        <v>2009</v>
      </c>
      <c r="S58" s="83">
        <v>334000</v>
      </c>
      <c r="T58" s="84" t="str">
        <f t="shared" si="0"/>
        <v>no data</v>
      </c>
      <c r="U58" s="84">
        <f t="shared" si="1"/>
        <v>24.281437125748504</v>
      </c>
      <c r="V58" s="85"/>
      <c r="W58" s="79" t="s">
        <v>156</v>
      </c>
      <c r="X58" s="86"/>
      <c r="Y58" s="135"/>
      <c r="Z58" s="86"/>
      <c r="AA58" s="86"/>
      <c r="AB58" s="86"/>
      <c r="AC58" s="89" t="s">
        <v>151</v>
      </c>
      <c r="AD58" s="88" t="s">
        <v>151</v>
      </c>
      <c r="AE58" s="89"/>
      <c r="AF58" s="89"/>
      <c r="AG58" s="89"/>
      <c r="AH58" s="90"/>
      <c r="AI58" s="91"/>
      <c r="AJ58" s="79"/>
      <c r="AK58" s="92" t="s">
        <v>221</v>
      </c>
      <c r="AL58" s="63"/>
      <c r="AM58" s="63"/>
    </row>
    <row r="59" spans="1:39" s="12" customFormat="1" ht="38.25">
      <c r="A59" s="63">
        <v>1</v>
      </c>
      <c r="B59" s="78">
        <v>50</v>
      </c>
      <c r="C59" s="79" t="s">
        <v>64</v>
      </c>
      <c r="D59" s="80">
        <v>53975</v>
      </c>
      <c r="E59" s="81">
        <v>0.16508796491728897</v>
      </c>
      <c r="F59" s="82" t="s">
        <v>151</v>
      </c>
      <c r="G59" s="79" t="s">
        <v>344</v>
      </c>
      <c r="H59" s="79" t="s">
        <v>151</v>
      </c>
      <c r="I59" s="80">
        <v>25700</v>
      </c>
      <c r="J59" s="80"/>
      <c r="K59" s="80">
        <f>I59*12</f>
        <v>308400</v>
      </c>
      <c r="L59" s="79" t="s">
        <v>65</v>
      </c>
      <c r="M59" s="83">
        <v>203.58048162230673</v>
      </c>
      <c r="N59" s="81">
        <v>6.1681702661720267E-2</v>
      </c>
      <c r="O59" s="83">
        <v>195.63810756289726</v>
      </c>
      <c r="P59" s="81">
        <v>5.1455502263118182</v>
      </c>
      <c r="Q59" s="83" t="s">
        <v>151</v>
      </c>
      <c r="R59" s="83">
        <v>2009</v>
      </c>
      <c r="S59" s="83">
        <v>334000</v>
      </c>
      <c r="T59" s="84" t="str">
        <f t="shared" si="0"/>
        <v>no data</v>
      </c>
      <c r="U59" s="84">
        <f t="shared" si="1"/>
        <v>7.6946107784431135</v>
      </c>
      <c r="V59" s="85">
        <v>67</v>
      </c>
      <c r="W59" s="79" t="s">
        <v>66</v>
      </c>
      <c r="X59" s="86">
        <v>25130</v>
      </c>
      <c r="Y59" s="135">
        <v>2010</v>
      </c>
      <c r="Z59" s="86"/>
      <c r="AA59" s="86">
        <v>31691</v>
      </c>
      <c r="AB59" s="86">
        <v>38467</v>
      </c>
      <c r="AC59" s="87">
        <f>X59/AB59*100</f>
        <v>65.328723321288379</v>
      </c>
      <c r="AD59" s="88">
        <f>X59/AA59*100</f>
        <v>79.296961282383023</v>
      </c>
      <c r="AE59" s="89">
        <f>X59/D59</f>
        <v>0.46558591940713295</v>
      </c>
      <c r="AF59" s="89"/>
      <c r="AG59" s="89" t="s">
        <v>151</v>
      </c>
      <c r="AH59" s="90"/>
      <c r="AI59" s="91"/>
      <c r="AJ59" s="79" t="s">
        <v>161</v>
      </c>
      <c r="AK59" s="92" t="s">
        <v>221</v>
      </c>
      <c r="AL59" s="63"/>
      <c r="AM59" s="63"/>
    </row>
    <row r="60" spans="1:39" s="12" customFormat="1" ht="25.5">
      <c r="A60" s="63">
        <v>1</v>
      </c>
      <c r="B60" s="78">
        <v>51</v>
      </c>
      <c r="C60" s="79" t="s">
        <v>67</v>
      </c>
      <c r="D60" s="80">
        <v>91651856.999999985</v>
      </c>
      <c r="E60" s="81">
        <v>7.5466900175161306E-2</v>
      </c>
      <c r="F60" s="82">
        <v>0.41644153</v>
      </c>
      <c r="G60" s="79" t="s">
        <v>68</v>
      </c>
      <c r="H60" s="79" t="s">
        <v>69</v>
      </c>
      <c r="I60" s="80">
        <v>200</v>
      </c>
      <c r="J60" s="80"/>
      <c r="K60" s="80">
        <f>I60*12</f>
        <v>2400</v>
      </c>
      <c r="L60" s="79" t="s">
        <v>70</v>
      </c>
      <c r="M60" s="83">
        <v>3.8062612998382339</v>
      </c>
      <c r="N60" s="81">
        <v>3.3968394164263851E-2</v>
      </c>
      <c r="O60" s="83">
        <v>10.455329604265774</v>
      </c>
      <c r="P60" s="81">
        <v>0.27498949096151076</v>
      </c>
      <c r="Q60" s="83">
        <v>2080</v>
      </c>
      <c r="R60" s="83">
        <v>2009</v>
      </c>
      <c r="S60" s="83">
        <f>8466*1.02</f>
        <v>8635.32</v>
      </c>
      <c r="T60" s="84">
        <f t="shared" si="0"/>
        <v>9.6153846153846168</v>
      </c>
      <c r="U60" s="84">
        <f t="shared" si="1"/>
        <v>2.3160693523806879</v>
      </c>
      <c r="V60" s="85">
        <v>60</v>
      </c>
      <c r="W60" s="79" t="s">
        <v>156</v>
      </c>
      <c r="X60" s="110">
        <v>13700000</v>
      </c>
      <c r="Y60" s="136" t="s">
        <v>345</v>
      </c>
      <c r="Z60" s="110"/>
      <c r="AA60" s="110">
        <f>D60</f>
        <v>91651856.999999985</v>
      </c>
      <c r="AB60" s="110">
        <v>60277730</v>
      </c>
      <c r="AC60" s="111">
        <f>X60/AB60*100</f>
        <v>22.728128614000561</v>
      </c>
      <c r="AD60" s="88">
        <f>X60/AA60*100</f>
        <v>14.947869523254726</v>
      </c>
      <c r="AE60" s="112">
        <v>0.12167982770997847</v>
      </c>
      <c r="AF60" s="112"/>
      <c r="AG60" s="112">
        <v>5.0000000000000001E-4</v>
      </c>
      <c r="AH60" s="90"/>
      <c r="AI60" s="91"/>
      <c r="AJ60" s="79" t="s">
        <v>166</v>
      </c>
      <c r="AK60" s="92"/>
      <c r="AL60" s="63"/>
      <c r="AM60" s="63"/>
    </row>
    <row r="61" spans="1:39" s="12" customFormat="1" ht="38.25">
      <c r="A61" s="63">
        <v>1</v>
      </c>
      <c r="B61" s="78">
        <v>52</v>
      </c>
      <c r="C61" s="79" t="s">
        <v>346</v>
      </c>
      <c r="D61" s="80">
        <v>20784232.999999996</v>
      </c>
      <c r="E61" s="81">
        <v>8.9388102675828043E-2</v>
      </c>
      <c r="F61" s="82">
        <v>0.29399999999999998</v>
      </c>
      <c r="G61" s="79" t="s">
        <v>347</v>
      </c>
      <c r="H61" s="79">
        <v>2006</v>
      </c>
      <c r="I61" s="80">
        <v>300000</v>
      </c>
      <c r="J61" s="80"/>
      <c r="K61" s="80">
        <f>I61*12</f>
        <v>3600000</v>
      </c>
      <c r="L61" s="79" t="s">
        <v>348</v>
      </c>
      <c r="M61" s="83">
        <v>32.679738562091501</v>
      </c>
      <c r="N61" s="81">
        <v>0.10151921696922414</v>
      </c>
      <c r="O61" s="83">
        <v>41.822239589294455</v>
      </c>
      <c r="P61" s="81">
        <v>1.0999821919376076</v>
      </c>
      <c r="Q61" s="83">
        <v>747244</v>
      </c>
      <c r="R61" s="83">
        <v>2008</v>
      </c>
      <c r="S61" s="83">
        <v>1092075</v>
      </c>
      <c r="T61" s="84">
        <f t="shared" si="0"/>
        <v>40.147528785778142</v>
      </c>
      <c r="U61" s="84">
        <f t="shared" si="1"/>
        <v>27.470640752695559</v>
      </c>
      <c r="V61" s="85" t="s">
        <v>349</v>
      </c>
      <c r="W61" s="79" t="s">
        <v>156</v>
      </c>
      <c r="X61" s="79">
        <v>10000</v>
      </c>
      <c r="Y61" s="83" t="s">
        <v>327</v>
      </c>
      <c r="Z61" s="86"/>
      <c r="AA61" s="86">
        <v>8695488</v>
      </c>
      <c r="AB61" s="86">
        <v>30427545</v>
      </c>
      <c r="AC61" s="87">
        <f>X61/AB61*100</f>
        <v>3.2864958378995085E-2</v>
      </c>
      <c r="AD61" s="88">
        <f>X61/AA61*100</f>
        <v>0.11500217124099303</v>
      </c>
      <c r="AE61" s="89">
        <f>X61/D61</f>
        <v>4.8113394417778139E-4</v>
      </c>
      <c r="AF61" s="89"/>
      <c r="AG61" s="89">
        <v>1.0000000000000001E-5</v>
      </c>
      <c r="AH61" s="79"/>
      <c r="AI61" s="79"/>
      <c r="AJ61" s="79" t="s">
        <v>166</v>
      </c>
      <c r="AK61" s="92"/>
      <c r="AL61" s="63"/>
      <c r="AM61" s="63"/>
    </row>
    <row r="62" spans="1:39" s="12" customFormat="1" ht="12.75" hidden="1">
      <c r="A62" s="63"/>
      <c r="B62" s="78">
        <v>53</v>
      </c>
      <c r="C62" s="79" t="s">
        <v>71</v>
      </c>
      <c r="D62" s="80">
        <v>739614</v>
      </c>
      <c r="E62" s="81">
        <v>0.16117099099106955</v>
      </c>
      <c r="F62" s="82"/>
      <c r="G62" s="79" t="s">
        <v>228</v>
      </c>
      <c r="H62" s="79"/>
      <c r="I62" s="80">
        <f>K62/12</f>
        <v>986.25</v>
      </c>
      <c r="J62" s="80"/>
      <c r="K62" s="80">
        <v>11835</v>
      </c>
      <c r="L62" s="79" t="s">
        <v>180</v>
      </c>
      <c r="M62" s="83"/>
      <c r="N62" s="82"/>
      <c r="O62" s="83"/>
      <c r="P62" s="82"/>
      <c r="Q62" s="83">
        <v>1462</v>
      </c>
      <c r="R62" s="83">
        <v>2009</v>
      </c>
      <c r="S62" s="83">
        <v>3057</v>
      </c>
      <c r="T62" s="84">
        <f t="shared" si="0"/>
        <v>67.458960328317374</v>
      </c>
      <c r="U62" s="84">
        <f t="shared" si="1"/>
        <v>32.262021589793918</v>
      </c>
      <c r="V62" s="85"/>
      <c r="W62" s="79" t="s">
        <v>188</v>
      </c>
      <c r="X62" s="86"/>
      <c r="Y62" s="135"/>
      <c r="Z62" s="86"/>
      <c r="AA62" s="86"/>
      <c r="AB62" s="86"/>
      <c r="AC62" s="89" t="s">
        <v>151</v>
      </c>
      <c r="AD62" s="88" t="s">
        <v>151</v>
      </c>
      <c r="AE62" s="89"/>
      <c r="AF62" s="89"/>
      <c r="AG62" s="89"/>
      <c r="AH62" s="90"/>
      <c r="AI62" s="91"/>
      <c r="AJ62" s="79"/>
      <c r="AK62" s="92"/>
      <c r="AL62" s="63"/>
      <c r="AM62" s="63"/>
    </row>
    <row r="63" spans="1:39" s="12" customFormat="1" ht="12.75">
      <c r="A63" s="63">
        <v>1</v>
      </c>
      <c r="B63" s="78">
        <v>54</v>
      </c>
      <c r="C63" s="79" t="s">
        <v>71</v>
      </c>
      <c r="D63" s="80">
        <v>739614</v>
      </c>
      <c r="E63" s="81">
        <v>0.16117099099106955</v>
      </c>
      <c r="F63" s="82" t="s">
        <v>151</v>
      </c>
      <c r="G63" s="79" t="s">
        <v>229</v>
      </c>
      <c r="H63" s="79" t="s">
        <v>151</v>
      </c>
      <c r="I63" s="80">
        <v>949</v>
      </c>
      <c r="J63" s="80"/>
      <c r="K63" s="80">
        <f>I63*12</f>
        <v>11388</v>
      </c>
      <c r="L63" s="79" t="s">
        <v>180</v>
      </c>
      <c r="M63" s="83">
        <v>1254.7432998823265</v>
      </c>
      <c r="N63" s="81">
        <v>0.32667535792939456</v>
      </c>
      <c r="O63" s="83">
        <v>1100.9280742459398</v>
      </c>
      <c r="P63" s="81">
        <v>28.955916473317867</v>
      </c>
      <c r="Q63" s="83">
        <v>1462</v>
      </c>
      <c r="R63" s="83">
        <v>2009</v>
      </c>
      <c r="S63" s="83">
        <v>3057</v>
      </c>
      <c r="T63" s="84">
        <f t="shared" si="0"/>
        <v>64.911080711354302</v>
      </c>
      <c r="U63" s="84">
        <f t="shared" si="1"/>
        <v>31.043506705920837</v>
      </c>
      <c r="V63" s="85">
        <v>66</v>
      </c>
      <c r="W63" s="79" t="s">
        <v>156</v>
      </c>
      <c r="X63" s="86">
        <v>97784</v>
      </c>
      <c r="Y63" s="135" t="s">
        <v>250</v>
      </c>
      <c r="Z63" s="86"/>
      <c r="AA63" s="86">
        <v>492824</v>
      </c>
      <c r="AB63" s="86">
        <v>492824</v>
      </c>
      <c r="AC63" s="87">
        <v>28</v>
      </c>
      <c r="AD63" s="88">
        <v>28</v>
      </c>
      <c r="AE63" s="89">
        <f>X63/693201</f>
        <v>0.14106153914953959</v>
      </c>
      <c r="AF63" s="89"/>
      <c r="AG63" s="89" t="s">
        <v>151</v>
      </c>
      <c r="AH63" s="90"/>
      <c r="AI63" s="91"/>
      <c r="AJ63" s="79" t="s">
        <v>161</v>
      </c>
      <c r="AK63" s="92" t="s">
        <v>221</v>
      </c>
      <c r="AL63" s="63"/>
      <c r="AM63" s="63"/>
    </row>
    <row r="64" spans="1:39" s="12" customFormat="1" ht="38.25">
      <c r="A64" s="63">
        <v>1</v>
      </c>
      <c r="B64" s="78">
        <v>55</v>
      </c>
      <c r="C64" s="79" t="s">
        <v>72</v>
      </c>
      <c r="D64" s="80">
        <v>1060531</v>
      </c>
      <c r="E64" s="81">
        <v>0.14557669127922962</v>
      </c>
      <c r="F64" s="82" t="s">
        <v>151</v>
      </c>
      <c r="G64" s="79" t="s">
        <v>350</v>
      </c>
      <c r="H64" s="79" t="s">
        <v>151</v>
      </c>
      <c r="I64" s="80">
        <v>1481</v>
      </c>
      <c r="J64" s="80"/>
      <c r="K64" s="80">
        <f>I64*12</f>
        <v>17772</v>
      </c>
      <c r="L64" s="79" t="s">
        <v>73</v>
      </c>
      <c r="M64" s="83">
        <v>394.64182457224928</v>
      </c>
      <c r="N64" s="81">
        <v>0.15288934669664681</v>
      </c>
      <c r="O64" s="83">
        <v>401.57266811279823</v>
      </c>
      <c r="P64" s="81">
        <v>10.561911270911953</v>
      </c>
      <c r="Q64" s="83">
        <v>3850</v>
      </c>
      <c r="R64" s="83">
        <v>2009</v>
      </c>
      <c r="S64" s="83">
        <v>7974</v>
      </c>
      <c r="T64" s="84">
        <f t="shared" si="0"/>
        <v>38.467532467532465</v>
      </c>
      <c r="U64" s="84">
        <f t="shared" si="1"/>
        <v>18.57286180085277</v>
      </c>
      <c r="V64" s="85" t="s">
        <v>351</v>
      </c>
      <c r="W64" s="79" t="s">
        <v>156</v>
      </c>
      <c r="X64" s="86" t="s">
        <v>151</v>
      </c>
      <c r="Y64" s="135"/>
      <c r="Z64" s="86"/>
      <c r="AA64" s="86"/>
      <c r="AB64" s="86"/>
      <c r="AC64" s="89" t="s">
        <v>151</v>
      </c>
      <c r="AD64" s="88" t="s">
        <v>151</v>
      </c>
      <c r="AE64" s="89" t="s">
        <v>151</v>
      </c>
      <c r="AF64" s="89"/>
      <c r="AG64" s="89" t="s">
        <v>151</v>
      </c>
      <c r="AH64" s="90"/>
      <c r="AI64" s="91"/>
      <c r="AJ64" s="79" t="s">
        <v>153</v>
      </c>
      <c r="AK64" s="92" t="s">
        <v>221</v>
      </c>
      <c r="AL64" s="63"/>
      <c r="AM64" s="63"/>
    </row>
    <row r="65" spans="1:39" s="12" customFormat="1" ht="25.5">
      <c r="A65" s="63">
        <v>1</v>
      </c>
      <c r="B65" s="78">
        <v>56</v>
      </c>
      <c r="C65" s="79" t="s">
        <v>74</v>
      </c>
      <c r="D65" s="80">
        <v>16015984.999999998</v>
      </c>
      <c r="E65" s="81">
        <v>0.26649973699433138</v>
      </c>
      <c r="F65" s="82" t="s">
        <v>151</v>
      </c>
      <c r="G65" s="79" t="s">
        <v>352</v>
      </c>
      <c r="H65" s="79" t="s">
        <v>151</v>
      </c>
      <c r="I65" s="80">
        <v>411.53</v>
      </c>
      <c r="J65" s="80"/>
      <c r="K65" s="80">
        <f>I65*12</f>
        <v>4938.3599999999997</v>
      </c>
      <c r="L65" s="79" t="s">
        <v>180</v>
      </c>
      <c r="M65" s="83">
        <v>544.11434162336548</v>
      </c>
      <c r="N65" s="81">
        <v>0.20099726939595197</v>
      </c>
      <c r="O65" s="83">
        <v>470.32</v>
      </c>
      <c r="P65" s="81">
        <v>12.370060273972602</v>
      </c>
      <c r="Q65" s="83" t="s">
        <v>151</v>
      </c>
      <c r="R65" s="83">
        <v>2009</v>
      </c>
      <c r="S65" s="83">
        <f>2070*112/108</f>
        <v>2146.6666666666665</v>
      </c>
      <c r="T65" s="84" t="str">
        <f t="shared" si="0"/>
        <v>no data</v>
      </c>
      <c r="U65" s="84">
        <f t="shared" si="1"/>
        <v>19.170652173913044</v>
      </c>
      <c r="V65" s="85">
        <v>65</v>
      </c>
      <c r="W65" s="79" t="s">
        <v>156</v>
      </c>
      <c r="X65" s="86">
        <v>859985</v>
      </c>
      <c r="Y65" s="135" t="s">
        <v>250</v>
      </c>
      <c r="Z65" s="86"/>
      <c r="AA65" s="86">
        <v>11998888</v>
      </c>
      <c r="AB65" s="86">
        <f>AA65</f>
        <v>11998888</v>
      </c>
      <c r="AC65" s="87">
        <f>X65/AA65*100</f>
        <v>7.1672058277400374</v>
      </c>
      <c r="AD65" s="88">
        <f>X65/AB65*100</f>
        <v>7.1672058277400374</v>
      </c>
      <c r="AE65" s="89">
        <f>X65/15563725</f>
        <v>5.5255730874196246E-2</v>
      </c>
      <c r="AF65" s="89"/>
      <c r="AG65" s="89" t="s">
        <v>151</v>
      </c>
      <c r="AH65" s="90"/>
      <c r="AI65" s="91"/>
      <c r="AJ65" s="79" t="s">
        <v>161</v>
      </c>
      <c r="AK65" s="92" t="s">
        <v>221</v>
      </c>
      <c r="AL65" s="63"/>
      <c r="AM65" s="63"/>
    </row>
    <row r="66" spans="1:39" s="12" customFormat="1" ht="12.75" hidden="1">
      <c r="A66" s="63"/>
      <c r="B66" s="78">
        <v>57</v>
      </c>
      <c r="C66" s="79" t="s">
        <v>74</v>
      </c>
      <c r="D66" s="80">
        <v>16015984.999999998</v>
      </c>
      <c r="E66" s="81">
        <v>0.26649973699433138</v>
      </c>
      <c r="F66" s="82"/>
      <c r="G66" s="79" t="s">
        <v>230</v>
      </c>
      <c r="H66" s="79"/>
      <c r="I66" s="80">
        <f>K66/12</f>
        <v>436.16666666666669</v>
      </c>
      <c r="J66" s="80"/>
      <c r="K66" s="80">
        <v>5234</v>
      </c>
      <c r="L66" s="79"/>
      <c r="M66" s="83">
        <f>I66*M65/I65</f>
        <v>576.68830625079886</v>
      </c>
      <c r="N66" s="82">
        <f>I66*N65/I65</f>
        <v>0.21303017763354892</v>
      </c>
      <c r="O66" s="83">
        <f>I66*O65/I65</f>
        <v>498.47619047619054</v>
      </c>
      <c r="P66" s="82"/>
      <c r="Q66" s="83" t="s">
        <v>151</v>
      </c>
      <c r="R66" s="83"/>
      <c r="S66" s="83">
        <v>2146.6999999999998</v>
      </c>
      <c r="T66" s="84" t="str">
        <f t="shared" si="0"/>
        <v>no data</v>
      </c>
      <c r="U66" s="84">
        <f t="shared" si="1"/>
        <v>20.318007484355835</v>
      </c>
      <c r="V66" s="85"/>
      <c r="W66" s="79"/>
      <c r="X66" s="86"/>
      <c r="Y66" s="135"/>
      <c r="Z66" s="86"/>
      <c r="AA66" s="86"/>
      <c r="AB66" s="86"/>
      <c r="AC66" s="87">
        <v>32</v>
      </c>
      <c r="AD66" s="88"/>
      <c r="AE66" s="89"/>
      <c r="AF66" s="89"/>
      <c r="AG66" s="89"/>
      <c r="AH66" s="90"/>
      <c r="AI66" s="91"/>
      <c r="AJ66" s="79" t="s">
        <v>161</v>
      </c>
      <c r="AK66" s="92" t="s">
        <v>221</v>
      </c>
      <c r="AL66" s="63"/>
      <c r="AM66" s="63"/>
    </row>
    <row r="67" spans="1:39" s="12" customFormat="1" ht="38.25">
      <c r="A67" s="63">
        <v>1</v>
      </c>
      <c r="B67" s="78">
        <v>58</v>
      </c>
      <c r="C67" s="79" t="s">
        <v>75</v>
      </c>
      <c r="D67" s="80">
        <v>296811</v>
      </c>
      <c r="E67" s="81">
        <v>0.10706767148648547</v>
      </c>
      <c r="F67" s="82">
        <v>0.17199999999999999</v>
      </c>
      <c r="G67" s="79" t="s">
        <v>76</v>
      </c>
      <c r="H67" s="79">
        <v>2001</v>
      </c>
      <c r="I67" s="80">
        <v>930</v>
      </c>
      <c r="J67" s="80"/>
      <c r="K67" s="80">
        <f>I67*12</f>
        <v>11160</v>
      </c>
      <c r="L67" s="79" t="s">
        <v>77</v>
      </c>
      <c r="M67" s="83">
        <v>10.776361529548089</v>
      </c>
      <c r="N67" s="81">
        <v>3.0057890608503383E-2</v>
      </c>
      <c r="O67" s="83">
        <v>22.610133229602258</v>
      </c>
      <c r="P67" s="81">
        <v>0.59467747672378535</v>
      </c>
      <c r="Q67" s="83">
        <v>17637</v>
      </c>
      <c r="R67" s="83">
        <v>2009</v>
      </c>
      <c r="S67" s="83">
        <v>71080</v>
      </c>
      <c r="T67" s="84">
        <f t="shared" si="0"/>
        <v>5.2730056131995235</v>
      </c>
      <c r="U67" s="84">
        <f t="shared" si="1"/>
        <v>1.3083849184018008</v>
      </c>
      <c r="V67" s="85">
        <v>60</v>
      </c>
      <c r="W67" s="79" t="s">
        <v>156</v>
      </c>
      <c r="X67" s="86">
        <v>48775</v>
      </c>
      <c r="Y67" s="135">
        <v>2010</v>
      </c>
      <c r="Z67" s="86"/>
      <c r="AA67" s="86">
        <v>296811</v>
      </c>
      <c r="AB67" s="86"/>
      <c r="AC67" s="87"/>
      <c r="AD67" s="88">
        <v>19.5</v>
      </c>
      <c r="AE67" s="89">
        <v>0.19503791182983293</v>
      </c>
      <c r="AF67" s="89"/>
      <c r="AG67" s="89">
        <v>4.2197946264476799E-4</v>
      </c>
      <c r="AH67" s="90"/>
      <c r="AI67" s="91"/>
      <c r="AJ67" s="79" t="s">
        <v>157</v>
      </c>
      <c r="AK67" s="92"/>
      <c r="AL67" s="63"/>
      <c r="AM67" s="63"/>
    </row>
    <row r="68" spans="1:39" s="12" customFormat="1" ht="12.75">
      <c r="A68" s="63">
        <v>1</v>
      </c>
      <c r="B68" s="78">
        <v>59</v>
      </c>
      <c r="C68" s="79" t="s">
        <v>233</v>
      </c>
      <c r="D68" s="80"/>
      <c r="E68" s="81"/>
      <c r="F68" s="82"/>
      <c r="G68" s="79" t="s">
        <v>228</v>
      </c>
      <c r="H68" s="79"/>
      <c r="I68" s="80">
        <f>K68/12</f>
        <v>66008.333333333328</v>
      </c>
      <c r="J68" s="80"/>
      <c r="K68" s="80">
        <v>792100</v>
      </c>
      <c r="L68" s="79"/>
      <c r="M68" s="83"/>
      <c r="N68" s="81"/>
      <c r="O68" s="83"/>
      <c r="P68" s="81"/>
      <c r="Q68" s="83">
        <v>123587</v>
      </c>
      <c r="R68" s="83">
        <v>2009</v>
      </c>
      <c r="S68" s="83">
        <v>318100</v>
      </c>
      <c r="T68" s="84">
        <f t="shared" si="0"/>
        <v>53.410418032101539</v>
      </c>
      <c r="U68" s="84">
        <f t="shared" si="1"/>
        <v>20.750812113591113</v>
      </c>
      <c r="V68" s="85"/>
      <c r="W68" s="79" t="s">
        <v>188</v>
      </c>
      <c r="X68" s="86"/>
      <c r="Y68" s="135"/>
      <c r="Z68" s="86"/>
      <c r="AA68" s="86"/>
      <c r="AB68" s="86"/>
      <c r="AC68" s="87"/>
      <c r="AD68" s="88" t="s">
        <v>151</v>
      </c>
      <c r="AE68" s="89"/>
      <c r="AF68" s="89"/>
      <c r="AG68" s="89"/>
      <c r="AH68" s="90"/>
      <c r="AI68" s="91"/>
      <c r="AJ68" s="79" t="s">
        <v>161</v>
      </c>
      <c r="AK68" s="92" t="s">
        <v>221</v>
      </c>
      <c r="AL68" s="63"/>
      <c r="AM68" s="63"/>
    </row>
    <row r="69" spans="1:39" s="12" customFormat="1" ht="12.75">
      <c r="A69" s="63">
        <v>1</v>
      </c>
      <c r="B69" s="78">
        <v>60</v>
      </c>
      <c r="C69" s="79" t="s">
        <v>233</v>
      </c>
      <c r="D69" s="80"/>
      <c r="E69" s="81"/>
      <c r="F69" s="82"/>
      <c r="G69" s="79" t="s">
        <v>229</v>
      </c>
      <c r="H69" s="79"/>
      <c r="I69" s="80">
        <f>K69/12</f>
        <v>80817.5</v>
      </c>
      <c r="J69" s="80"/>
      <c r="K69" s="80">
        <v>969810</v>
      </c>
      <c r="L69" s="79"/>
      <c r="M69" s="83"/>
      <c r="N69" s="81"/>
      <c r="O69" s="83"/>
      <c r="P69" s="81"/>
      <c r="Q69" s="83">
        <v>123587</v>
      </c>
      <c r="R69" s="83">
        <v>2009</v>
      </c>
      <c r="S69" s="83">
        <v>318100</v>
      </c>
      <c r="T69" s="84">
        <f t="shared" si="0"/>
        <v>65.393204786911241</v>
      </c>
      <c r="U69" s="84">
        <f t="shared" si="1"/>
        <v>25.406318767683118</v>
      </c>
      <c r="V69" s="85"/>
      <c r="W69" s="79" t="s">
        <v>156</v>
      </c>
      <c r="X69" s="86"/>
      <c r="Y69" s="135"/>
      <c r="Z69" s="86"/>
      <c r="AA69" s="86"/>
      <c r="AB69" s="86"/>
      <c r="AC69" s="87">
        <v>2</v>
      </c>
      <c r="AD69" s="88">
        <v>2</v>
      </c>
      <c r="AE69" s="89"/>
      <c r="AF69" s="89"/>
      <c r="AG69" s="89"/>
      <c r="AH69" s="90"/>
      <c r="AI69" s="91"/>
      <c r="AJ69" s="79" t="s">
        <v>161</v>
      </c>
      <c r="AK69" s="92" t="s">
        <v>221</v>
      </c>
      <c r="AL69" s="63"/>
      <c r="AM69" s="63"/>
    </row>
    <row r="70" spans="1:39" s="12" customFormat="1" ht="25.5">
      <c r="A70" s="63">
        <v>1</v>
      </c>
      <c r="B70" s="78">
        <v>61</v>
      </c>
      <c r="C70" s="79" t="s">
        <v>78</v>
      </c>
      <c r="D70" s="80">
        <v>1607771.9999999998</v>
      </c>
      <c r="E70" s="81">
        <v>0.10205834146911216</v>
      </c>
      <c r="F70" s="82">
        <v>0.02</v>
      </c>
      <c r="G70" s="79" t="s">
        <v>79</v>
      </c>
      <c r="H70" s="79"/>
      <c r="I70" s="80">
        <v>8000</v>
      </c>
      <c r="J70" s="80"/>
      <c r="K70" s="80">
        <f t="shared" ref="K70:K79" si="5">I70*12</f>
        <v>96000</v>
      </c>
      <c r="L70" s="79" t="s">
        <v>353</v>
      </c>
      <c r="M70" s="83">
        <v>54.182187605824581</v>
      </c>
      <c r="N70" s="81">
        <v>6.0696450994736591E-2</v>
      </c>
      <c r="O70" s="83">
        <v>65.761352053398213</v>
      </c>
      <c r="P70" s="81">
        <v>1.7296136430482816</v>
      </c>
      <c r="Q70" s="83">
        <v>13717</v>
      </c>
      <c r="R70" s="83">
        <v>2009</v>
      </c>
      <c r="S70" s="83">
        <v>67333</v>
      </c>
      <c r="T70" s="84">
        <f t="shared" si="0"/>
        <v>58.321790478967706</v>
      </c>
      <c r="U70" s="84">
        <f t="shared" si="1"/>
        <v>11.881246936866024</v>
      </c>
      <c r="V70" s="85" t="s">
        <v>357</v>
      </c>
      <c r="W70" s="79" t="s">
        <v>165</v>
      </c>
      <c r="X70" s="86" t="s">
        <v>151</v>
      </c>
      <c r="Y70" s="135"/>
      <c r="Z70" s="86"/>
      <c r="AA70" s="86"/>
      <c r="AB70" s="86"/>
      <c r="AC70" s="87"/>
      <c r="AD70" s="88" t="s">
        <v>151</v>
      </c>
      <c r="AE70" s="89" t="s">
        <v>151</v>
      </c>
      <c r="AF70" s="89"/>
      <c r="AG70" s="89" t="s">
        <v>151</v>
      </c>
      <c r="AH70" s="90"/>
      <c r="AI70" s="91"/>
      <c r="AJ70" s="79" t="s">
        <v>157</v>
      </c>
      <c r="AK70" s="92"/>
      <c r="AL70" s="63"/>
      <c r="AM70" s="63"/>
    </row>
    <row r="71" spans="1:39" s="12" customFormat="1" ht="38.25">
      <c r="A71" s="63">
        <v>1</v>
      </c>
      <c r="B71" s="78">
        <v>62</v>
      </c>
      <c r="C71" s="79" t="s">
        <v>80</v>
      </c>
      <c r="D71" s="80">
        <v>1626955</v>
      </c>
      <c r="E71" s="81">
        <v>4.1421166877534381E-2</v>
      </c>
      <c r="F71" s="82">
        <v>0.19719999999999999</v>
      </c>
      <c r="G71" s="79" t="s">
        <v>81</v>
      </c>
      <c r="H71" s="79" t="s">
        <v>358</v>
      </c>
      <c r="I71" s="80">
        <v>1500</v>
      </c>
      <c r="J71" s="80"/>
      <c r="K71" s="80">
        <f t="shared" si="5"/>
        <v>18000</v>
      </c>
      <c r="L71" s="79" t="s">
        <v>82</v>
      </c>
      <c r="M71" s="83">
        <v>18.028846153846153</v>
      </c>
      <c r="N71" s="81">
        <v>0.24544707605375371</v>
      </c>
      <c r="O71" s="83">
        <v>35.711734876080278</v>
      </c>
      <c r="P71" s="81">
        <v>0.93926754742567298</v>
      </c>
      <c r="Q71" s="83">
        <v>9641</v>
      </c>
      <c r="R71" s="83" t="s">
        <v>316</v>
      </c>
      <c r="S71" s="83">
        <v>32763</v>
      </c>
      <c r="T71" s="84">
        <f t="shared" si="0"/>
        <v>15.558552017425578</v>
      </c>
      <c r="U71" s="84">
        <f t="shared" si="1"/>
        <v>4.5783353172786372</v>
      </c>
      <c r="V71" s="85">
        <v>65</v>
      </c>
      <c r="W71" s="79" t="s">
        <v>156</v>
      </c>
      <c r="X71" s="86">
        <v>33000</v>
      </c>
      <c r="Y71" s="135">
        <v>2009</v>
      </c>
      <c r="Z71" s="86"/>
      <c r="AA71" s="86">
        <v>1049224</v>
      </c>
      <c r="AB71" s="86">
        <v>1049224</v>
      </c>
      <c r="AC71" s="87">
        <f>X71/AB71*100</f>
        <v>3.1451815818166571</v>
      </c>
      <c r="AD71" s="88">
        <f>X71/AA71*100</f>
        <v>3.1451815818166571</v>
      </c>
      <c r="AE71" s="89">
        <f>X71/D71</f>
        <v>2.0283289949629829E-2</v>
      </c>
      <c r="AF71" s="89">
        <f>X71/2448904</f>
        <v>1.3475415941172051E-2</v>
      </c>
      <c r="AG71" s="89">
        <v>1.9798944056316999E-4</v>
      </c>
      <c r="AH71" s="90"/>
      <c r="AI71" s="91"/>
      <c r="AJ71" s="79" t="s">
        <v>172</v>
      </c>
      <c r="AK71" s="92"/>
      <c r="AL71" s="63"/>
      <c r="AM71" s="63"/>
    </row>
    <row r="72" spans="1:39" s="12" customFormat="1" ht="25.5">
      <c r="A72" s="63">
        <v>1</v>
      </c>
      <c r="B72" s="78">
        <v>63</v>
      </c>
      <c r="C72" s="79" t="s">
        <v>80</v>
      </c>
      <c r="D72" s="80">
        <v>1755480</v>
      </c>
      <c r="E72" s="81">
        <v>4.1421166877534381E-2</v>
      </c>
      <c r="F72" s="82">
        <v>0.19719999999999999</v>
      </c>
      <c r="G72" s="79" t="s">
        <v>83</v>
      </c>
      <c r="H72" s="79" t="s">
        <v>359</v>
      </c>
      <c r="I72" s="80">
        <v>1075</v>
      </c>
      <c r="J72" s="80"/>
      <c r="K72" s="80">
        <f t="shared" si="5"/>
        <v>12900</v>
      </c>
      <c r="L72" s="79" t="s">
        <v>82</v>
      </c>
      <c r="M72" s="83">
        <v>12.920673076923077</v>
      </c>
      <c r="N72" s="81">
        <v>0.17590373783852348</v>
      </c>
      <c r="O72" s="83">
        <v>25.593409994524201</v>
      </c>
      <c r="P72" s="81">
        <v>0.67314174232173241</v>
      </c>
      <c r="Q72" s="83">
        <v>9641</v>
      </c>
      <c r="R72" s="83" t="s">
        <v>316</v>
      </c>
      <c r="S72" s="83">
        <v>32763</v>
      </c>
      <c r="T72" s="84">
        <f t="shared" si="0"/>
        <v>11.150295612488332</v>
      </c>
      <c r="U72" s="84">
        <f t="shared" si="1"/>
        <v>3.2811403107163564</v>
      </c>
      <c r="V72" s="85">
        <v>55</v>
      </c>
      <c r="W72" s="79" t="s">
        <v>188</v>
      </c>
      <c r="X72" s="86" t="s">
        <v>151</v>
      </c>
      <c r="Y72" s="135"/>
      <c r="Z72" s="86"/>
      <c r="AA72" s="86"/>
      <c r="AB72" s="86"/>
      <c r="AC72" s="87"/>
      <c r="AD72" s="88" t="s">
        <v>151</v>
      </c>
      <c r="AE72" s="89" t="s">
        <v>151</v>
      </c>
      <c r="AF72" s="89"/>
      <c r="AG72" s="89" t="s">
        <v>151</v>
      </c>
      <c r="AH72" s="90"/>
      <c r="AI72" s="91"/>
      <c r="AJ72" s="79" t="s">
        <v>172</v>
      </c>
      <c r="AK72" s="92"/>
      <c r="AL72" s="63"/>
      <c r="AM72" s="63"/>
    </row>
    <row r="73" spans="1:39" s="12" customFormat="1" ht="12.75">
      <c r="A73" s="63">
        <v>1</v>
      </c>
      <c r="B73" s="78">
        <v>64</v>
      </c>
      <c r="C73" s="79" t="s">
        <v>84</v>
      </c>
      <c r="D73" s="80" t="s">
        <v>151</v>
      </c>
      <c r="E73" s="81" t="s">
        <v>151</v>
      </c>
      <c r="F73" s="82" t="s">
        <v>151</v>
      </c>
      <c r="G73" s="79" t="s">
        <v>360</v>
      </c>
      <c r="H73" s="79">
        <v>2003</v>
      </c>
      <c r="I73" s="80">
        <v>60</v>
      </c>
      <c r="J73" s="80"/>
      <c r="K73" s="80">
        <f t="shared" si="5"/>
        <v>720</v>
      </c>
      <c r="L73" s="79" t="s">
        <v>160</v>
      </c>
      <c r="M73" s="83">
        <v>62.028646896758488</v>
      </c>
      <c r="N73" s="81">
        <v>0.46662467044632649</v>
      </c>
      <c r="O73" s="83">
        <v>222.2222222222222</v>
      </c>
      <c r="P73" s="81">
        <v>5.8447488584474874</v>
      </c>
      <c r="Q73" s="83" t="s">
        <v>151</v>
      </c>
      <c r="R73" s="83"/>
      <c r="S73" s="83" t="s">
        <v>151</v>
      </c>
      <c r="T73" s="84" t="str">
        <f t="shared" si="0"/>
        <v>no data</v>
      </c>
      <c r="U73" s="84" t="str">
        <f t="shared" si="1"/>
        <v>no data</v>
      </c>
      <c r="V73" s="85">
        <v>67</v>
      </c>
      <c r="W73" s="79" t="s">
        <v>188</v>
      </c>
      <c r="X73" s="86">
        <v>1974</v>
      </c>
      <c r="Y73" s="135"/>
      <c r="Z73" s="86"/>
      <c r="AA73" s="86"/>
      <c r="AB73" s="86"/>
      <c r="AC73" s="87"/>
      <c r="AD73" s="88" t="s">
        <v>151</v>
      </c>
      <c r="AE73" s="89" t="s">
        <v>151</v>
      </c>
      <c r="AF73" s="89"/>
      <c r="AG73" s="89">
        <v>6.4999999999999997E-3</v>
      </c>
      <c r="AH73" s="90"/>
      <c r="AI73" s="91"/>
      <c r="AJ73" s="79" t="s">
        <v>166</v>
      </c>
      <c r="AK73" s="92"/>
      <c r="AL73" s="63"/>
      <c r="AM73" s="63"/>
    </row>
    <row r="74" spans="1:39" s="12" customFormat="1" ht="12.75">
      <c r="A74" s="63">
        <v>1</v>
      </c>
      <c r="B74" s="78">
        <v>65</v>
      </c>
      <c r="C74" s="116" t="s">
        <v>85</v>
      </c>
      <c r="D74" s="80">
        <v>7563710</v>
      </c>
      <c r="E74" s="81">
        <v>0.15595047801045905</v>
      </c>
      <c r="F74" s="82"/>
      <c r="G74" s="79" t="s">
        <v>544</v>
      </c>
      <c r="H74" s="79">
        <v>2007</v>
      </c>
      <c r="I74" s="80">
        <v>91200</v>
      </c>
      <c r="J74" s="80"/>
      <c r="K74" s="80">
        <f t="shared" si="5"/>
        <v>1094400</v>
      </c>
      <c r="L74" s="79" t="s">
        <v>86</v>
      </c>
      <c r="M74" s="83">
        <v>79.957916885849556</v>
      </c>
      <c r="N74" s="81">
        <v>4.3351839659832095E-2</v>
      </c>
      <c r="O74" s="83">
        <v>114.57056139575084</v>
      </c>
      <c r="P74" s="81">
        <v>3.0133627106827618</v>
      </c>
      <c r="Q74" s="83">
        <v>693333</v>
      </c>
      <c r="R74" s="83">
        <v>2009</v>
      </c>
      <c r="S74" s="83">
        <v>2622024</v>
      </c>
      <c r="T74" s="84">
        <f t="shared" si="0"/>
        <v>13.153852477813691</v>
      </c>
      <c r="U74" s="84">
        <f t="shared" si="1"/>
        <v>3.4782290322285379</v>
      </c>
      <c r="V74" s="85"/>
      <c r="W74" s="79" t="s">
        <v>188</v>
      </c>
      <c r="X74" s="86">
        <v>3609794</v>
      </c>
      <c r="Y74" s="135"/>
      <c r="Z74" s="86"/>
      <c r="AA74" s="86">
        <v>5369317</v>
      </c>
      <c r="AB74" s="86">
        <f>AA74</f>
        <v>5369317</v>
      </c>
      <c r="AC74" s="87">
        <f>X74/AB74*100</f>
        <v>67.230040617829047</v>
      </c>
      <c r="AD74" s="88">
        <v>60</v>
      </c>
      <c r="AE74" s="89">
        <v>0.42530000000000001</v>
      </c>
      <c r="AF74" s="89"/>
      <c r="AG74" s="89">
        <v>3.1933299666113799E-3</v>
      </c>
      <c r="AH74" s="90"/>
      <c r="AI74" s="91"/>
      <c r="AJ74" s="79"/>
      <c r="AK74" s="92" t="s">
        <v>221</v>
      </c>
      <c r="AL74" s="63"/>
      <c r="AM74" s="63"/>
    </row>
    <row r="75" spans="1:39" s="12" customFormat="1" ht="12.75">
      <c r="A75" s="63">
        <v>1</v>
      </c>
      <c r="B75" s="78">
        <v>67</v>
      </c>
      <c r="C75" s="79" t="s">
        <v>87</v>
      </c>
      <c r="D75" s="80" t="s">
        <v>151</v>
      </c>
      <c r="E75" s="81" t="s">
        <v>151</v>
      </c>
      <c r="F75" s="82" t="s">
        <v>151</v>
      </c>
      <c r="G75" s="79" t="s">
        <v>88</v>
      </c>
      <c r="H75" s="79">
        <v>2002</v>
      </c>
      <c r="I75" s="80">
        <v>45</v>
      </c>
      <c r="J75" s="80"/>
      <c r="K75" s="80">
        <f t="shared" si="5"/>
        <v>540</v>
      </c>
      <c r="L75" s="79" t="s">
        <v>89</v>
      </c>
      <c r="M75" s="83">
        <v>59.497838245210431</v>
      </c>
      <c r="N75" s="81">
        <v>0.375</v>
      </c>
      <c r="O75" s="83">
        <v>128.2051282051282</v>
      </c>
      <c r="P75" s="81">
        <v>3.3719704952581662</v>
      </c>
      <c r="Q75" s="83" t="s">
        <v>151</v>
      </c>
      <c r="R75" s="83"/>
      <c r="S75" s="83" t="s">
        <v>151</v>
      </c>
      <c r="T75" s="84" t="str">
        <f t="shared" si="0"/>
        <v>no data</v>
      </c>
      <c r="U75" s="84" t="str">
        <f t="shared" si="1"/>
        <v>no data</v>
      </c>
      <c r="V75" s="85">
        <v>65</v>
      </c>
      <c r="W75" s="79" t="s">
        <v>188</v>
      </c>
      <c r="X75" s="86">
        <v>109858</v>
      </c>
      <c r="Y75" s="135"/>
      <c r="Z75" s="86"/>
      <c r="AA75" s="86">
        <f>2207000*0.09</f>
        <v>198630</v>
      </c>
      <c r="AB75" s="86">
        <v>198630</v>
      </c>
      <c r="AC75" s="87">
        <f>X75/AB75*100</f>
        <v>55.307858833006094</v>
      </c>
      <c r="AD75" s="88">
        <v>60</v>
      </c>
      <c r="AE75" s="89" t="s">
        <v>151</v>
      </c>
      <c r="AF75" s="89"/>
      <c r="AG75" s="89">
        <v>3.39E-2</v>
      </c>
      <c r="AH75" s="90"/>
      <c r="AI75" s="91"/>
      <c r="AJ75" s="79" t="s">
        <v>166</v>
      </c>
      <c r="AK75" s="92"/>
      <c r="AL75" s="63"/>
      <c r="AM75" s="63"/>
    </row>
    <row r="76" spans="1:39" s="12" customFormat="1" ht="25.5">
      <c r="A76" s="63">
        <v>1</v>
      </c>
      <c r="B76" s="78">
        <v>68</v>
      </c>
      <c r="C76" s="79" t="s">
        <v>90</v>
      </c>
      <c r="D76" s="80">
        <v>404435.99999999994</v>
      </c>
      <c r="E76" s="81">
        <v>7.2868213422881425E-2</v>
      </c>
      <c r="F76" s="82">
        <v>3.4200000000000001E-2</v>
      </c>
      <c r="G76" s="79" t="s">
        <v>545</v>
      </c>
      <c r="H76" s="79" t="s">
        <v>151</v>
      </c>
      <c r="I76" s="80">
        <v>1000</v>
      </c>
      <c r="J76" s="80"/>
      <c r="K76" s="80">
        <f t="shared" si="5"/>
        <v>12000</v>
      </c>
      <c r="L76" s="79" t="s">
        <v>91</v>
      </c>
      <c r="M76" s="83">
        <v>21.328783192918845</v>
      </c>
      <c r="N76" s="81">
        <v>0.2982774848099084</v>
      </c>
      <c r="O76" s="83">
        <v>55.178502455443358</v>
      </c>
      <c r="P76" s="81">
        <v>1.4512702015678252</v>
      </c>
      <c r="Q76" s="83">
        <v>340</v>
      </c>
      <c r="R76" s="83">
        <v>2009</v>
      </c>
      <c r="S76" s="83">
        <v>6161</v>
      </c>
      <c r="T76" s="84">
        <f t="shared" ref="T76:T126" si="6">IF(Q76="no data","no data",I76/Q76*100)</f>
        <v>294.11764705882354</v>
      </c>
      <c r="U76" s="84">
        <f t="shared" ref="U76:U126" si="7">IF(S76="no data","no data",I76/S76*100)</f>
        <v>16.231131309852298</v>
      </c>
      <c r="V76" s="85" t="s">
        <v>92</v>
      </c>
      <c r="W76" s="79" t="s">
        <v>165</v>
      </c>
      <c r="X76" s="86" t="s">
        <v>151</v>
      </c>
      <c r="Y76" s="135"/>
      <c r="Z76" s="86"/>
      <c r="AA76" s="86"/>
      <c r="AB76" s="86"/>
      <c r="AC76" s="87"/>
      <c r="AD76" s="88" t="s">
        <v>151</v>
      </c>
      <c r="AE76" s="89" t="s">
        <v>151</v>
      </c>
      <c r="AF76" s="89"/>
      <c r="AG76" s="89" t="s">
        <v>151</v>
      </c>
      <c r="AH76" s="90"/>
      <c r="AI76" s="91"/>
      <c r="AJ76" s="79" t="s">
        <v>172</v>
      </c>
      <c r="AK76" s="92"/>
      <c r="AL76" s="63"/>
      <c r="AM76" s="63"/>
    </row>
    <row r="77" spans="1:39" s="12" customFormat="1" ht="12.75">
      <c r="A77" s="63">
        <v>1</v>
      </c>
      <c r="B77" s="78">
        <v>69</v>
      </c>
      <c r="C77" s="79" t="s">
        <v>93</v>
      </c>
      <c r="D77" s="80">
        <v>504569</v>
      </c>
      <c r="E77" s="81">
        <v>0.2252273726545744</v>
      </c>
      <c r="F77" s="82">
        <v>0.02</v>
      </c>
      <c r="G77" s="79" t="s">
        <v>546</v>
      </c>
      <c r="H77" s="79" t="s">
        <v>151</v>
      </c>
      <c r="I77" s="80">
        <v>45</v>
      </c>
      <c r="J77" s="80"/>
      <c r="K77" s="80">
        <f t="shared" si="5"/>
        <v>540</v>
      </c>
      <c r="L77" s="79" t="s">
        <v>94</v>
      </c>
      <c r="M77" s="83">
        <v>85.047031008147499</v>
      </c>
      <c r="N77" s="81">
        <v>8.5022512859261448E-2</v>
      </c>
      <c r="O77" s="83">
        <v>110.83743842364531</v>
      </c>
      <c r="P77" s="81">
        <v>2.9151764626493013</v>
      </c>
      <c r="Q77" s="83">
        <v>180</v>
      </c>
      <c r="R77" s="83">
        <v>2009</v>
      </c>
      <c r="S77" s="83">
        <v>461</v>
      </c>
      <c r="T77" s="84">
        <f t="shared" si="6"/>
        <v>25</v>
      </c>
      <c r="U77" s="84">
        <f t="shared" si="7"/>
        <v>9.7613882863340571</v>
      </c>
      <c r="V77" s="85">
        <v>67</v>
      </c>
      <c r="W77" s="79" t="s">
        <v>165</v>
      </c>
      <c r="X77" s="86">
        <v>1077</v>
      </c>
      <c r="Y77" s="135" t="s">
        <v>556</v>
      </c>
      <c r="Z77" s="86"/>
      <c r="AA77" s="86"/>
      <c r="AB77" s="86"/>
      <c r="AC77" s="87"/>
      <c r="AD77" s="88" t="s">
        <v>151</v>
      </c>
      <c r="AE77" s="89" t="s">
        <v>151</v>
      </c>
      <c r="AF77" s="89"/>
      <c r="AG77" s="89" t="s">
        <v>151</v>
      </c>
      <c r="AH77" s="90"/>
      <c r="AI77" s="91"/>
      <c r="AJ77" s="79" t="s">
        <v>157</v>
      </c>
      <c r="AK77" s="92"/>
      <c r="AL77" s="63"/>
      <c r="AM77" s="63"/>
    </row>
    <row r="78" spans="1:39" s="12" customFormat="1" ht="12.75">
      <c r="A78" s="63">
        <v>1</v>
      </c>
      <c r="B78" s="78">
        <v>70</v>
      </c>
      <c r="C78" s="79" t="s">
        <v>95</v>
      </c>
      <c r="D78" s="80">
        <v>145844.00000000003</v>
      </c>
      <c r="E78" s="81">
        <v>6.997661432638802E-2</v>
      </c>
      <c r="F78" s="82">
        <v>0.43409999999999999</v>
      </c>
      <c r="G78" s="79" t="s">
        <v>206</v>
      </c>
      <c r="H78" s="79">
        <v>2004</v>
      </c>
      <c r="I78" s="80">
        <v>300</v>
      </c>
      <c r="J78" s="80"/>
      <c r="K78" s="80">
        <f t="shared" si="5"/>
        <v>3600</v>
      </c>
      <c r="L78" s="79" t="s">
        <v>96</v>
      </c>
      <c r="M78" s="83">
        <v>38.662982514021778</v>
      </c>
      <c r="N78" s="81">
        <v>0.34230052959596935</v>
      </c>
      <c r="O78" s="83">
        <v>59.124950729207725</v>
      </c>
      <c r="P78" s="81">
        <v>1.5550671972613537</v>
      </c>
      <c r="Q78" s="83">
        <v>812</v>
      </c>
      <c r="R78" s="83">
        <v>2009</v>
      </c>
      <c r="S78" s="83" t="s">
        <v>151</v>
      </c>
      <c r="T78" s="84">
        <f t="shared" si="6"/>
        <v>36.945812807881772</v>
      </c>
      <c r="U78" s="84" t="str">
        <f t="shared" si="7"/>
        <v>no data</v>
      </c>
      <c r="V78" s="85">
        <v>70</v>
      </c>
      <c r="W78" s="79" t="s">
        <v>165</v>
      </c>
      <c r="X78" s="86">
        <v>80000</v>
      </c>
      <c r="Y78" s="135"/>
      <c r="Z78" s="86"/>
      <c r="AA78" s="86"/>
      <c r="AB78" s="86"/>
      <c r="AC78" s="87"/>
      <c r="AD78" s="88">
        <v>100</v>
      </c>
      <c r="AE78" s="89">
        <v>0.53</v>
      </c>
      <c r="AF78" s="89"/>
      <c r="AG78" s="89">
        <v>1.9757151677299856E-2</v>
      </c>
      <c r="AH78" s="90"/>
      <c r="AI78" s="91"/>
      <c r="AJ78" s="79" t="s">
        <v>166</v>
      </c>
      <c r="AK78" s="92"/>
      <c r="AL78" s="63"/>
      <c r="AM78" s="63"/>
    </row>
    <row r="79" spans="1:39" s="12" customFormat="1" ht="12.75">
      <c r="A79" s="63">
        <v>1</v>
      </c>
      <c r="B79" s="78">
        <v>71</v>
      </c>
      <c r="C79" s="79" t="s">
        <v>97</v>
      </c>
      <c r="D79" s="80">
        <v>700436.00000000012</v>
      </c>
      <c r="E79" s="81">
        <v>0.21516629373911783</v>
      </c>
      <c r="F79" s="82">
        <v>0.02</v>
      </c>
      <c r="G79" s="79" t="s">
        <v>547</v>
      </c>
      <c r="H79" s="79" t="s">
        <v>151</v>
      </c>
      <c r="I79" s="80">
        <v>84.6</v>
      </c>
      <c r="J79" s="80"/>
      <c r="K79" s="80">
        <f t="shared" si="5"/>
        <v>1015.1999999999999</v>
      </c>
      <c r="L79" s="79" t="s">
        <v>98</v>
      </c>
      <c r="M79" s="83">
        <v>32.395423284880607</v>
      </c>
      <c r="N79" s="81">
        <v>3.1288115247023393E-2</v>
      </c>
      <c r="O79" s="83">
        <v>49.157466589192325</v>
      </c>
      <c r="P79" s="81">
        <v>1.2929087102910857</v>
      </c>
      <c r="Q79" s="83">
        <v>800</v>
      </c>
      <c r="R79" s="83">
        <v>2009</v>
      </c>
      <c r="S79" s="83"/>
      <c r="T79" s="84">
        <f t="shared" si="6"/>
        <v>10.574999999999999</v>
      </c>
      <c r="U79" s="84" t="e">
        <f t="shared" si="7"/>
        <v>#DIV/0!</v>
      </c>
      <c r="V79" s="85" t="s">
        <v>99</v>
      </c>
      <c r="W79" s="79" t="s">
        <v>165</v>
      </c>
      <c r="X79" s="86"/>
      <c r="Y79" s="135"/>
      <c r="Z79" s="86"/>
      <c r="AA79" s="86"/>
      <c r="AB79" s="86"/>
      <c r="AC79" s="87"/>
      <c r="AD79" s="88" t="s">
        <v>151</v>
      </c>
      <c r="AE79" s="89" t="s">
        <v>151</v>
      </c>
      <c r="AF79" s="89"/>
      <c r="AG79" s="89" t="s">
        <v>151</v>
      </c>
      <c r="AH79" s="90"/>
      <c r="AI79" s="91"/>
      <c r="AJ79" s="79" t="s">
        <v>157</v>
      </c>
      <c r="AK79" s="92"/>
      <c r="AL79" s="63"/>
      <c r="AM79" s="63"/>
    </row>
    <row r="80" spans="1:39" s="12" customFormat="1" ht="12.75">
      <c r="A80" s="63">
        <v>1</v>
      </c>
      <c r="B80" s="78">
        <v>72</v>
      </c>
      <c r="C80" s="79" t="s">
        <v>317</v>
      </c>
      <c r="D80" s="80"/>
      <c r="E80" s="81"/>
      <c r="F80" s="82"/>
      <c r="G80" s="79" t="s">
        <v>228</v>
      </c>
      <c r="H80" s="79"/>
      <c r="I80" s="80">
        <f>K80/12</f>
        <v>375</v>
      </c>
      <c r="J80" s="80"/>
      <c r="K80" s="80">
        <v>4500</v>
      </c>
      <c r="L80" s="79"/>
      <c r="M80" s="83"/>
      <c r="N80" s="81"/>
      <c r="O80" s="83"/>
      <c r="P80" s="81"/>
      <c r="Q80" s="83">
        <v>1683</v>
      </c>
      <c r="R80" s="83">
        <v>2009</v>
      </c>
      <c r="S80" s="83">
        <v>4007</v>
      </c>
      <c r="T80" s="84">
        <f t="shared" si="6"/>
        <v>22.281639928698752</v>
      </c>
      <c r="U80" s="84">
        <f t="shared" si="7"/>
        <v>9.3586224107811322</v>
      </c>
      <c r="V80" s="85"/>
      <c r="W80" s="79"/>
      <c r="X80" s="86" t="s">
        <v>151</v>
      </c>
      <c r="Y80" s="135"/>
      <c r="Z80" s="86"/>
      <c r="AA80" s="86"/>
      <c r="AB80" s="86"/>
      <c r="AC80" s="87"/>
      <c r="AD80" s="88" t="s">
        <v>151</v>
      </c>
      <c r="AE80" s="89"/>
      <c r="AF80" s="89"/>
      <c r="AG80" s="89"/>
      <c r="AH80" s="90"/>
      <c r="AI80" s="91"/>
      <c r="AJ80" s="79" t="s">
        <v>161</v>
      </c>
      <c r="AK80" s="92" t="s">
        <v>221</v>
      </c>
      <c r="AL80" s="63"/>
      <c r="AM80" s="63"/>
    </row>
    <row r="81" spans="1:40" s="12" customFormat="1" ht="12.75">
      <c r="A81" s="63">
        <v>1</v>
      </c>
      <c r="B81" s="78">
        <v>73</v>
      </c>
      <c r="C81" s="79" t="s">
        <v>317</v>
      </c>
      <c r="D81" s="80"/>
      <c r="E81" s="81"/>
      <c r="F81" s="82"/>
      <c r="G81" s="79" t="s">
        <v>229</v>
      </c>
      <c r="H81" s="79"/>
      <c r="I81" s="80">
        <f>K81/12</f>
        <v>1147</v>
      </c>
      <c r="J81" s="80"/>
      <c r="K81" s="80">
        <v>13764</v>
      </c>
      <c r="L81" s="79"/>
      <c r="M81" s="83"/>
      <c r="N81" s="81"/>
      <c r="O81" s="83"/>
      <c r="P81" s="81"/>
      <c r="Q81" s="83">
        <v>1683</v>
      </c>
      <c r="R81" s="83">
        <v>2009</v>
      </c>
      <c r="S81" s="83">
        <v>4007</v>
      </c>
      <c r="T81" s="84">
        <f t="shared" si="6"/>
        <v>68.152109328579911</v>
      </c>
      <c r="U81" s="84">
        <f t="shared" si="7"/>
        <v>28.624906413775893</v>
      </c>
      <c r="V81" s="85"/>
      <c r="W81" s="79" t="s">
        <v>156</v>
      </c>
      <c r="X81" s="86" t="s">
        <v>151</v>
      </c>
      <c r="Y81" s="135"/>
      <c r="Z81" s="86"/>
      <c r="AA81" s="86"/>
      <c r="AB81" s="86"/>
      <c r="AC81" s="87">
        <v>1</v>
      </c>
      <c r="AD81" s="88" t="s">
        <v>151</v>
      </c>
      <c r="AE81" s="89"/>
      <c r="AF81" s="89"/>
      <c r="AG81" s="89"/>
      <c r="AH81" s="90"/>
      <c r="AI81" s="91"/>
      <c r="AJ81" s="79" t="s">
        <v>161</v>
      </c>
      <c r="AK81" s="92" t="s">
        <v>221</v>
      </c>
      <c r="AL81" s="63"/>
      <c r="AM81" s="63"/>
    </row>
    <row r="82" spans="1:40" s="12" customFormat="1" ht="12.75" hidden="1">
      <c r="A82" s="63"/>
      <c r="B82" s="78">
        <v>74</v>
      </c>
      <c r="C82" s="79" t="s">
        <v>317</v>
      </c>
      <c r="D82" s="80"/>
      <c r="E82" s="81"/>
      <c r="F82" s="82"/>
      <c r="G82" s="79" t="s">
        <v>230</v>
      </c>
      <c r="H82" s="79"/>
      <c r="I82" s="80">
        <f>K82/12</f>
        <v>1436</v>
      </c>
      <c r="J82" s="80"/>
      <c r="K82" s="80">
        <v>17232</v>
      </c>
      <c r="L82" s="79"/>
      <c r="M82" s="83"/>
      <c r="N82" s="82"/>
      <c r="O82" s="83"/>
      <c r="P82" s="82"/>
      <c r="Q82" s="83">
        <v>1683</v>
      </c>
      <c r="R82" s="83">
        <v>2009</v>
      </c>
      <c r="S82" s="83">
        <v>4007</v>
      </c>
      <c r="T82" s="84">
        <f t="shared" si="6"/>
        <v>85.323826500297088</v>
      </c>
      <c r="U82" s="84">
        <f t="shared" si="7"/>
        <v>35.83728475168455</v>
      </c>
      <c r="V82" s="85"/>
      <c r="W82" s="79"/>
      <c r="X82" s="86" t="s">
        <v>151</v>
      </c>
      <c r="Y82" s="135"/>
      <c r="Z82" s="86"/>
      <c r="AA82" s="86"/>
      <c r="AB82" s="86"/>
      <c r="AC82" s="87">
        <v>29</v>
      </c>
      <c r="AD82" s="88" t="s">
        <v>151</v>
      </c>
      <c r="AE82" s="89"/>
      <c r="AF82" s="89"/>
      <c r="AG82" s="89"/>
      <c r="AH82" s="90"/>
      <c r="AI82" s="91"/>
      <c r="AJ82" s="79" t="s">
        <v>161</v>
      </c>
      <c r="AK82" s="92" t="s">
        <v>221</v>
      </c>
      <c r="AL82" s="63"/>
      <c r="AM82" s="63"/>
    </row>
    <row r="83" spans="1:40" s="12" customFormat="1" ht="12.75" hidden="1">
      <c r="A83" s="63"/>
      <c r="B83" s="78"/>
      <c r="C83" s="79" t="s">
        <v>548</v>
      </c>
      <c r="D83" s="80">
        <v>2309349</v>
      </c>
      <c r="E83" s="81">
        <v>7.7797441354675562E-2</v>
      </c>
      <c r="F83" s="82">
        <v>0.02</v>
      </c>
      <c r="G83" s="79" t="s">
        <v>549</v>
      </c>
      <c r="H83" s="79">
        <v>1982</v>
      </c>
      <c r="I83" s="80">
        <v>300</v>
      </c>
      <c r="J83" s="80"/>
      <c r="K83" s="80"/>
      <c r="L83" s="79" t="s">
        <v>550</v>
      </c>
      <c r="M83" s="83">
        <v>94.409687692753124</v>
      </c>
      <c r="N83" s="82">
        <v>0.13277612112929485</v>
      </c>
      <c r="O83" s="83">
        <v>163.1321370309951</v>
      </c>
      <c r="P83" s="82">
        <v>4.290598672596035</v>
      </c>
      <c r="Q83" s="83"/>
      <c r="R83" s="83"/>
      <c r="S83" s="83"/>
      <c r="T83" s="84"/>
      <c r="U83" s="84"/>
      <c r="V83" s="85">
        <v>60</v>
      </c>
      <c r="W83" s="79" t="s">
        <v>156</v>
      </c>
      <c r="X83" s="86">
        <v>120496</v>
      </c>
      <c r="Y83" s="135" t="s">
        <v>334</v>
      </c>
      <c r="Z83" s="86"/>
      <c r="AA83" s="86">
        <v>2309349</v>
      </c>
      <c r="AB83" s="86">
        <v>1420436</v>
      </c>
      <c r="AC83" s="87">
        <f>X83/AB83*100</f>
        <v>8.4830291544286389</v>
      </c>
      <c r="AD83" s="88">
        <f>X83/AA83*100</f>
        <v>5.2177475123941859</v>
      </c>
      <c r="AE83" s="89">
        <f>X83/D83</f>
        <v>5.2177475123941858E-2</v>
      </c>
      <c r="AF83" s="89"/>
      <c r="AG83" s="89">
        <v>5.6993153785353935E-4</v>
      </c>
      <c r="AH83" s="90"/>
      <c r="AI83" s="91"/>
      <c r="AJ83" s="79" t="s">
        <v>157</v>
      </c>
      <c r="AK83" s="92"/>
      <c r="AL83" s="63"/>
      <c r="AM83" s="63"/>
    </row>
    <row r="84" spans="1:40" s="12" customFormat="1" ht="12.75">
      <c r="A84" s="63">
        <v>1</v>
      </c>
      <c r="B84" s="78">
        <v>75</v>
      </c>
      <c r="C84" s="79" t="s">
        <v>100</v>
      </c>
      <c r="D84" s="80">
        <v>22765</v>
      </c>
      <c r="E84" s="81">
        <v>5.9709480122324153E-2</v>
      </c>
      <c r="F84" s="82" t="s">
        <v>151</v>
      </c>
      <c r="G84" s="79" t="s">
        <v>101</v>
      </c>
      <c r="H84" s="79">
        <v>2009</v>
      </c>
      <c r="I84" s="80">
        <v>2000</v>
      </c>
      <c r="J84" s="80"/>
      <c r="K84" s="80">
        <v>13764</v>
      </c>
      <c r="L84" s="79" t="s">
        <v>102</v>
      </c>
      <c r="M84" s="83">
        <v>131.14754098360655</v>
      </c>
      <c r="N84" s="81">
        <v>0.28913509813365706</v>
      </c>
      <c r="O84" s="83">
        <v>194.96977968414896</v>
      </c>
      <c r="P84" s="81">
        <v>5.1279722875830958</v>
      </c>
      <c r="Q84" s="83" t="s">
        <v>151</v>
      </c>
      <c r="R84" s="83"/>
      <c r="S84" s="83" t="s">
        <v>151</v>
      </c>
      <c r="T84" s="84" t="str">
        <f t="shared" si="6"/>
        <v>no data</v>
      </c>
      <c r="U84" s="84" t="str">
        <f t="shared" si="7"/>
        <v>no data</v>
      </c>
      <c r="V84" s="85">
        <v>65</v>
      </c>
      <c r="W84" s="79" t="s">
        <v>165</v>
      </c>
      <c r="X84" s="86">
        <v>15252</v>
      </c>
      <c r="Y84" s="135">
        <v>2012</v>
      </c>
      <c r="Z84" s="86"/>
      <c r="AA84" s="86">
        <v>17014</v>
      </c>
      <c r="AB84" s="86">
        <v>17014</v>
      </c>
      <c r="AC84" s="87">
        <f>X84/AB84*100</f>
        <v>89.643822734218887</v>
      </c>
      <c r="AD84" s="88">
        <f>X84/AA84*100</f>
        <v>89.643822734218887</v>
      </c>
      <c r="AE84" s="89">
        <f>X84/D84</f>
        <v>0.66997584010542499</v>
      </c>
      <c r="AF84" s="89"/>
      <c r="AG84" s="89" t="s">
        <v>151</v>
      </c>
      <c r="AH84" s="90"/>
      <c r="AI84" s="91"/>
      <c r="AJ84" s="79" t="s">
        <v>166</v>
      </c>
      <c r="AK84" s="92"/>
      <c r="AL84" s="63"/>
      <c r="AM84" s="63"/>
    </row>
    <row r="85" spans="1:40" s="12" customFormat="1" ht="12.75">
      <c r="A85" s="63">
        <v>1</v>
      </c>
      <c r="B85" s="78">
        <v>76</v>
      </c>
      <c r="C85" s="79" t="s">
        <v>103</v>
      </c>
      <c r="D85" s="80">
        <v>89824</v>
      </c>
      <c r="E85" s="81">
        <v>0.21908346117917357</v>
      </c>
      <c r="F85" s="82" t="s">
        <v>151</v>
      </c>
      <c r="G85" s="79" t="s">
        <v>104</v>
      </c>
      <c r="H85" s="79">
        <v>1956</v>
      </c>
      <c r="I85" s="80">
        <v>431.21</v>
      </c>
      <c r="J85" s="80"/>
      <c r="K85" s="80">
        <v>13764</v>
      </c>
      <c r="L85" s="79" t="s">
        <v>180</v>
      </c>
      <c r="M85" s="83">
        <v>570.13472954927079</v>
      </c>
      <c r="N85" s="81">
        <v>0.34239329373598371</v>
      </c>
      <c r="O85" s="83">
        <v>725.94276094276097</v>
      </c>
      <c r="P85" s="81">
        <v>19.093289054932889</v>
      </c>
      <c r="Q85" s="83">
        <v>635</v>
      </c>
      <c r="R85" s="83">
        <v>2009</v>
      </c>
      <c r="S85" s="83">
        <v>1157</v>
      </c>
      <c r="T85" s="84">
        <f t="shared" si="6"/>
        <v>67.907086614173224</v>
      </c>
      <c r="U85" s="84">
        <f t="shared" si="7"/>
        <v>37.269662921348313</v>
      </c>
      <c r="V85" s="85" t="s">
        <v>151</v>
      </c>
      <c r="W85" s="79" t="s">
        <v>151</v>
      </c>
      <c r="X85" s="86" t="s">
        <v>151</v>
      </c>
      <c r="Y85" s="135"/>
      <c r="Z85" s="86"/>
      <c r="AA85" s="86"/>
      <c r="AB85" s="86"/>
      <c r="AC85" s="87"/>
      <c r="AD85" s="88" t="s">
        <v>151</v>
      </c>
      <c r="AE85" s="89" t="s">
        <v>151</v>
      </c>
      <c r="AF85" s="89"/>
      <c r="AG85" s="89" t="s">
        <v>151</v>
      </c>
      <c r="AH85" s="90"/>
      <c r="AI85" s="91"/>
      <c r="AJ85" s="79" t="s">
        <v>153</v>
      </c>
      <c r="AK85" s="92"/>
      <c r="AL85" s="63"/>
      <c r="AM85" s="63"/>
    </row>
    <row r="86" spans="1:40" s="12" customFormat="1" ht="51">
      <c r="A86" s="63">
        <v>1</v>
      </c>
      <c r="B86" s="78">
        <v>77</v>
      </c>
      <c r="C86" s="79" t="s">
        <v>105</v>
      </c>
      <c r="D86" s="80">
        <v>150601.99999999997</v>
      </c>
      <c r="E86" s="81">
        <v>0.11615425017874098</v>
      </c>
      <c r="F86" s="82" t="s">
        <v>151</v>
      </c>
      <c r="G86" s="79" t="s">
        <v>106</v>
      </c>
      <c r="H86" s="79" t="s">
        <v>551</v>
      </c>
      <c r="I86" s="80">
        <v>3146</v>
      </c>
      <c r="J86" s="80"/>
      <c r="K86" s="80">
        <v>13764</v>
      </c>
      <c r="L86" s="79" t="s">
        <v>107</v>
      </c>
      <c r="M86" s="83">
        <v>109.42608695652174</v>
      </c>
      <c r="N86" s="81">
        <v>0.14984172075196539</v>
      </c>
      <c r="O86" s="83">
        <v>186.72839506172841</v>
      </c>
      <c r="P86" s="81">
        <v>4.9112125824454589</v>
      </c>
      <c r="Q86" s="83">
        <v>3615</v>
      </c>
      <c r="R86" s="83">
        <v>2009</v>
      </c>
      <c r="S86" s="83">
        <v>16849</v>
      </c>
      <c r="T86" s="84">
        <f t="shared" si="6"/>
        <v>87.026279391424623</v>
      </c>
      <c r="U86" s="84">
        <f t="shared" si="7"/>
        <v>18.671731260015431</v>
      </c>
      <c r="V86" s="85">
        <v>60</v>
      </c>
      <c r="W86" s="79" t="s">
        <v>188</v>
      </c>
      <c r="X86" s="86">
        <v>160947</v>
      </c>
      <c r="Y86" s="135" t="s">
        <v>334</v>
      </c>
      <c r="Z86" s="86"/>
      <c r="AA86" s="86">
        <v>148912</v>
      </c>
      <c r="AB86" s="86">
        <v>93503</v>
      </c>
      <c r="AC86" s="87">
        <v>100</v>
      </c>
      <c r="AD86" s="88">
        <v>100</v>
      </c>
      <c r="AE86" s="89">
        <v>1</v>
      </c>
      <c r="AF86" s="89"/>
      <c r="AG86" s="89">
        <v>1.7000000000000001E-2</v>
      </c>
      <c r="AH86" s="90"/>
      <c r="AI86" s="91"/>
      <c r="AJ86" s="79" t="s">
        <v>157</v>
      </c>
      <c r="AK86" s="92"/>
      <c r="AL86" s="63"/>
      <c r="AM86" s="63"/>
    </row>
    <row r="87" spans="1:40" s="12" customFormat="1" ht="25.5">
      <c r="A87" s="63">
        <v>1</v>
      </c>
      <c r="B87" s="78">
        <v>78</v>
      </c>
      <c r="C87" s="79" t="s">
        <v>108</v>
      </c>
      <c r="D87" s="80">
        <v>10618975</v>
      </c>
      <c r="E87" s="81">
        <v>9.3668295676103477E-2</v>
      </c>
      <c r="F87" s="82">
        <v>3.95E-2</v>
      </c>
      <c r="G87" s="79" t="s">
        <v>413</v>
      </c>
      <c r="H87" s="79">
        <v>2003</v>
      </c>
      <c r="I87" s="80">
        <v>897</v>
      </c>
      <c r="J87" s="80"/>
      <c r="K87" s="80">
        <v>13764</v>
      </c>
      <c r="L87" s="79" t="s">
        <v>155</v>
      </c>
      <c r="M87" s="83">
        <v>68.319953691714773</v>
      </c>
      <c r="N87" s="81">
        <v>8.5335306034454772E-2</v>
      </c>
      <c r="O87" s="83">
        <v>103.89159138290479</v>
      </c>
      <c r="P87" s="81">
        <v>2.7324911706188657</v>
      </c>
      <c r="Q87" s="83">
        <v>1383</v>
      </c>
      <c r="R87" s="83">
        <v>2009</v>
      </c>
      <c r="S87" s="83">
        <v>5745</v>
      </c>
      <c r="T87" s="84">
        <f t="shared" si="6"/>
        <v>64.859002169197396</v>
      </c>
      <c r="U87" s="84">
        <f t="shared" si="7"/>
        <v>15.613577023498696</v>
      </c>
      <c r="V87" s="85">
        <v>70</v>
      </c>
      <c r="W87" s="79" t="s">
        <v>109</v>
      </c>
      <c r="X87" s="86">
        <v>470000</v>
      </c>
      <c r="Y87" s="135" t="s">
        <v>334</v>
      </c>
      <c r="Z87" s="86"/>
      <c r="AA87" s="86">
        <v>4906978</v>
      </c>
      <c r="AB87" s="86">
        <v>7420893</v>
      </c>
      <c r="AC87" s="87">
        <f>X87/AB87*100</f>
        <v>6.3334695703064314</v>
      </c>
      <c r="AD87" s="88">
        <f>X87/AA87*100</f>
        <v>9.5781966008406805</v>
      </c>
      <c r="AE87" s="89">
        <f>X87/D87</f>
        <v>4.426039236366975E-2</v>
      </c>
      <c r="AF87" s="89"/>
      <c r="AG87" s="89">
        <v>3.6411020692669053E-4</v>
      </c>
      <c r="AH87" s="90"/>
      <c r="AI87" s="91"/>
      <c r="AJ87" s="79" t="s">
        <v>157</v>
      </c>
      <c r="AK87" s="92"/>
      <c r="AL87" s="63"/>
      <c r="AM87" s="63"/>
    </row>
    <row r="88" spans="1:40" s="12" customFormat="1" ht="25.5">
      <c r="A88" s="63">
        <v>1</v>
      </c>
      <c r="B88" s="78">
        <v>79</v>
      </c>
      <c r="C88" s="79" t="s">
        <v>108</v>
      </c>
      <c r="D88" s="80">
        <v>10618975</v>
      </c>
      <c r="E88" s="81">
        <v>9.3668295676103477E-2</v>
      </c>
      <c r="F88" s="82">
        <v>3.95E-2</v>
      </c>
      <c r="G88" s="79" t="s">
        <v>110</v>
      </c>
      <c r="H88" s="79">
        <v>2010</v>
      </c>
      <c r="I88" s="80">
        <v>500</v>
      </c>
      <c r="J88" s="80"/>
      <c r="K88" s="80">
        <f>I88*12</f>
        <v>6000</v>
      </c>
      <c r="L88" s="79" t="s">
        <v>155</v>
      </c>
      <c r="M88" s="83">
        <v>38.08247140006398</v>
      </c>
      <c r="N88" s="81">
        <v>4.7567060219874453E-2</v>
      </c>
      <c r="O88" s="83">
        <v>57.910586055130878</v>
      </c>
      <c r="P88" s="81">
        <v>1.5231277428198806</v>
      </c>
      <c r="Q88" s="83">
        <v>1383</v>
      </c>
      <c r="R88" s="83">
        <v>2009</v>
      </c>
      <c r="S88" s="83">
        <v>5745</v>
      </c>
      <c r="T88" s="84">
        <f t="shared" si="6"/>
        <v>36.153289949385389</v>
      </c>
      <c r="U88" s="84">
        <f t="shared" si="7"/>
        <v>8.7032201914708445</v>
      </c>
      <c r="V88" s="85">
        <v>70</v>
      </c>
      <c r="W88" s="79" t="s">
        <v>111</v>
      </c>
      <c r="X88" s="86">
        <v>1886447</v>
      </c>
      <c r="Y88" s="135" t="s">
        <v>334</v>
      </c>
      <c r="Z88" s="86"/>
      <c r="AA88" s="86">
        <v>4906978</v>
      </c>
      <c r="AB88" s="86">
        <v>7420893</v>
      </c>
      <c r="AC88" s="87">
        <f>X88/AB88*100</f>
        <v>25.420754618076284</v>
      </c>
      <c r="AD88" s="88">
        <f>X88/AA88*100</f>
        <v>38.444170729927869</v>
      </c>
      <c r="AE88" s="89">
        <f>X88/10618975</f>
        <v>0.17764869019844193</v>
      </c>
      <c r="AF88" s="89"/>
      <c r="AG88" s="89">
        <v>1.0904343325766001E-3</v>
      </c>
      <c r="AH88" s="90"/>
      <c r="AI88" s="91"/>
      <c r="AJ88" s="79" t="s">
        <v>157</v>
      </c>
      <c r="AK88" s="92"/>
      <c r="AL88" s="63"/>
      <c r="AM88" s="63"/>
    </row>
    <row r="89" spans="1:40" s="12" customFormat="1" ht="25.5" hidden="1">
      <c r="A89" s="63"/>
      <c r="B89" s="78"/>
      <c r="C89" s="79" t="s">
        <v>108</v>
      </c>
      <c r="D89" s="80" t="s">
        <v>151</v>
      </c>
      <c r="E89" s="81" t="s">
        <v>151</v>
      </c>
      <c r="F89" s="82" t="s">
        <v>151</v>
      </c>
      <c r="G89" s="79" t="s">
        <v>552</v>
      </c>
      <c r="H89" s="79" t="s">
        <v>151</v>
      </c>
      <c r="I89" s="80">
        <v>550</v>
      </c>
      <c r="J89" s="80"/>
      <c r="K89" s="80"/>
      <c r="L89" s="79" t="s">
        <v>155</v>
      </c>
      <c r="M89" s="83">
        <v>38.925927498690669</v>
      </c>
      <c r="N89" s="82">
        <v>5.2323766241861899E-2</v>
      </c>
      <c r="O89" s="83">
        <v>63.701644660643964</v>
      </c>
      <c r="P89" s="82">
        <v>1.6754405171018685</v>
      </c>
      <c r="Q89" s="83"/>
      <c r="R89" s="83"/>
      <c r="S89" s="83"/>
      <c r="T89" s="84"/>
      <c r="U89" s="84"/>
      <c r="V89" s="85">
        <v>64</v>
      </c>
      <c r="W89" s="79" t="s">
        <v>553</v>
      </c>
      <c r="X89" s="86">
        <v>238000</v>
      </c>
      <c r="Y89" s="135" t="s">
        <v>334</v>
      </c>
      <c r="Z89" s="86"/>
      <c r="AA89" s="86">
        <v>7420893</v>
      </c>
      <c r="AB89" s="86">
        <v>7420893</v>
      </c>
      <c r="AC89" s="87">
        <f>X89/AB89*100</f>
        <v>3.2071611866658101</v>
      </c>
      <c r="AD89" s="88">
        <f>X89/AA89*100</f>
        <v>3.2071611866658101</v>
      </c>
      <c r="AE89" s="89"/>
      <c r="AF89" s="89"/>
      <c r="AG89" s="89"/>
      <c r="AH89" s="90"/>
      <c r="AI89" s="91"/>
      <c r="AJ89" s="79"/>
      <c r="AK89" s="92"/>
      <c r="AL89" s="63"/>
      <c r="AM89" s="63"/>
    </row>
    <row r="90" spans="1:40" s="12" customFormat="1" ht="12.75" hidden="1">
      <c r="A90" s="63"/>
      <c r="B90" s="78">
        <v>80</v>
      </c>
      <c r="C90" s="79" t="s">
        <v>108</v>
      </c>
      <c r="D90" s="80">
        <v>10618975</v>
      </c>
      <c r="E90" s="81">
        <v>9.3668295676103477E-2</v>
      </c>
      <c r="F90" s="82">
        <v>3.95E-2</v>
      </c>
      <c r="G90" s="79" t="s">
        <v>230</v>
      </c>
      <c r="H90" s="79"/>
      <c r="I90" s="80">
        <f>K90/12</f>
        <v>1819.6666666666667</v>
      </c>
      <c r="J90" s="80"/>
      <c r="K90" s="80">
        <v>21836</v>
      </c>
      <c r="L90" s="79"/>
      <c r="M90" s="83"/>
      <c r="N90" s="82"/>
      <c r="O90" s="83"/>
      <c r="P90" s="82"/>
      <c r="Q90" s="83">
        <v>1383</v>
      </c>
      <c r="R90" s="83">
        <v>2009</v>
      </c>
      <c r="S90" s="83">
        <v>5745</v>
      </c>
      <c r="T90" s="84">
        <f t="shared" si="6"/>
        <v>131.57387322246325</v>
      </c>
      <c r="U90" s="84">
        <f t="shared" si="7"/>
        <v>31.673919350159562</v>
      </c>
      <c r="V90" s="85"/>
      <c r="W90" s="79"/>
      <c r="X90" s="86"/>
      <c r="Y90" s="135"/>
      <c r="Z90" s="86"/>
      <c r="AA90" s="86"/>
      <c r="AB90" s="86"/>
      <c r="AC90" s="87"/>
      <c r="AD90" s="88" t="s">
        <v>151</v>
      </c>
      <c r="AE90" s="89"/>
      <c r="AF90" s="89"/>
      <c r="AG90" s="89"/>
      <c r="AH90" s="90"/>
      <c r="AI90" s="91"/>
      <c r="AJ90" s="79"/>
      <c r="AK90" s="92" t="s">
        <v>221</v>
      </c>
      <c r="AL90" s="63"/>
      <c r="AM90" s="63"/>
    </row>
    <row r="91" spans="1:40" s="12" customFormat="1" ht="25.5">
      <c r="A91" s="63">
        <v>1</v>
      </c>
      <c r="B91" s="78">
        <v>81</v>
      </c>
      <c r="C91" s="79" t="s">
        <v>120</v>
      </c>
      <c r="D91" s="80">
        <v>570171.99999999988</v>
      </c>
      <c r="E91" s="81">
        <v>0.1594630680276789</v>
      </c>
      <c r="F91" s="82">
        <v>2.3799999999999998E-2</v>
      </c>
      <c r="G91" s="79" t="s">
        <v>121</v>
      </c>
      <c r="H91" s="79" t="s">
        <v>151</v>
      </c>
      <c r="I91" s="80">
        <v>89.71</v>
      </c>
      <c r="J91" s="80"/>
      <c r="K91" s="80"/>
      <c r="L91" s="79" t="s">
        <v>122</v>
      </c>
      <c r="M91" s="83">
        <v>7.6642460486971373</v>
      </c>
      <c r="N91" s="81">
        <v>5.3262306369880316E-2</v>
      </c>
      <c r="O91" s="83">
        <v>13.776105651105651</v>
      </c>
      <c r="P91" s="81">
        <v>0.36233045000168285</v>
      </c>
      <c r="Q91" s="83" t="s">
        <v>151</v>
      </c>
      <c r="R91" s="83">
        <v>2009</v>
      </c>
      <c r="S91" s="83">
        <v>2748</v>
      </c>
      <c r="T91" s="84" t="str">
        <f t="shared" si="6"/>
        <v>no data</v>
      </c>
      <c r="U91" s="84">
        <f t="shared" si="7"/>
        <v>3.2645560407569141</v>
      </c>
      <c r="V91" s="85" t="s">
        <v>414</v>
      </c>
      <c r="W91" s="79" t="s">
        <v>165</v>
      </c>
      <c r="X91" s="86">
        <v>3232</v>
      </c>
      <c r="Y91" s="135" t="s">
        <v>345</v>
      </c>
      <c r="Z91" s="86"/>
      <c r="AA91" s="86">
        <v>617900</v>
      </c>
      <c r="AB91" s="86">
        <v>398489</v>
      </c>
      <c r="AC91" s="87">
        <f>X91/AB91*100</f>
        <v>0.81106379347987023</v>
      </c>
      <c r="AD91" s="88">
        <f>X91/AA91*100</f>
        <v>0.52306198413982841</v>
      </c>
      <c r="AE91" s="89">
        <f>X91/D91</f>
        <v>5.6684649544348036E-3</v>
      </c>
      <c r="AF91" s="89"/>
      <c r="AG91" s="89">
        <v>2.0999999999999999E-3</v>
      </c>
      <c r="AH91" s="90"/>
      <c r="AI91" s="91"/>
      <c r="AJ91" s="79" t="s">
        <v>166</v>
      </c>
      <c r="AK91" s="92"/>
      <c r="AL91" s="63"/>
      <c r="AM91" s="63"/>
    </row>
    <row r="92" spans="1:40" s="12" customFormat="1" ht="25.5">
      <c r="A92" s="63">
        <v>1</v>
      </c>
      <c r="B92" s="78">
        <v>82</v>
      </c>
      <c r="C92" s="79" t="s">
        <v>123</v>
      </c>
      <c r="D92" s="80">
        <v>162515</v>
      </c>
      <c r="E92" s="81">
        <v>5.9815994642216548E-2</v>
      </c>
      <c r="F92" s="82">
        <v>2.2400000000000003E-2</v>
      </c>
      <c r="G92" s="79" t="s">
        <v>124</v>
      </c>
      <c r="H92" s="79" t="s">
        <v>151</v>
      </c>
      <c r="I92" s="80">
        <v>34500</v>
      </c>
      <c r="J92" s="80"/>
      <c r="K92" s="80">
        <f>I92*12</f>
        <v>414000</v>
      </c>
      <c r="L92" s="79" t="s">
        <v>125</v>
      </c>
      <c r="M92" s="83">
        <v>27.802401482794743</v>
      </c>
      <c r="N92" s="81">
        <v>0.14393399197140991</v>
      </c>
      <c r="O92" s="83">
        <v>44.707824646840578</v>
      </c>
      <c r="P92" s="81">
        <v>1.1758770318073137</v>
      </c>
      <c r="Q92" s="83">
        <v>108000</v>
      </c>
      <c r="R92" s="83">
        <v>2009</v>
      </c>
      <c r="S92" s="83">
        <v>300500</v>
      </c>
      <c r="T92" s="84">
        <f t="shared" si="6"/>
        <v>31.944444444444443</v>
      </c>
      <c r="U92" s="84">
        <f t="shared" si="7"/>
        <v>11.480865224625623</v>
      </c>
      <c r="V92" s="85" t="s">
        <v>297</v>
      </c>
      <c r="W92" s="79" t="s">
        <v>156</v>
      </c>
      <c r="X92" s="86">
        <v>2596</v>
      </c>
      <c r="Y92" s="135" t="s">
        <v>345</v>
      </c>
      <c r="Z92" s="86"/>
      <c r="AA92" s="86">
        <v>203701</v>
      </c>
      <c r="AB92" s="86">
        <v>112362</v>
      </c>
      <c r="AC92" s="87">
        <f>X92/AB92*100</f>
        <v>2.3103896335059897</v>
      </c>
      <c r="AD92" s="88">
        <f>X92/AA92*100</f>
        <v>1.2744169149881444</v>
      </c>
      <c r="AE92" s="89">
        <v>1.6067339233768647E-2</v>
      </c>
      <c r="AF92" s="89"/>
      <c r="AG92" s="89" t="s">
        <v>151</v>
      </c>
      <c r="AH92" s="90"/>
      <c r="AI92" s="91"/>
      <c r="AJ92" s="79" t="s">
        <v>166</v>
      </c>
      <c r="AK92" s="92"/>
      <c r="AL92" s="63"/>
      <c r="AM92" s="63"/>
    </row>
    <row r="93" spans="1:40" s="12" customFormat="1" ht="25.5">
      <c r="A93" s="63">
        <v>1</v>
      </c>
      <c r="B93" s="78">
        <v>83</v>
      </c>
      <c r="C93" s="79" t="s">
        <v>126</v>
      </c>
      <c r="D93" s="80">
        <v>134098</v>
      </c>
      <c r="E93" s="81">
        <v>5.6447970806998239E-2</v>
      </c>
      <c r="F93" s="82">
        <v>0.4914</v>
      </c>
      <c r="G93" s="79" t="s">
        <v>127</v>
      </c>
      <c r="H93" s="79" t="s">
        <v>128</v>
      </c>
      <c r="I93" s="80">
        <v>500</v>
      </c>
      <c r="J93" s="80"/>
      <c r="K93" s="80">
        <f>I93*12</f>
        <v>6000</v>
      </c>
      <c r="L93" s="79" t="s">
        <v>129</v>
      </c>
      <c r="M93" s="83">
        <v>64.451012718762854</v>
      </c>
      <c r="N93" s="81">
        <v>0.15608766070330291</v>
      </c>
      <c r="O93" s="83">
        <v>91.257528746121551</v>
      </c>
      <c r="P93" s="81">
        <v>2.4001980163363474</v>
      </c>
      <c r="Q93" s="83" t="s">
        <v>151</v>
      </c>
      <c r="R93" s="83"/>
      <c r="S93" s="83" t="s">
        <v>151</v>
      </c>
      <c r="T93" s="84" t="str">
        <f t="shared" si="6"/>
        <v>no data</v>
      </c>
      <c r="U93" s="84" t="str">
        <f t="shared" si="7"/>
        <v>no data</v>
      </c>
      <c r="V93" s="85">
        <v>60</v>
      </c>
      <c r="W93" s="79" t="s">
        <v>188</v>
      </c>
      <c r="X93" s="86">
        <v>131921</v>
      </c>
      <c r="Y93" s="135" t="s">
        <v>334</v>
      </c>
      <c r="Z93" s="86"/>
      <c r="AA93" s="86">
        <v>134098</v>
      </c>
      <c r="AB93" s="86">
        <v>86711</v>
      </c>
      <c r="AC93" s="87">
        <f>X93/AB93*100</f>
        <v>152.13871365801339</v>
      </c>
      <c r="AD93" s="88">
        <f>X93/AA93*100</f>
        <v>98.376560425957138</v>
      </c>
      <c r="AE93" s="89" t="s">
        <v>151</v>
      </c>
      <c r="AF93" s="89"/>
      <c r="AG93" s="89">
        <v>1.3599999999999999E-2</v>
      </c>
      <c r="AH93" s="90"/>
      <c r="AI93" s="91"/>
      <c r="AJ93" s="79" t="s">
        <v>157</v>
      </c>
      <c r="AK93" s="92"/>
      <c r="AL93" s="63"/>
      <c r="AM93" s="63"/>
    </row>
    <row r="94" spans="1:40" s="12" customFormat="1" ht="25.5">
      <c r="A94" s="63">
        <v>1</v>
      </c>
      <c r="B94" s="78">
        <v>84</v>
      </c>
      <c r="C94" s="79" t="s">
        <v>130</v>
      </c>
      <c r="D94" s="80">
        <v>2555571</v>
      </c>
      <c r="E94" s="81">
        <f>2555571/28208617</f>
        <v>9.0595402107093728E-2</v>
      </c>
      <c r="F94" s="82">
        <v>0.55120000000000002</v>
      </c>
      <c r="G94" s="79" t="s">
        <v>170</v>
      </c>
      <c r="H94" s="79" t="s">
        <v>131</v>
      </c>
      <c r="I94" s="80">
        <v>500</v>
      </c>
      <c r="J94" s="80"/>
      <c r="K94" s="80">
        <f>I94*12</f>
        <v>6000</v>
      </c>
      <c r="L94" s="79" t="s">
        <v>70</v>
      </c>
      <c r="M94" s="83">
        <v>6.7385444743935308</v>
      </c>
      <c r="N94" s="81">
        <v>0.17347742908300526</v>
      </c>
      <c r="O94" s="83">
        <v>17.303433001107418</v>
      </c>
      <c r="P94" s="81">
        <v>0.45510399126200329</v>
      </c>
      <c r="Q94" s="83">
        <v>4600</v>
      </c>
      <c r="R94" s="83">
        <v>2008</v>
      </c>
      <c r="S94" s="83">
        <v>5117</v>
      </c>
      <c r="T94" s="84">
        <f t="shared" si="6"/>
        <v>10.869565217391305</v>
      </c>
      <c r="U94" s="84">
        <f t="shared" si="7"/>
        <v>9.7713504006253675</v>
      </c>
      <c r="V94" s="85" t="s">
        <v>132</v>
      </c>
      <c r="W94" s="79" t="s">
        <v>165</v>
      </c>
      <c r="X94" s="86">
        <f>411337+281994</f>
        <v>693331</v>
      </c>
      <c r="Y94" s="135"/>
      <c r="Z94" s="86"/>
      <c r="AA94" s="86">
        <v>1003385</v>
      </c>
      <c r="AB94" s="86">
        <v>1708984</v>
      </c>
      <c r="AC94" s="87">
        <f>X94/AB94*100</f>
        <v>40.569777130739666</v>
      </c>
      <c r="AD94" s="88">
        <f>X94/AA94*100</f>
        <v>69.099199210671884</v>
      </c>
      <c r="AE94" s="89">
        <f>X94/D94</f>
        <v>0.27130179517610742</v>
      </c>
      <c r="AF94" s="89"/>
      <c r="AG94" s="89">
        <v>3.5000000000000001E-3</v>
      </c>
      <c r="AH94" s="90"/>
      <c r="AI94" s="91"/>
      <c r="AJ94" s="79" t="s">
        <v>172</v>
      </c>
      <c r="AK94" s="92"/>
      <c r="AL94" s="63"/>
      <c r="AM94" s="63"/>
    </row>
    <row r="95" spans="1:40" s="12" customFormat="1" ht="12.75">
      <c r="A95" s="78">
        <v>1</v>
      </c>
      <c r="B95" s="79">
        <v>85</v>
      </c>
      <c r="C95" s="80" t="s">
        <v>133</v>
      </c>
      <c r="D95" s="81">
        <v>3650534.9999999995</v>
      </c>
      <c r="E95" s="82">
        <v>0.21920729924184601</v>
      </c>
      <c r="F95" s="79" t="s">
        <v>151</v>
      </c>
      <c r="G95" s="79" t="s">
        <v>134</v>
      </c>
      <c r="H95" s="80">
        <v>1957</v>
      </c>
      <c r="I95" s="80">
        <f>K95/12</f>
        <v>1059.8333333333333</v>
      </c>
      <c r="J95" s="80"/>
      <c r="K95" s="79">
        <v>12718</v>
      </c>
      <c r="L95" s="83" t="s">
        <v>180</v>
      </c>
      <c r="M95" s="82">
        <v>1392.5718194254446</v>
      </c>
      <c r="N95" s="81">
        <v>0.34410048999427073</v>
      </c>
      <c r="O95" s="82">
        <v>1168.7370838117108</v>
      </c>
      <c r="P95" s="81">
        <v>30.739386313951844</v>
      </c>
      <c r="Q95" s="83">
        <v>1399</v>
      </c>
      <c r="R95" s="83">
        <v>2009</v>
      </c>
      <c r="S95" s="84"/>
      <c r="T95" s="84">
        <f t="shared" si="6"/>
        <v>75.756492732904448</v>
      </c>
      <c r="U95" s="85" t="s">
        <v>151</v>
      </c>
      <c r="V95" s="79">
        <v>65</v>
      </c>
      <c r="W95" s="86" t="s">
        <v>188</v>
      </c>
      <c r="X95" s="135">
        <v>2734500</v>
      </c>
      <c r="Y95" s="86" t="s">
        <v>267</v>
      </c>
      <c r="Z95" s="86"/>
      <c r="AA95" s="86">
        <v>2416489</v>
      </c>
      <c r="AB95" s="87">
        <v>2416489</v>
      </c>
      <c r="AC95" s="88"/>
      <c r="AD95" s="89">
        <v>100</v>
      </c>
      <c r="AE95" s="89">
        <f>X95/3408069</f>
        <v>0.80236051558815269</v>
      </c>
      <c r="AF95" s="89"/>
      <c r="AG95" s="90" t="s">
        <v>151</v>
      </c>
      <c r="AH95" s="91"/>
      <c r="AI95" s="79"/>
      <c r="AJ95" s="92" t="s">
        <v>161</v>
      </c>
      <c r="AK95" s="63" t="s">
        <v>221</v>
      </c>
      <c r="AL95" s="63"/>
      <c r="AM95" s="78"/>
      <c r="AN95" s="79"/>
    </row>
    <row r="96" spans="1:40" s="12" customFormat="1" ht="25.5">
      <c r="A96" s="63">
        <v>1</v>
      </c>
      <c r="B96" s="78">
        <v>86</v>
      </c>
      <c r="C96" s="79" t="s">
        <v>135</v>
      </c>
      <c r="D96" s="80">
        <v>781994.00000000012</v>
      </c>
      <c r="E96" s="81">
        <v>0.1817129809824985</v>
      </c>
      <c r="F96" s="82" t="s">
        <v>151</v>
      </c>
      <c r="G96" s="79" t="s">
        <v>136</v>
      </c>
      <c r="H96" s="79" t="s">
        <v>151</v>
      </c>
      <c r="I96" s="80">
        <f>K96/12</f>
        <v>1507</v>
      </c>
      <c r="J96" s="80"/>
      <c r="K96" s="80">
        <v>18084</v>
      </c>
      <c r="L96" s="79" t="s">
        <v>0</v>
      </c>
      <c r="M96" s="83">
        <v>869.42813758325678</v>
      </c>
      <c r="N96" s="81">
        <v>0.34653765159135153</v>
      </c>
      <c r="O96" s="83">
        <v>782.54573891977259</v>
      </c>
      <c r="P96" s="81">
        <v>20.582024914054291</v>
      </c>
      <c r="Q96" s="83">
        <v>2167</v>
      </c>
      <c r="R96" s="83">
        <v>2009</v>
      </c>
      <c r="S96" s="83">
        <v>3653</v>
      </c>
      <c r="T96" s="84">
        <f t="shared" si="6"/>
        <v>69.543147208121823</v>
      </c>
      <c r="U96" s="84">
        <f t="shared" si="7"/>
        <v>41.253764029564742</v>
      </c>
      <c r="V96" s="85">
        <v>65</v>
      </c>
      <c r="W96" s="79" t="s">
        <v>188</v>
      </c>
      <c r="X96" s="86">
        <f>514276-3179-9781</f>
        <v>501316</v>
      </c>
      <c r="Y96" s="135">
        <v>2008</v>
      </c>
      <c r="Z96" s="86"/>
      <c r="AA96" s="86">
        <v>535305</v>
      </c>
      <c r="AB96" s="86">
        <v>535305</v>
      </c>
      <c r="AC96" s="87">
        <f>X96/AB96*100</f>
        <v>93.650535675923081</v>
      </c>
      <c r="AD96" s="88">
        <f>X96/AA96*100</f>
        <v>93.650535675923081</v>
      </c>
      <c r="AE96" s="89">
        <f>(514276-3179)/748631</f>
        <v>0.68270883786538361</v>
      </c>
      <c r="AF96" s="89"/>
      <c r="AG96" s="89" t="s">
        <v>151</v>
      </c>
      <c r="AH96" s="90"/>
      <c r="AI96" s="91"/>
      <c r="AJ96" s="79" t="s">
        <v>161</v>
      </c>
      <c r="AK96" s="92" t="s">
        <v>221</v>
      </c>
      <c r="AL96" s="63"/>
      <c r="AM96" s="63"/>
    </row>
    <row r="97" spans="1:39" s="12" customFormat="1" ht="38.25">
      <c r="A97" s="63">
        <v>1</v>
      </c>
      <c r="B97" s="78"/>
      <c r="C97" s="79" t="s">
        <v>409</v>
      </c>
      <c r="D97" s="80">
        <v>8575321</v>
      </c>
      <c r="E97" s="81">
        <v>4.9240644051671348E-2</v>
      </c>
      <c r="F97" s="82">
        <v>0.64410000000000001</v>
      </c>
      <c r="G97" s="79" t="s">
        <v>410</v>
      </c>
      <c r="H97" s="79">
        <v>2011</v>
      </c>
      <c r="I97" s="80">
        <v>5000</v>
      </c>
      <c r="J97" s="80"/>
      <c r="K97" s="80">
        <f>I97*12</f>
        <v>60000</v>
      </c>
      <c r="L97" s="79" t="s">
        <v>411</v>
      </c>
      <c r="M97" s="83">
        <v>31.685678073510772</v>
      </c>
      <c r="N97" s="81">
        <v>0.22652678230111364</v>
      </c>
      <c r="O97" s="83">
        <v>51.38851774959403</v>
      </c>
      <c r="P97" s="81" t="e">
        <v>#DIV/0!</v>
      </c>
      <c r="Q97" s="83"/>
      <c r="R97" s="83"/>
      <c r="S97" s="83"/>
      <c r="T97" s="84"/>
      <c r="U97" s="84"/>
      <c r="V97" s="85" t="s">
        <v>412</v>
      </c>
      <c r="W97" s="79" t="s">
        <v>165</v>
      </c>
      <c r="X97" s="86">
        <v>20000</v>
      </c>
      <c r="Y97" s="135"/>
      <c r="Z97" s="86"/>
      <c r="AA97" s="86">
        <v>5537899</v>
      </c>
      <c r="AB97" s="86">
        <v>5537899</v>
      </c>
      <c r="AC97" s="87">
        <f>X97/AB97*100</f>
        <v>0.36114779269177716</v>
      </c>
      <c r="AD97" s="88">
        <f>X97/AA97*100</f>
        <v>0.36114779269177716</v>
      </c>
      <c r="AE97" s="89">
        <f>X97/D97</f>
        <v>2.3322742087439059E-3</v>
      </c>
      <c r="AF97" s="89"/>
      <c r="AG97" s="89" t="s">
        <v>151</v>
      </c>
      <c r="AH97" s="90"/>
      <c r="AI97" s="91"/>
      <c r="AJ97" s="79" t="s">
        <v>166</v>
      </c>
      <c r="AK97" s="92"/>
      <c r="AL97" s="63"/>
      <c r="AM97" s="63"/>
    </row>
    <row r="98" spans="1:39" s="12" customFormat="1" ht="12.75">
      <c r="A98" s="63">
        <v>1</v>
      </c>
      <c r="B98" s="78">
        <v>87</v>
      </c>
      <c r="C98" s="79" t="s">
        <v>1</v>
      </c>
      <c r="D98" s="80">
        <v>1023329.0000000001</v>
      </c>
      <c r="E98" s="81">
        <v>0.21076469806799361</v>
      </c>
      <c r="F98" s="82" t="s">
        <v>151</v>
      </c>
      <c r="G98" s="79" t="s">
        <v>407</v>
      </c>
      <c r="H98" s="79" t="s">
        <v>151</v>
      </c>
      <c r="I98" s="80">
        <v>6073.4170000000004</v>
      </c>
      <c r="J98" s="80"/>
      <c r="K98" s="80">
        <f>12*I98</f>
        <v>72881.004000000001</v>
      </c>
      <c r="L98" s="79" t="s">
        <v>2</v>
      </c>
      <c r="M98" s="83">
        <v>1061.4595858616931</v>
      </c>
      <c r="N98" s="81">
        <v>0.14176719859516865</v>
      </c>
      <c r="O98" s="83">
        <v>616.27772704211066</v>
      </c>
      <c r="P98" s="81">
        <v>16.20894843727195</v>
      </c>
      <c r="Q98" s="83" t="s">
        <v>151</v>
      </c>
      <c r="R98" s="83"/>
      <c r="S98" s="83">
        <v>35200</v>
      </c>
      <c r="T98" s="84" t="str">
        <f t="shared" si="6"/>
        <v>no data</v>
      </c>
      <c r="U98" s="84">
        <f t="shared" si="7"/>
        <v>17.25402556818182</v>
      </c>
      <c r="V98" s="85" t="s">
        <v>408</v>
      </c>
      <c r="W98" s="79" t="s">
        <v>156</v>
      </c>
      <c r="X98" s="86">
        <v>192967</v>
      </c>
      <c r="Y98" s="135" t="s">
        <v>250</v>
      </c>
      <c r="Z98" s="86"/>
      <c r="AA98" s="86">
        <v>895077</v>
      </c>
      <c r="AB98" s="86">
        <v>691612</v>
      </c>
      <c r="AC98" s="87">
        <f>X98/AB98*100</f>
        <v>27.901048564802228</v>
      </c>
      <c r="AD98" s="88">
        <f>X98/AA98*100</f>
        <v>21.558703888045386</v>
      </c>
      <c r="AE98" s="89">
        <f>X98/982277</f>
        <v>0.19644865959398419</v>
      </c>
      <c r="AF98" s="89"/>
      <c r="AG98" s="89" t="s">
        <v>151</v>
      </c>
      <c r="AH98" s="90"/>
      <c r="AI98" s="91"/>
      <c r="AJ98" s="79" t="s">
        <v>161</v>
      </c>
      <c r="AK98" s="92"/>
      <c r="AL98" s="63"/>
      <c r="AM98" s="63"/>
    </row>
    <row r="99" spans="1:39" s="12" customFormat="1" ht="12.75" hidden="1">
      <c r="A99" s="63"/>
      <c r="B99" s="78">
        <v>88</v>
      </c>
      <c r="C99" s="79" t="s">
        <v>1</v>
      </c>
      <c r="D99" s="80"/>
      <c r="E99" s="81"/>
      <c r="F99" s="82"/>
      <c r="G99" s="79" t="s">
        <v>230</v>
      </c>
      <c r="H99" s="79"/>
      <c r="I99" s="80">
        <f>K99/12</f>
        <v>11518</v>
      </c>
      <c r="J99" s="80"/>
      <c r="K99" s="80">
        <v>138216</v>
      </c>
      <c r="L99" s="79"/>
      <c r="M99" s="83">
        <f>I99*M98/I98</f>
        <v>2013.0169737982721</v>
      </c>
      <c r="N99" s="82">
        <f>I99*N98/I98</f>
        <v>0.2688559987597019</v>
      </c>
      <c r="O99" s="83">
        <f>I99*O98/I98</f>
        <v>1168.7468290208017</v>
      </c>
      <c r="P99" s="82">
        <f>I99*P98/I98</f>
        <v>30.739642626300533</v>
      </c>
      <c r="Q99" s="83" t="s">
        <v>151</v>
      </c>
      <c r="R99" s="83"/>
      <c r="S99" s="83">
        <v>35200</v>
      </c>
      <c r="T99" s="84" t="str">
        <f t="shared" si="6"/>
        <v>no data</v>
      </c>
      <c r="U99" s="84">
        <f t="shared" si="7"/>
        <v>32.721590909090907</v>
      </c>
      <c r="V99" s="85"/>
      <c r="W99" s="79"/>
      <c r="X99" s="86"/>
      <c r="Y99" s="135"/>
      <c r="Z99" s="86"/>
      <c r="AA99" s="86"/>
      <c r="AB99" s="86"/>
      <c r="AC99" s="87"/>
      <c r="AD99" s="88" t="s">
        <v>151</v>
      </c>
      <c r="AE99" s="89"/>
      <c r="AF99" s="89"/>
      <c r="AG99" s="89"/>
      <c r="AH99" s="90"/>
      <c r="AI99" s="91"/>
      <c r="AJ99" s="79"/>
      <c r="AK99" s="92"/>
      <c r="AL99" s="63"/>
      <c r="AM99" s="63"/>
    </row>
    <row r="100" spans="1:39" s="12" customFormat="1" ht="12.75">
      <c r="A100" s="63">
        <v>1</v>
      </c>
      <c r="B100" s="78">
        <v>89</v>
      </c>
      <c r="C100" s="79" t="s">
        <v>3</v>
      </c>
      <c r="D100" s="80">
        <v>341202</v>
      </c>
      <c r="E100" s="81">
        <v>9.7250799848937225E-2</v>
      </c>
      <c r="F100" s="82">
        <v>9.4800000000000009E-2</v>
      </c>
      <c r="G100" s="79" t="s">
        <v>4</v>
      </c>
      <c r="H100" s="79">
        <v>2009</v>
      </c>
      <c r="I100" s="80">
        <v>100</v>
      </c>
      <c r="J100" s="80"/>
      <c r="K100" s="80">
        <f>I100*12</f>
        <v>1200</v>
      </c>
      <c r="L100" s="79" t="s">
        <v>406</v>
      </c>
      <c r="M100" s="83">
        <v>100</v>
      </c>
      <c r="N100" s="81">
        <v>0.14094076788053861</v>
      </c>
      <c r="O100" s="83">
        <v>165.56291390728478</v>
      </c>
      <c r="P100" s="81">
        <v>4.3545314342737909</v>
      </c>
      <c r="Q100" s="83">
        <v>289</v>
      </c>
      <c r="R100" s="83">
        <v>2009</v>
      </c>
      <c r="S100" s="83">
        <v>548</v>
      </c>
      <c r="T100" s="84">
        <f t="shared" si="6"/>
        <v>34.602076124567475</v>
      </c>
      <c r="U100" s="84">
        <f t="shared" si="7"/>
        <v>18.248175182481752</v>
      </c>
      <c r="V100" s="85">
        <v>70</v>
      </c>
      <c r="W100" s="79" t="s">
        <v>165</v>
      </c>
      <c r="X100" s="86">
        <v>84910</v>
      </c>
      <c r="Y100" s="135" t="s">
        <v>334</v>
      </c>
      <c r="Z100" s="86"/>
      <c r="AA100" s="86">
        <v>152769</v>
      </c>
      <c r="AB100" s="86">
        <v>240795</v>
      </c>
      <c r="AC100" s="87">
        <f>X100/AB100*100</f>
        <v>35.26236009883926</v>
      </c>
      <c r="AD100" s="88">
        <f>X100/AA100*100</f>
        <v>55.580647906316074</v>
      </c>
      <c r="AE100" s="89">
        <f>X100/352416</f>
        <v>0.2409368473622083</v>
      </c>
      <c r="AF100" s="89"/>
      <c r="AG100" s="89" t="s">
        <v>151</v>
      </c>
      <c r="AH100" s="90"/>
      <c r="AI100" s="91"/>
      <c r="AJ100" s="79" t="s">
        <v>157</v>
      </c>
      <c r="AK100" s="92"/>
      <c r="AL100" s="63"/>
      <c r="AM100" s="63"/>
    </row>
    <row r="101" spans="1:39" s="12" customFormat="1" ht="25.5">
      <c r="A101" s="63">
        <v>1</v>
      </c>
      <c r="B101" s="78">
        <v>90</v>
      </c>
      <c r="C101" s="79" t="s">
        <v>5</v>
      </c>
      <c r="D101" s="80">
        <v>511610</v>
      </c>
      <c r="E101" s="81">
        <v>7.6599831540868552E-2</v>
      </c>
      <c r="F101" s="82">
        <v>6.4500000000000002E-2</v>
      </c>
      <c r="G101" s="79" t="s">
        <v>361</v>
      </c>
      <c r="H101" s="79">
        <v>2009</v>
      </c>
      <c r="I101" s="80">
        <v>376000</v>
      </c>
      <c r="J101" s="80"/>
      <c r="K101" s="80">
        <f>I101*12</f>
        <v>4512000</v>
      </c>
      <c r="L101" s="79" t="s">
        <v>362</v>
      </c>
      <c r="M101" s="83">
        <v>87.441860465116278</v>
      </c>
      <c r="N101" s="81">
        <v>0.3071030802542406</v>
      </c>
      <c r="O101" s="83">
        <v>138.52140192500539</v>
      </c>
      <c r="P101" s="81">
        <v>3.6433026259727441</v>
      </c>
      <c r="Q101" s="83">
        <v>1408863</v>
      </c>
      <c r="R101" s="83" t="s">
        <v>285</v>
      </c>
      <c r="S101" s="83">
        <v>1402030</v>
      </c>
      <c r="T101" s="84">
        <f t="shared" si="6"/>
        <v>26.688187566853554</v>
      </c>
      <c r="U101" s="84">
        <f t="shared" si="7"/>
        <v>26.81825638538405</v>
      </c>
      <c r="V101" s="85">
        <v>65</v>
      </c>
      <c r="W101" s="79" t="s">
        <v>156</v>
      </c>
      <c r="X101" s="86">
        <v>25000</v>
      </c>
      <c r="Y101" s="135"/>
      <c r="Z101" s="86"/>
      <c r="AA101" s="86">
        <v>341545</v>
      </c>
      <c r="AB101" s="86">
        <v>341545</v>
      </c>
      <c r="AC101" s="87">
        <f>X101/AB101*100</f>
        <v>7.3196796908167299</v>
      </c>
      <c r="AD101" s="88">
        <f>X101/AA101*100</f>
        <v>7.3196796908167299</v>
      </c>
      <c r="AE101" s="89">
        <f>X101/D101</f>
        <v>4.8865346650769144E-2</v>
      </c>
      <c r="AF101" s="89"/>
      <c r="AG101" s="89">
        <v>1.1757088544635036E-3</v>
      </c>
      <c r="AH101" s="90"/>
      <c r="AI101" s="91"/>
      <c r="AJ101" s="79" t="s">
        <v>166</v>
      </c>
      <c r="AK101" s="92"/>
      <c r="AL101" s="63"/>
      <c r="AM101" s="63"/>
    </row>
    <row r="102" spans="1:39" s="12" customFormat="1" ht="12.75">
      <c r="A102" s="63">
        <v>1</v>
      </c>
      <c r="B102" s="78">
        <v>91</v>
      </c>
      <c r="C102" s="79" t="s">
        <v>363</v>
      </c>
      <c r="D102" s="80">
        <v>2567828</v>
      </c>
      <c r="E102" s="81">
        <v>8.7056467087874609E-2</v>
      </c>
      <c r="F102" s="82">
        <v>7.690000000000001E-2</v>
      </c>
      <c r="G102" s="79" t="s">
        <v>364</v>
      </c>
      <c r="H102" s="79">
        <v>2011</v>
      </c>
      <c r="I102" s="80">
        <v>125</v>
      </c>
      <c r="J102" s="80"/>
      <c r="K102" s="80">
        <f>I102*12</f>
        <v>1500</v>
      </c>
      <c r="L102" s="79" t="s">
        <v>365</v>
      </c>
      <c r="M102" s="83">
        <v>47.169811320754718</v>
      </c>
      <c r="N102" s="81">
        <v>9.2534855412437722E-2</v>
      </c>
      <c r="O102" s="83">
        <v>77.591558038485417</v>
      </c>
      <c r="P102" s="81">
        <v>2.0407642662176984</v>
      </c>
      <c r="Q102" s="83"/>
      <c r="R102" s="83"/>
      <c r="S102" s="83"/>
      <c r="T102" s="84"/>
      <c r="U102" s="84"/>
      <c r="V102" s="85">
        <v>65</v>
      </c>
      <c r="W102" s="79" t="s">
        <v>366</v>
      </c>
      <c r="X102" s="86">
        <v>40676</v>
      </c>
      <c r="Y102" s="135" t="s">
        <v>334</v>
      </c>
      <c r="Z102" s="86"/>
      <c r="AA102" s="86">
        <v>1825244</v>
      </c>
      <c r="AB102" s="86">
        <v>1825244</v>
      </c>
      <c r="AC102" s="87">
        <f>X102/AB102*100</f>
        <v>2.2285239672065762</v>
      </c>
      <c r="AD102" s="88">
        <f>X102/AA102*100</f>
        <v>2.2285239672065762</v>
      </c>
      <c r="AE102" s="89">
        <f>X102/D102</f>
        <v>1.58406248393584E-2</v>
      </c>
      <c r="AF102" s="89"/>
      <c r="AG102" s="89" t="s">
        <v>151</v>
      </c>
      <c r="AH102" s="90"/>
      <c r="AI102" s="91"/>
      <c r="AJ102" s="79" t="s">
        <v>157</v>
      </c>
      <c r="AK102" s="92"/>
      <c r="AL102" s="63"/>
      <c r="AM102" s="63"/>
    </row>
    <row r="103" spans="1:39" s="12" customFormat="1" ht="25.5">
      <c r="A103" s="63">
        <v>1</v>
      </c>
      <c r="B103" s="78">
        <v>92</v>
      </c>
      <c r="C103" s="79" t="s">
        <v>6</v>
      </c>
      <c r="D103" s="80">
        <v>6241568</v>
      </c>
      <c r="E103" s="81">
        <v>6.6671414387321909E-2</v>
      </c>
      <c r="F103" s="82">
        <v>0.22620000000000001</v>
      </c>
      <c r="G103" s="79" t="s">
        <v>22</v>
      </c>
      <c r="H103" s="79">
        <v>2011</v>
      </c>
      <c r="I103" s="80">
        <v>500</v>
      </c>
      <c r="J103" s="80"/>
      <c r="K103" s="80">
        <f>I103*12</f>
        <v>6000</v>
      </c>
      <c r="L103" s="79" t="s">
        <v>7</v>
      </c>
      <c r="M103" s="83">
        <v>11.725748806318773</v>
      </c>
      <c r="N103" s="81">
        <v>5.9080227788544652E-2</v>
      </c>
      <c r="O103" s="83">
        <v>20.052135552436336</v>
      </c>
      <c r="P103" s="81">
        <v>0.52739863370791462</v>
      </c>
      <c r="Q103" s="83">
        <v>9932</v>
      </c>
      <c r="R103" s="83">
        <v>2009</v>
      </c>
      <c r="S103" s="83">
        <v>7559</v>
      </c>
      <c r="T103" s="84">
        <f t="shared" si="6"/>
        <v>5.0342327829238824</v>
      </c>
      <c r="U103" s="84">
        <f t="shared" si="7"/>
        <v>6.6146315650218277</v>
      </c>
      <c r="V103" s="85" t="s">
        <v>8</v>
      </c>
      <c r="W103" s="79" t="s">
        <v>156</v>
      </c>
      <c r="X103" s="86">
        <v>145166</v>
      </c>
      <c r="Y103" s="135" t="s">
        <v>334</v>
      </c>
      <c r="Z103" s="86"/>
      <c r="AA103" s="86">
        <v>1745696</v>
      </c>
      <c r="AB103" s="86">
        <v>3505940</v>
      </c>
      <c r="AC103" s="87">
        <f>X103/AB103*100</f>
        <v>4.1405728563523621</v>
      </c>
      <c r="AD103" s="88">
        <f>X103/AA103*100</f>
        <v>8.3156517515077084</v>
      </c>
      <c r="AE103" s="89">
        <f>X103/D103</f>
        <v>2.3257937748975898E-2</v>
      </c>
      <c r="AF103" s="89"/>
      <c r="AG103" s="89">
        <v>8.2954923173483302E-5</v>
      </c>
      <c r="AH103" s="90"/>
      <c r="AI103" s="91"/>
      <c r="AJ103" s="79" t="s">
        <v>166</v>
      </c>
      <c r="AK103" s="92"/>
      <c r="AL103" s="63"/>
      <c r="AM103" s="63"/>
    </row>
    <row r="104" spans="1:39" s="12" customFormat="1" ht="12.75">
      <c r="A104" s="63">
        <v>1</v>
      </c>
      <c r="B104" s="78">
        <v>93</v>
      </c>
      <c r="C104" s="79" t="s">
        <v>235</v>
      </c>
      <c r="D104" s="80"/>
      <c r="E104" s="81"/>
      <c r="F104" s="82"/>
      <c r="G104" s="79" t="s">
        <v>229</v>
      </c>
      <c r="H104" s="79"/>
      <c r="I104" s="80">
        <f>K104/12</f>
        <v>477</v>
      </c>
      <c r="J104" s="80"/>
      <c r="K104" s="80">
        <v>5724</v>
      </c>
      <c r="L104" s="79"/>
      <c r="M104" s="83"/>
      <c r="N104" s="81"/>
      <c r="O104" s="83"/>
      <c r="P104" s="81"/>
      <c r="Q104" s="83">
        <v>1276</v>
      </c>
      <c r="R104" s="83">
        <v>2009</v>
      </c>
      <c r="S104" s="83">
        <v>3103</v>
      </c>
      <c r="T104" s="84">
        <f t="shared" si="6"/>
        <v>37.38244514106583</v>
      </c>
      <c r="U104" s="84">
        <f t="shared" si="7"/>
        <v>15.372220431840155</v>
      </c>
      <c r="V104" s="85"/>
      <c r="W104" s="79" t="s">
        <v>156</v>
      </c>
      <c r="X104" s="86"/>
      <c r="Y104" s="135"/>
      <c r="Z104" s="86"/>
      <c r="AA104" s="86"/>
      <c r="AB104" s="86"/>
      <c r="AC104" s="87">
        <v>12</v>
      </c>
      <c r="AD104" s="88">
        <v>0.12</v>
      </c>
      <c r="AE104" s="89"/>
      <c r="AF104" s="89"/>
      <c r="AG104" s="89"/>
      <c r="AH104" s="90"/>
      <c r="AI104" s="91"/>
      <c r="AJ104" s="79"/>
      <c r="AK104" s="92" t="s">
        <v>221</v>
      </c>
      <c r="AL104" s="63"/>
      <c r="AM104" s="63"/>
    </row>
    <row r="105" spans="1:39" s="12" customFormat="1" ht="12.75" hidden="1">
      <c r="A105" s="63"/>
      <c r="B105" s="78">
        <v>94</v>
      </c>
      <c r="C105" s="79" t="s">
        <v>235</v>
      </c>
      <c r="D105" s="80"/>
      <c r="E105" s="81"/>
      <c r="F105" s="82"/>
      <c r="G105" s="79" t="s">
        <v>230</v>
      </c>
      <c r="H105" s="79"/>
      <c r="I105" s="80">
        <f>K105/12</f>
        <v>636.25</v>
      </c>
      <c r="J105" s="80"/>
      <c r="K105" s="80">
        <v>7635</v>
      </c>
      <c r="L105" s="79"/>
      <c r="M105" s="83"/>
      <c r="N105" s="82"/>
      <c r="O105" s="83"/>
      <c r="P105" s="82"/>
      <c r="Q105" s="83">
        <v>1276</v>
      </c>
      <c r="R105" s="83">
        <v>2009</v>
      </c>
      <c r="S105" s="83">
        <v>3103</v>
      </c>
      <c r="T105" s="84">
        <f t="shared" si="6"/>
        <v>49.862852664576799</v>
      </c>
      <c r="U105" s="84">
        <f t="shared" si="7"/>
        <v>20.504350628424106</v>
      </c>
      <c r="V105" s="85"/>
      <c r="W105" s="79"/>
      <c r="X105" s="86"/>
      <c r="Y105" s="135"/>
      <c r="Z105" s="86"/>
      <c r="AA105" s="86"/>
      <c r="AB105" s="86"/>
      <c r="AC105" s="87"/>
      <c r="AD105" s="88" t="s">
        <v>151</v>
      </c>
      <c r="AE105" s="89"/>
      <c r="AF105" s="89"/>
      <c r="AG105" s="89"/>
      <c r="AH105" s="90"/>
      <c r="AI105" s="91"/>
      <c r="AJ105" s="79"/>
      <c r="AK105" s="92" t="s">
        <v>221</v>
      </c>
      <c r="AL105" s="63"/>
      <c r="AM105" s="63"/>
    </row>
    <row r="106" spans="1:39" s="12" customFormat="1" ht="25.5">
      <c r="A106" s="63">
        <v>1</v>
      </c>
      <c r="B106" s="78">
        <v>95</v>
      </c>
      <c r="C106" s="79" t="s">
        <v>236</v>
      </c>
      <c r="D106" s="80">
        <v>2535470</v>
      </c>
      <c r="E106" s="81">
        <v>0.23624540257093574</v>
      </c>
      <c r="F106" s="82" t="s">
        <v>151</v>
      </c>
      <c r="G106" s="79" t="s">
        <v>367</v>
      </c>
      <c r="H106" s="79" t="s">
        <v>151</v>
      </c>
      <c r="I106" s="80">
        <v>195.4</v>
      </c>
      <c r="J106" s="80"/>
      <c r="K106" s="80">
        <f>I106*12</f>
        <v>2344.8000000000002</v>
      </c>
      <c r="L106" s="79" t="s">
        <v>180</v>
      </c>
      <c r="M106" s="83">
        <v>258.35283540253596</v>
      </c>
      <c r="N106" s="81">
        <v>0.14475893390058159</v>
      </c>
      <c r="O106" s="83">
        <v>279.5422031473534</v>
      </c>
      <c r="P106" s="81">
        <v>7.352342877300253</v>
      </c>
      <c r="Q106" s="83">
        <v>450</v>
      </c>
      <c r="R106" s="83" t="s">
        <v>285</v>
      </c>
      <c r="S106" s="83">
        <v>1008</v>
      </c>
      <c r="T106" s="84">
        <f t="shared" si="6"/>
        <v>43.422222222222224</v>
      </c>
      <c r="U106" s="84">
        <f t="shared" si="7"/>
        <v>19.384920634920636</v>
      </c>
      <c r="V106" s="85">
        <v>65</v>
      </c>
      <c r="W106" s="79" t="s">
        <v>156</v>
      </c>
      <c r="X106" s="86">
        <v>49205</v>
      </c>
      <c r="Y106" s="135" t="s">
        <v>250</v>
      </c>
      <c r="Z106" s="86"/>
      <c r="AA106" s="86">
        <v>1866928</v>
      </c>
      <c r="AB106" s="86">
        <v>1866928</v>
      </c>
      <c r="AC106" s="87">
        <f>X106/AB106*100</f>
        <v>2.6356131570151606</v>
      </c>
      <c r="AD106" s="88">
        <f>X106/AB106*100</f>
        <v>2.6356131570151606</v>
      </c>
      <c r="AE106" s="89"/>
      <c r="AF106" s="89"/>
      <c r="AG106" s="89"/>
      <c r="AH106" s="90"/>
      <c r="AI106" s="91"/>
      <c r="AJ106" s="79"/>
      <c r="AK106" s="92" t="s">
        <v>221</v>
      </c>
      <c r="AL106" s="63"/>
      <c r="AM106" s="63"/>
    </row>
    <row r="107" spans="1:39" s="12" customFormat="1" ht="25.5" hidden="1">
      <c r="A107" s="63"/>
      <c r="B107" s="78">
        <v>96</v>
      </c>
      <c r="C107" s="79" t="s">
        <v>236</v>
      </c>
      <c r="D107" s="80"/>
      <c r="E107" s="81"/>
      <c r="F107" s="82"/>
      <c r="G107" s="79" t="s">
        <v>230</v>
      </c>
      <c r="H107" s="79"/>
      <c r="I107" s="80">
        <f>K107/12</f>
        <v>363.83333333333331</v>
      </c>
      <c r="J107" s="80"/>
      <c r="K107" s="80">
        <v>4366</v>
      </c>
      <c r="L107" s="79" t="s">
        <v>180</v>
      </c>
      <c r="M107" s="83"/>
      <c r="N107" s="82"/>
      <c r="O107" s="83"/>
      <c r="P107" s="82"/>
      <c r="Q107" s="83">
        <v>450</v>
      </c>
      <c r="R107" s="83" t="s">
        <v>285</v>
      </c>
      <c r="S107" s="83">
        <v>1008</v>
      </c>
      <c r="T107" s="84">
        <f t="shared" si="6"/>
        <v>80.851851851851848</v>
      </c>
      <c r="U107" s="84">
        <f t="shared" si="7"/>
        <v>36.094576719576715</v>
      </c>
      <c r="V107" s="85"/>
      <c r="W107" s="79"/>
      <c r="X107" s="86"/>
      <c r="Y107" s="135"/>
      <c r="Z107" s="86"/>
      <c r="AA107" s="86"/>
      <c r="AB107" s="86"/>
      <c r="AC107" s="87">
        <v>59</v>
      </c>
      <c r="AD107" s="88">
        <v>59</v>
      </c>
      <c r="AE107" s="89"/>
      <c r="AF107" s="89"/>
      <c r="AG107" s="89"/>
      <c r="AH107" s="90"/>
      <c r="AI107" s="91"/>
      <c r="AJ107" s="79"/>
      <c r="AK107" s="92" t="s">
        <v>221</v>
      </c>
      <c r="AL107" s="63"/>
      <c r="AM107" s="63"/>
    </row>
    <row r="108" spans="1:39" s="12" customFormat="1" ht="63.75">
      <c r="A108" s="63"/>
      <c r="B108" s="78"/>
      <c r="C108" s="79" t="s">
        <v>563</v>
      </c>
      <c r="D108" s="80"/>
      <c r="E108" s="81"/>
      <c r="F108" s="82"/>
      <c r="G108" s="79" t="s">
        <v>547</v>
      </c>
      <c r="H108" s="79">
        <v>1998</v>
      </c>
      <c r="I108" s="80">
        <v>250</v>
      </c>
      <c r="J108" s="80">
        <v>2011</v>
      </c>
      <c r="K108" s="80">
        <f>I108*12</f>
        <v>3000</v>
      </c>
      <c r="L108" s="79" t="s">
        <v>152</v>
      </c>
      <c r="M108" s="83"/>
      <c r="N108" s="81"/>
      <c r="O108" s="83"/>
      <c r="P108" s="81"/>
      <c r="Q108" s="83"/>
      <c r="R108" s="83"/>
      <c r="S108" s="83"/>
      <c r="T108" s="84"/>
      <c r="U108" s="84"/>
      <c r="V108" s="85" t="s">
        <v>564</v>
      </c>
      <c r="W108" s="79" t="s">
        <v>304</v>
      </c>
      <c r="X108" s="86">
        <v>475</v>
      </c>
      <c r="Y108" s="135" t="s">
        <v>565</v>
      </c>
      <c r="Z108" s="86"/>
      <c r="AA108" s="86">
        <v>5750</v>
      </c>
      <c r="AB108" s="86"/>
      <c r="AC108" s="87"/>
      <c r="AD108" s="88">
        <f>X108/AA108*100</f>
        <v>8.2608695652173907</v>
      </c>
      <c r="AE108" s="89"/>
      <c r="AF108" s="89"/>
      <c r="AG108" s="89"/>
      <c r="AH108" s="90"/>
      <c r="AI108" s="91"/>
      <c r="AJ108" s="79"/>
      <c r="AK108" s="92"/>
      <c r="AL108" s="63"/>
      <c r="AM108" s="63"/>
    </row>
    <row r="109" spans="1:39" s="12" customFormat="1" ht="51">
      <c r="A109" s="63">
        <v>1</v>
      </c>
      <c r="B109" s="78"/>
      <c r="C109" s="79" t="s">
        <v>403</v>
      </c>
      <c r="D109" s="80">
        <v>10414</v>
      </c>
      <c r="E109" s="81">
        <v>9.529299806010029E-2</v>
      </c>
      <c r="F109" s="82" t="s">
        <v>151</v>
      </c>
      <c r="G109" s="79" t="s">
        <v>404</v>
      </c>
      <c r="H109" s="79">
        <v>2009</v>
      </c>
      <c r="I109" s="80">
        <v>162.5</v>
      </c>
      <c r="J109" s="80"/>
      <c r="K109" s="80">
        <f>12*I109</f>
        <v>1950</v>
      </c>
      <c r="L109" s="79" t="s">
        <v>152</v>
      </c>
      <c r="M109" s="83">
        <v>60.185185185185183</v>
      </c>
      <c r="N109" s="81">
        <v>0.11745640033478086</v>
      </c>
      <c r="O109" s="83">
        <v>111.53054221002058</v>
      </c>
      <c r="P109" s="81">
        <v>2.9334060416882126</v>
      </c>
      <c r="Q109" s="83"/>
      <c r="R109" s="83"/>
      <c r="S109" s="83"/>
      <c r="T109" s="84"/>
      <c r="U109" s="84"/>
      <c r="V109" s="85" t="s">
        <v>405</v>
      </c>
      <c r="W109" s="79" t="s">
        <v>165</v>
      </c>
      <c r="X109" s="86" t="s">
        <v>151</v>
      </c>
      <c r="Y109" s="135"/>
      <c r="Z109" s="86"/>
      <c r="AA109" s="86"/>
      <c r="AB109" s="86"/>
      <c r="AC109" s="87"/>
      <c r="AD109" s="88" t="s">
        <v>151</v>
      </c>
      <c r="AE109" s="89" t="s">
        <v>151</v>
      </c>
      <c r="AF109" s="89"/>
      <c r="AG109" s="89" t="s">
        <v>151</v>
      </c>
      <c r="AH109" s="90"/>
      <c r="AI109" s="91"/>
      <c r="AJ109" s="79" t="s">
        <v>157</v>
      </c>
      <c r="AK109" s="92"/>
      <c r="AL109" s="63"/>
      <c r="AM109" s="63"/>
    </row>
    <row r="110" spans="1:39" s="12" customFormat="1" ht="89.25">
      <c r="A110" s="63"/>
      <c r="B110" s="78"/>
      <c r="C110" s="79" t="s">
        <v>403</v>
      </c>
      <c r="D110" s="80">
        <v>10774</v>
      </c>
      <c r="E110" s="81">
        <v>9.529299806010029E-2</v>
      </c>
      <c r="F110" s="82"/>
      <c r="G110" s="79" t="s">
        <v>561</v>
      </c>
      <c r="H110" s="79">
        <v>2010</v>
      </c>
      <c r="I110" s="80">
        <v>220</v>
      </c>
      <c r="J110" s="80"/>
      <c r="K110" s="80">
        <f>I110*12</f>
        <v>2640</v>
      </c>
      <c r="L110" s="79" t="s">
        <v>152</v>
      </c>
      <c r="M110" s="83"/>
      <c r="N110" s="81"/>
      <c r="O110" s="83"/>
      <c r="P110" s="81"/>
      <c r="Q110" s="83"/>
      <c r="R110" s="83"/>
      <c r="S110" s="83"/>
      <c r="T110" s="84"/>
      <c r="U110" s="84"/>
      <c r="V110" s="85">
        <v>65</v>
      </c>
      <c r="W110" s="79" t="s">
        <v>304</v>
      </c>
      <c r="X110" s="86">
        <v>1203</v>
      </c>
      <c r="Y110" s="135" t="s">
        <v>562</v>
      </c>
      <c r="Z110" s="86"/>
      <c r="AA110" s="86">
        <v>7425</v>
      </c>
      <c r="AB110" s="86">
        <v>7425</v>
      </c>
      <c r="AC110" s="87">
        <f>X110/AB110*100</f>
        <v>16.202020202020201</v>
      </c>
      <c r="AD110" s="88">
        <f>X110/AA110*100</f>
        <v>16.202020202020201</v>
      </c>
      <c r="AE110" s="89">
        <f>X110/D110</f>
        <v>0.11165769444960089</v>
      </c>
      <c r="AF110" s="89"/>
      <c r="AG110" s="89"/>
      <c r="AH110" s="90"/>
      <c r="AI110" s="91"/>
      <c r="AJ110" s="79"/>
      <c r="AK110" s="92"/>
      <c r="AL110" s="63"/>
      <c r="AM110" s="63"/>
    </row>
    <row r="111" spans="1:39" s="12" customFormat="1" ht="12.75">
      <c r="A111" s="63">
        <v>1</v>
      </c>
      <c r="B111" s="78">
        <v>97</v>
      </c>
      <c r="C111" s="79" t="s">
        <v>9</v>
      </c>
      <c r="D111" s="80">
        <v>13645</v>
      </c>
      <c r="E111" s="81">
        <v>6.8524613983223723E-2</v>
      </c>
      <c r="F111" s="82" t="s">
        <v>151</v>
      </c>
      <c r="G111" s="79" t="s">
        <v>10</v>
      </c>
      <c r="H111" s="79" t="s">
        <v>151</v>
      </c>
      <c r="I111" s="80">
        <v>130</v>
      </c>
      <c r="J111" s="80"/>
      <c r="K111" s="80">
        <f>12*I111</f>
        <v>1560</v>
      </c>
      <c r="L111" s="79" t="s">
        <v>11</v>
      </c>
      <c r="M111" s="83">
        <v>56.745018442130991</v>
      </c>
      <c r="N111" s="81">
        <v>0.19610889776239745</v>
      </c>
      <c r="O111" s="83">
        <v>93.795093795093806</v>
      </c>
      <c r="P111" s="81">
        <v>2.4669394532408231</v>
      </c>
      <c r="Q111" s="83" t="s">
        <v>151</v>
      </c>
      <c r="R111" s="83"/>
      <c r="S111" s="83" t="s">
        <v>151</v>
      </c>
      <c r="T111" s="84" t="str">
        <f t="shared" si="6"/>
        <v>no data</v>
      </c>
      <c r="U111" s="84" t="str">
        <f t="shared" si="7"/>
        <v>no data</v>
      </c>
      <c r="V111" s="85">
        <v>65</v>
      </c>
      <c r="W111" s="79" t="s">
        <v>188</v>
      </c>
      <c r="X111" s="86">
        <v>8700</v>
      </c>
      <c r="Y111" s="135" t="s">
        <v>334</v>
      </c>
      <c r="Z111" s="86"/>
      <c r="AA111" s="86">
        <v>9344</v>
      </c>
      <c r="AB111" s="86">
        <v>9344</v>
      </c>
      <c r="AC111" s="87">
        <f>X111/AB111*100</f>
        <v>93.107876712328761</v>
      </c>
      <c r="AD111" s="88">
        <f>X111/AA111*100</f>
        <v>93.107876712328761</v>
      </c>
      <c r="AE111" s="89">
        <f>X111/D111</f>
        <v>0.63759618908024918</v>
      </c>
      <c r="AF111" s="89"/>
      <c r="AG111" s="89">
        <v>1.2999999999999999E-2</v>
      </c>
      <c r="AH111" s="90"/>
      <c r="AI111" s="91"/>
      <c r="AJ111" s="79" t="s">
        <v>166</v>
      </c>
      <c r="AK111" s="92"/>
      <c r="AL111" s="63"/>
      <c r="AM111" s="63"/>
    </row>
    <row r="112" spans="1:39" s="12" customFormat="1" ht="25.5">
      <c r="A112" s="63">
        <v>1</v>
      </c>
      <c r="B112" s="78">
        <v>98</v>
      </c>
      <c r="C112" s="79" t="s">
        <v>12</v>
      </c>
      <c r="D112" s="80" t="s">
        <v>151</v>
      </c>
      <c r="E112" s="81" t="s">
        <v>151</v>
      </c>
      <c r="F112" s="82">
        <v>0.02</v>
      </c>
      <c r="G112" s="79" t="s">
        <v>13</v>
      </c>
      <c r="H112" s="79" t="s">
        <v>151</v>
      </c>
      <c r="I112" s="80">
        <v>2400</v>
      </c>
      <c r="J112" s="80"/>
      <c r="K112" s="80">
        <f>I112*12</f>
        <v>28800</v>
      </c>
      <c r="L112" s="79" t="s">
        <v>70</v>
      </c>
      <c r="M112" s="83">
        <v>172.92312126233878</v>
      </c>
      <c r="N112" s="81">
        <v>0.22246819033173326</v>
      </c>
      <c r="O112" s="83">
        <v>432.66630611141159</v>
      </c>
      <c r="P112" s="81">
        <v>11.379716544300139</v>
      </c>
      <c r="Q112" s="83" t="s">
        <v>151</v>
      </c>
      <c r="R112" s="83"/>
      <c r="S112" s="83" t="s">
        <v>151</v>
      </c>
      <c r="T112" s="84" t="str">
        <f t="shared" si="6"/>
        <v>no data</v>
      </c>
      <c r="U112" s="84" t="str">
        <f t="shared" si="7"/>
        <v>no data</v>
      </c>
      <c r="V112" s="85">
        <v>63</v>
      </c>
      <c r="W112" s="79" t="s">
        <v>188</v>
      </c>
      <c r="X112" s="86" t="s">
        <v>151</v>
      </c>
      <c r="Y112" s="135"/>
      <c r="Z112" s="86"/>
      <c r="AA112" s="86"/>
      <c r="AB112" s="86"/>
      <c r="AC112" s="87"/>
      <c r="AD112" s="88">
        <v>100</v>
      </c>
      <c r="AE112" s="89" t="s">
        <v>151</v>
      </c>
      <c r="AF112" s="89"/>
      <c r="AG112" s="89" t="s">
        <v>151</v>
      </c>
      <c r="AH112" s="90"/>
      <c r="AI112" s="91"/>
      <c r="AJ112" s="79" t="s">
        <v>157</v>
      </c>
      <c r="AK112" s="92"/>
      <c r="AL112" s="63"/>
      <c r="AM112" s="63"/>
    </row>
    <row r="113" spans="1:39" s="12" customFormat="1" ht="12.75">
      <c r="A113" s="63">
        <v>1</v>
      </c>
      <c r="B113" s="78">
        <v>99</v>
      </c>
      <c r="C113" s="79" t="s">
        <v>237</v>
      </c>
      <c r="D113" s="80"/>
      <c r="E113" s="81"/>
      <c r="F113" s="82"/>
      <c r="G113" s="79" t="s">
        <v>229</v>
      </c>
      <c r="H113" s="79"/>
      <c r="I113" s="80">
        <f>K113/12</f>
        <v>5441.083333333333</v>
      </c>
      <c r="J113" s="80"/>
      <c r="K113" s="80">
        <v>65293</v>
      </c>
      <c r="L113" s="79"/>
      <c r="M113" s="83"/>
      <c r="N113" s="81"/>
      <c r="O113" s="83"/>
      <c r="P113" s="81"/>
      <c r="Q113" s="83">
        <v>296</v>
      </c>
      <c r="R113" s="83">
        <v>2009</v>
      </c>
      <c r="S113" s="83">
        <v>803</v>
      </c>
      <c r="T113" s="84">
        <f t="shared" si="6"/>
        <v>1838.2038288288288</v>
      </c>
      <c r="U113" s="84">
        <f t="shared" si="7"/>
        <v>677.59443752594427</v>
      </c>
      <c r="V113" s="85">
        <v>62</v>
      </c>
      <c r="W113" s="79" t="s">
        <v>156</v>
      </c>
      <c r="X113" s="86">
        <v>3916</v>
      </c>
      <c r="Y113" s="135" t="s">
        <v>250</v>
      </c>
      <c r="Z113" s="86"/>
      <c r="AA113" s="86">
        <v>824129</v>
      </c>
      <c r="AB113" s="86">
        <v>641302</v>
      </c>
      <c r="AC113" s="87">
        <f>X113/AB113*100</f>
        <v>0.61063274401140177</v>
      </c>
      <c r="AD113" s="88">
        <f>X113/AA113*100</f>
        <v>0.47516832923001134</v>
      </c>
      <c r="AE113" s="89">
        <f>X113/902484</f>
        <v>4.3391350982399692E-3</v>
      </c>
      <c r="AF113" s="89"/>
      <c r="AG113" s="89"/>
      <c r="AH113" s="90"/>
      <c r="AI113" s="91"/>
      <c r="AJ113" s="79"/>
      <c r="AK113" s="92" t="s">
        <v>221</v>
      </c>
      <c r="AL113" s="63"/>
      <c r="AM113" s="63"/>
    </row>
    <row r="114" spans="1:39" s="12" customFormat="1" ht="12.75">
      <c r="A114" s="141">
        <v>1</v>
      </c>
      <c r="B114" s="142">
        <v>100</v>
      </c>
      <c r="C114" s="143" t="s">
        <v>14</v>
      </c>
      <c r="D114" s="144">
        <v>452754.99999999994</v>
      </c>
      <c r="E114" s="145">
        <v>0.22359243265880197</v>
      </c>
      <c r="F114" s="146">
        <v>0.02</v>
      </c>
      <c r="G114" s="143" t="s">
        <v>402</v>
      </c>
      <c r="H114" s="143">
        <v>1999</v>
      </c>
      <c r="I114" s="144">
        <v>181.36</v>
      </c>
      <c r="J114" s="144"/>
      <c r="K114" s="144">
        <f>I114*12</f>
        <v>2176.3200000000002</v>
      </c>
      <c r="L114" s="143" t="s">
        <v>180</v>
      </c>
      <c r="M114" s="147">
        <v>239.78950987003032</v>
      </c>
      <c r="N114" s="145">
        <v>0.12403578635788731</v>
      </c>
      <c r="O114" s="147">
        <v>290.64102564102564</v>
      </c>
      <c r="P114" s="145">
        <v>7.644257112750263</v>
      </c>
      <c r="Q114" s="147">
        <v>589</v>
      </c>
      <c r="R114" s="147">
        <v>2009</v>
      </c>
      <c r="S114" s="147">
        <v>1439</v>
      </c>
      <c r="T114" s="148">
        <f t="shared" si="6"/>
        <v>30.7911714770798</v>
      </c>
      <c r="U114" s="148">
        <f t="shared" si="7"/>
        <v>12.603196664350245</v>
      </c>
      <c r="V114" s="149">
        <v>68</v>
      </c>
      <c r="W114" s="143" t="s">
        <v>156</v>
      </c>
      <c r="X114" s="150">
        <v>17085</v>
      </c>
      <c r="Y114" s="151" t="s">
        <v>250</v>
      </c>
      <c r="Z114" s="152"/>
      <c r="AA114" s="152">
        <v>277892</v>
      </c>
      <c r="AB114" s="152">
        <v>324357</v>
      </c>
      <c r="AC114" s="153">
        <f>X114/AB114*100</f>
        <v>5.2673443150602584</v>
      </c>
      <c r="AD114" s="154">
        <f>X114/AA114*100</f>
        <v>6.1480719128294448</v>
      </c>
      <c r="AE114" s="155">
        <f>X114/434344</f>
        <v>3.9335181330926637E-2</v>
      </c>
      <c r="AF114" s="155"/>
      <c r="AG114" s="155">
        <v>9.8381757397786296E-4</v>
      </c>
      <c r="AH114" s="156"/>
      <c r="AI114" s="157"/>
      <c r="AJ114" s="143" t="s">
        <v>153</v>
      </c>
      <c r="AK114" s="158" t="s">
        <v>221</v>
      </c>
      <c r="AL114" s="141"/>
      <c r="AM114" s="141"/>
    </row>
    <row r="115" spans="1:39" s="12" customFormat="1" ht="12.75" hidden="1">
      <c r="A115" s="63"/>
      <c r="B115" s="78">
        <v>101</v>
      </c>
      <c r="C115" s="79" t="s">
        <v>14</v>
      </c>
      <c r="D115" s="80">
        <v>452754.99999999994</v>
      </c>
      <c r="E115" s="81">
        <v>0.22359243265880197</v>
      </c>
      <c r="F115" s="82">
        <v>0.02</v>
      </c>
      <c r="G115" s="79" t="s">
        <v>230</v>
      </c>
      <c r="H115" s="79"/>
      <c r="I115" s="80">
        <f>K115/12</f>
        <v>422.16666666666669</v>
      </c>
      <c r="J115" s="80"/>
      <c r="K115" s="80">
        <v>5066</v>
      </c>
      <c r="L115" s="79" t="s">
        <v>180</v>
      </c>
      <c r="M115" s="83">
        <f>I115*M114/I114</f>
        <v>558.17786768562235</v>
      </c>
      <c r="N115" s="82">
        <f>I115*N114/I114</f>
        <v>0.28872835506224137</v>
      </c>
      <c r="O115" s="83">
        <f>I115*O114/I114</f>
        <v>676.54914529914527</v>
      </c>
      <c r="P115" s="82">
        <f>I115*P114/I114</f>
        <v>17.794169301018616</v>
      </c>
      <c r="Q115" s="83">
        <v>589</v>
      </c>
      <c r="R115" s="83">
        <v>2009</v>
      </c>
      <c r="S115" s="83">
        <v>1439</v>
      </c>
      <c r="T115" s="84">
        <f t="shared" si="6"/>
        <v>71.675155631013027</v>
      </c>
      <c r="U115" s="84">
        <f t="shared" si="7"/>
        <v>29.337502895529305</v>
      </c>
      <c r="V115" s="85"/>
      <c r="W115" s="79" t="s">
        <v>156</v>
      </c>
      <c r="X115" s="86">
        <v>17085</v>
      </c>
      <c r="Y115" s="135" t="s">
        <v>250</v>
      </c>
      <c r="Z115" s="86"/>
      <c r="AA115" s="86"/>
      <c r="AB115" s="86"/>
      <c r="AC115" s="87">
        <v>22</v>
      </c>
      <c r="AD115" s="88">
        <v>22</v>
      </c>
      <c r="AE115" s="89"/>
      <c r="AF115" s="89"/>
      <c r="AG115" s="89"/>
      <c r="AH115" s="90"/>
      <c r="AI115" s="91"/>
      <c r="AJ115" s="79"/>
      <c r="AK115" s="92" t="s">
        <v>221</v>
      </c>
      <c r="AL115" s="63"/>
      <c r="AM115" s="63"/>
    </row>
    <row r="116" spans="1:39" s="12" customFormat="1" ht="76.5">
      <c r="A116" s="63">
        <v>1</v>
      </c>
      <c r="B116" s="78">
        <v>102</v>
      </c>
      <c r="C116" s="79" t="s">
        <v>15</v>
      </c>
      <c r="D116" s="80">
        <v>3948608</v>
      </c>
      <c r="E116" s="81">
        <v>7.3178684605416308E-2</v>
      </c>
      <c r="F116" s="82">
        <v>0.15539999999999998</v>
      </c>
      <c r="G116" s="79" t="s">
        <v>16</v>
      </c>
      <c r="H116" s="79" t="s">
        <v>401</v>
      </c>
      <c r="I116" s="80">
        <v>1200</v>
      </c>
      <c r="J116" s="80"/>
      <c r="K116" s="80">
        <f>12*I116</f>
        <v>14400</v>
      </c>
      <c r="L116" s="79" t="s">
        <v>17</v>
      </c>
      <c r="M116" s="83">
        <v>154.70915323812704</v>
      </c>
      <c r="N116" s="81">
        <v>0.24613456771642259</v>
      </c>
      <c r="O116" s="83">
        <v>225.05626406601652</v>
      </c>
      <c r="P116" s="81">
        <v>5.9192880411883797</v>
      </c>
      <c r="Q116" s="83">
        <v>1947</v>
      </c>
      <c r="R116" s="83">
        <v>2009</v>
      </c>
      <c r="S116" s="83">
        <v>10237</v>
      </c>
      <c r="T116" s="84">
        <f t="shared" si="6"/>
        <v>61.633281972265017</v>
      </c>
      <c r="U116" s="84">
        <f t="shared" si="7"/>
        <v>11.722184233662206</v>
      </c>
      <c r="V116" s="85">
        <v>60</v>
      </c>
      <c r="W116" s="79" t="s">
        <v>18</v>
      </c>
      <c r="X116" s="86">
        <v>2789076</v>
      </c>
      <c r="Y116" s="135">
        <v>2012</v>
      </c>
      <c r="Z116" s="86"/>
      <c r="AA116" s="86">
        <v>3948608</v>
      </c>
      <c r="AB116" s="86">
        <v>2479551</v>
      </c>
      <c r="AC116" s="87">
        <f>X116/AB116*100</f>
        <v>112.48310682054937</v>
      </c>
      <c r="AD116" s="88">
        <f>X116/AA116*100</f>
        <v>70.634410911389537</v>
      </c>
      <c r="AE116" s="89">
        <f>X116/AA116</f>
        <v>0.70634410911389534</v>
      </c>
      <c r="AF116" s="89"/>
      <c r="AG116" s="89">
        <v>1.1418676937630899E-2</v>
      </c>
      <c r="AH116" s="90"/>
      <c r="AI116" s="91">
        <v>2010</v>
      </c>
      <c r="AJ116" s="79" t="s">
        <v>157</v>
      </c>
      <c r="AK116" s="92"/>
      <c r="AL116" s="63"/>
      <c r="AM116" s="63"/>
    </row>
    <row r="117" spans="1:39" s="12" customFormat="1" ht="38.25">
      <c r="A117" s="63">
        <v>1</v>
      </c>
      <c r="B117" s="78">
        <v>103</v>
      </c>
      <c r="C117" s="79" t="s">
        <v>19</v>
      </c>
      <c r="D117" s="80">
        <v>10439088</v>
      </c>
      <c r="E117" s="81">
        <v>0.22402131087280056</v>
      </c>
      <c r="F117" s="82" t="s">
        <v>151</v>
      </c>
      <c r="G117" s="79" t="s">
        <v>20</v>
      </c>
      <c r="H117" s="79">
        <v>1994</v>
      </c>
      <c r="I117" s="80">
        <v>357.7</v>
      </c>
      <c r="J117" s="80"/>
      <c r="K117" s="80">
        <f>I117*12</f>
        <v>4292.3999999999996</v>
      </c>
      <c r="L117" s="79" t="s">
        <v>180</v>
      </c>
      <c r="M117" s="83">
        <v>472.94170534026154</v>
      </c>
      <c r="N117" s="81">
        <v>0.18726092592073118</v>
      </c>
      <c r="O117" s="83">
        <v>473.14814814814815</v>
      </c>
      <c r="P117" s="81">
        <v>12.444444444444445</v>
      </c>
      <c r="Q117" s="83">
        <v>728</v>
      </c>
      <c r="R117" s="83">
        <v>2009</v>
      </c>
      <c r="S117" s="83">
        <v>1858</v>
      </c>
      <c r="T117" s="84">
        <f t="shared" si="6"/>
        <v>49.13461538461538</v>
      </c>
      <c r="U117" s="84">
        <f t="shared" si="7"/>
        <v>19.251883745963401</v>
      </c>
      <c r="V117" s="85">
        <v>65</v>
      </c>
      <c r="W117" s="79" t="s">
        <v>156</v>
      </c>
      <c r="X117" s="86">
        <v>258873</v>
      </c>
      <c r="Y117" s="135">
        <v>2011</v>
      </c>
      <c r="Z117" s="86"/>
      <c r="AA117" s="86">
        <v>7955985</v>
      </c>
      <c r="AB117" s="86">
        <v>7955985</v>
      </c>
      <c r="AC117" s="87">
        <f>X117/AB117*100</f>
        <v>3.2538145810983807</v>
      </c>
      <c r="AD117" s="88">
        <f>X117/AA117*100</f>
        <v>3.2538145810983807</v>
      </c>
      <c r="AE117" s="89">
        <f>X117/D117</f>
        <v>2.4798430667506588E-2</v>
      </c>
      <c r="AF117" s="89"/>
      <c r="AG117" s="89" t="s">
        <v>151</v>
      </c>
      <c r="AH117" s="90"/>
      <c r="AI117" s="91"/>
      <c r="AJ117" s="79" t="s">
        <v>161</v>
      </c>
      <c r="AK117" s="92"/>
      <c r="AL117" s="63"/>
      <c r="AM117" s="63"/>
    </row>
    <row r="118" spans="1:39" s="12" customFormat="1" ht="12.75" hidden="1">
      <c r="A118" s="63"/>
      <c r="B118" s="78">
        <v>104</v>
      </c>
      <c r="C118" s="79" t="s">
        <v>19</v>
      </c>
      <c r="D118" s="80"/>
      <c r="E118" s="81"/>
      <c r="F118" s="82"/>
      <c r="G118" s="79" t="s">
        <v>230</v>
      </c>
      <c r="H118" s="79"/>
      <c r="I118" s="80">
        <f>K118/12</f>
        <v>530.66666666666663</v>
      </c>
      <c r="J118" s="80"/>
      <c r="K118" s="80">
        <v>6368</v>
      </c>
      <c r="L118" s="79" t="s">
        <v>180</v>
      </c>
      <c r="M118" s="83">
        <f>I118*M117/I117</f>
        <v>701.63376656574064</v>
      </c>
      <c r="N118" s="82">
        <f>I118*N117/I117</f>
        <v>0.27781138203876993</v>
      </c>
      <c r="O118" s="83">
        <f>I118*O117/I117</f>
        <v>701.94003527336861</v>
      </c>
      <c r="P118" s="82">
        <f>I118*P117/I117</f>
        <v>18.461984489381749</v>
      </c>
      <c r="Q118" s="83">
        <v>728</v>
      </c>
      <c r="R118" s="83">
        <v>2009</v>
      </c>
      <c r="S118" s="83">
        <v>1858</v>
      </c>
      <c r="T118" s="84">
        <f t="shared" si="6"/>
        <v>72.893772893772891</v>
      </c>
      <c r="U118" s="84">
        <f t="shared" si="7"/>
        <v>28.561176892716176</v>
      </c>
      <c r="V118" s="85"/>
      <c r="W118" s="79"/>
      <c r="X118" s="86"/>
      <c r="Y118" s="135"/>
      <c r="Z118" s="86"/>
      <c r="AA118" s="86"/>
      <c r="AB118" s="86"/>
      <c r="AC118" s="87">
        <v>28</v>
      </c>
      <c r="AD118" s="88">
        <v>28</v>
      </c>
      <c r="AE118" s="89"/>
      <c r="AF118" s="89"/>
      <c r="AG118" s="89"/>
      <c r="AH118" s="90"/>
      <c r="AI118" s="91"/>
      <c r="AJ118" s="79"/>
      <c r="AK118" s="92" t="s">
        <v>221</v>
      </c>
      <c r="AL118" s="63"/>
      <c r="AM118" s="63"/>
    </row>
    <row r="119" spans="1:39" s="12" customFormat="1" ht="38.25">
      <c r="A119" s="63">
        <v>1</v>
      </c>
      <c r="B119" s="78">
        <v>105</v>
      </c>
      <c r="C119" s="79" t="s">
        <v>398</v>
      </c>
      <c r="D119" s="80">
        <v>48782</v>
      </c>
      <c r="E119" s="81">
        <v>9.3034166436220436E-2</v>
      </c>
      <c r="F119" s="82">
        <v>0.15539999999999998</v>
      </c>
      <c r="G119" s="79" t="s">
        <v>399</v>
      </c>
      <c r="H119" s="79">
        <v>1973</v>
      </c>
      <c r="I119" s="80">
        <v>500</v>
      </c>
      <c r="J119" s="80"/>
      <c r="K119" s="80">
        <f>I119*12</f>
        <v>6000</v>
      </c>
      <c r="L119" s="79" t="s">
        <v>400</v>
      </c>
      <c r="M119" s="83">
        <v>153.84615384615384</v>
      </c>
      <c r="N119" s="81">
        <v>0.35074399231075637</v>
      </c>
      <c r="O119" s="83">
        <v>251.13008538422901</v>
      </c>
      <c r="P119" s="81">
        <v>6.605065259420817</v>
      </c>
      <c r="Q119" s="83"/>
      <c r="R119" s="83"/>
      <c r="S119" s="83"/>
      <c r="T119" s="84"/>
      <c r="U119" s="84"/>
      <c r="V119" s="85">
        <v>60</v>
      </c>
      <c r="W119" s="79" t="s">
        <v>188</v>
      </c>
      <c r="X119" s="86">
        <v>44739</v>
      </c>
      <c r="Y119" s="135" t="s">
        <v>345</v>
      </c>
      <c r="Z119" s="86"/>
      <c r="AA119" s="86">
        <v>48783</v>
      </c>
      <c r="AB119" s="86">
        <v>33847</v>
      </c>
      <c r="AC119" s="87">
        <f>X119/AB119*100</f>
        <v>132.1801045882944</v>
      </c>
      <c r="AD119" s="88">
        <f>X119/AA119*100</f>
        <v>91.710226923313456</v>
      </c>
      <c r="AE119" s="89">
        <f>X119/D119</f>
        <v>0.91712106924685333</v>
      </c>
      <c r="AF119" s="89"/>
      <c r="AG119" s="89">
        <v>1.8993419656123965E-2</v>
      </c>
      <c r="AH119" s="90"/>
      <c r="AI119" s="91"/>
      <c r="AJ119" s="79" t="s">
        <v>157</v>
      </c>
      <c r="AK119" s="92"/>
      <c r="AL119" s="63"/>
      <c r="AM119" s="63"/>
    </row>
    <row r="120" spans="1:39" s="12" customFormat="1" ht="12.75">
      <c r="A120" s="63">
        <v>1</v>
      </c>
      <c r="B120" s="78">
        <v>106</v>
      </c>
      <c r="C120" s="79" t="s">
        <v>21</v>
      </c>
      <c r="D120" s="80">
        <v>63638</v>
      </c>
      <c r="E120" s="81">
        <v>5.2947656385202123E-2</v>
      </c>
      <c r="F120" s="82">
        <v>0.62850000000000006</v>
      </c>
      <c r="G120" s="79" t="s">
        <v>22</v>
      </c>
      <c r="H120" s="79">
        <v>2005</v>
      </c>
      <c r="I120" s="80">
        <v>200</v>
      </c>
      <c r="J120" s="80"/>
      <c r="K120" s="80">
        <f>I120*12</f>
        <v>2400</v>
      </c>
      <c r="L120" s="79" t="s">
        <v>23</v>
      </c>
      <c r="M120" s="83">
        <v>25.784858873021172</v>
      </c>
      <c r="N120" s="81">
        <v>9.7904497018706085E-2</v>
      </c>
      <c r="O120" s="83">
        <v>43.252595155709344</v>
      </c>
      <c r="P120" s="81">
        <v>1.1376025027255059</v>
      </c>
      <c r="Q120" s="83" t="s">
        <v>151</v>
      </c>
      <c r="R120" s="83"/>
      <c r="S120" s="83" t="s">
        <v>151</v>
      </c>
      <c r="T120" s="84" t="str">
        <f t="shared" si="6"/>
        <v>no data</v>
      </c>
      <c r="U120" s="84" t="str">
        <f t="shared" si="7"/>
        <v>no data</v>
      </c>
      <c r="V120" s="85">
        <v>60</v>
      </c>
      <c r="W120" s="79" t="s">
        <v>165</v>
      </c>
      <c r="X120" s="86">
        <v>60000</v>
      </c>
      <c r="Y120" s="135">
        <v>2011</v>
      </c>
      <c r="Z120" s="86">
        <v>200</v>
      </c>
      <c r="AA120" s="86">
        <v>64061</v>
      </c>
      <c r="AB120" s="86">
        <v>40989</v>
      </c>
      <c r="AC120" s="87">
        <f>X120/AB120*100</f>
        <v>146.38073629510359</v>
      </c>
      <c r="AD120" s="88">
        <f>X120/AA120*100</f>
        <v>93.660729617083717</v>
      </c>
      <c r="AE120" s="89">
        <f>X120/AA120</f>
        <v>0.93660729617083716</v>
      </c>
      <c r="AF120" s="89"/>
      <c r="AG120" s="89">
        <v>6.0000000000000001E-3</v>
      </c>
      <c r="AH120" s="90">
        <v>162426000</v>
      </c>
      <c r="AI120" s="91">
        <v>2010</v>
      </c>
      <c r="AJ120" s="79" t="s">
        <v>166</v>
      </c>
      <c r="AK120" s="92"/>
      <c r="AL120" s="63"/>
      <c r="AM120" s="63"/>
    </row>
    <row r="121" spans="1:39" s="12" customFormat="1" ht="25.5">
      <c r="A121" s="63">
        <v>1</v>
      </c>
      <c r="B121" s="78">
        <v>107</v>
      </c>
      <c r="C121" s="79" t="s">
        <v>24</v>
      </c>
      <c r="D121" s="80">
        <v>2321450.0000000005</v>
      </c>
      <c r="E121" s="81">
        <v>0.24980560691426029</v>
      </c>
      <c r="F121" s="82" t="s">
        <v>151</v>
      </c>
      <c r="G121" s="79" t="s">
        <v>396</v>
      </c>
      <c r="H121" s="79" t="s">
        <v>151</v>
      </c>
      <c r="I121" s="80">
        <v>7707.58</v>
      </c>
      <c r="J121" s="80"/>
      <c r="K121" s="80">
        <f>I121*12</f>
        <v>92490.959999999992</v>
      </c>
      <c r="L121" s="79" t="s">
        <v>25</v>
      </c>
      <c r="M121" s="83">
        <v>1145.0545891588263</v>
      </c>
      <c r="N121" s="81">
        <v>0.26717943941950356</v>
      </c>
      <c r="O121" s="83">
        <v>839.69713476413551</v>
      </c>
      <c r="P121" s="81">
        <v>22.085184914344385</v>
      </c>
      <c r="Q121" s="83" t="s">
        <v>151</v>
      </c>
      <c r="R121" s="83"/>
      <c r="S121" s="83">
        <v>32140</v>
      </c>
      <c r="T121" s="84" t="str">
        <f t="shared" si="6"/>
        <v>no data</v>
      </c>
      <c r="U121" s="84">
        <f t="shared" si="7"/>
        <v>23.981269446172991</v>
      </c>
      <c r="V121" s="85">
        <v>65</v>
      </c>
      <c r="W121" s="79" t="s">
        <v>165</v>
      </c>
      <c r="X121" s="86">
        <v>818915</v>
      </c>
      <c r="Y121" s="135" t="s">
        <v>397</v>
      </c>
      <c r="Z121" s="86"/>
      <c r="AA121" s="86">
        <v>1710401</v>
      </c>
      <c r="AB121" s="86">
        <v>1710401</v>
      </c>
      <c r="AC121" s="87">
        <f>X121/AB121*100</f>
        <v>47.878538424615044</v>
      </c>
      <c r="AD121" s="88">
        <f>X121/AA121*100</f>
        <v>47.878538424615044</v>
      </c>
      <c r="AE121" s="89">
        <f>X121/2336900</f>
        <v>0.35042791732637252</v>
      </c>
      <c r="AF121" s="89"/>
      <c r="AG121" s="89">
        <v>5.1999999999999998E-3</v>
      </c>
      <c r="AH121" s="90"/>
      <c r="AI121" s="91"/>
      <c r="AJ121" s="79" t="s">
        <v>161</v>
      </c>
      <c r="AK121" s="92"/>
      <c r="AL121" s="63"/>
      <c r="AM121" s="63"/>
    </row>
    <row r="122" spans="1:39" s="129" customFormat="1" ht="12.75">
      <c r="A122" s="117">
        <v>1</v>
      </c>
      <c r="B122" s="78">
        <v>108</v>
      </c>
      <c r="C122" s="118" t="s">
        <v>238</v>
      </c>
      <c r="D122" s="119"/>
      <c r="E122" s="120"/>
      <c r="F122" s="121"/>
      <c r="G122" s="118" t="s">
        <v>229</v>
      </c>
      <c r="H122" s="118"/>
      <c r="I122" s="119">
        <f>K122/12</f>
        <v>1511.6666666666667</v>
      </c>
      <c r="J122" s="119"/>
      <c r="K122" s="119">
        <v>18140</v>
      </c>
      <c r="L122" s="118" t="s">
        <v>239</v>
      </c>
      <c r="M122" s="122">
        <v>1449.4759644838564</v>
      </c>
      <c r="N122" s="120">
        <v>0.25782322495681909</v>
      </c>
      <c r="O122" s="122">
        <v>1000.8033705752837</v>
      </c>
      <c r="P122" s="120"/>
      <c r="Q122" s="122" t="s">
        <v>151</v>
      </c>
      <c r="R122" s="122">
        <v>2008</v>
      </c>
      <c r="S122" s="122">
        <v>6879</v>
      </c>
      <c r="T122" s="123" t="str">
        <f t="shared" si="6"/>
        <v>no data</v>
      </c>
      <c r="U122" s="123">
        <f t="shared" si="7"/>
        <v>21.97509327906188</v>
      </c>
      <c r="V122" s="124"/>
      <c r="W122" s="118"/>
      <c r="X122" s="110"/>
      <c r="Y122" s="136"/>
      <c r="Z122" s="110"/>
      <c r="AA122" s="110"/>
      <c r="AB122" s="110"/>
      <c r="AC122" s="111">
        <v>12</v>
      </c>
      <c r="AD122" s="125">
        <v>12</v>
      </c>
      <c r="AE122" s="112"/>
      <c r="AF122" s="112"/>
      <c r="AG122" s="112"/>
      <c r="AH122" s="126"/>
      <c r="AI122" s="127"/>
      <c r="AJ122" s="118"/>
      <c r="AK122" s="128" t="s">
        <v>221</v>
      </c>
      <c r="AL122" s="117"/>
      <c r="AM122" s="117"/>
    </row>
    <row r="123" spans="1:39" s="129" customFormat="1" ht="12.75" hidden="1">
      <c r="A123" s="117"/>
      <c r="B123" s="78">
        <v>109</v>
      </c>
      <c r="C123" s="118" t="s">
        <v>238</v>
      </c>
      <c r="D123" s="119"/>
      <c r="E123" s="120"/>
      <c r="F123" s="121"/>
      <c r="G123" s="118" t="s">
        <v>230</v>
      </c>
      <c r="H123" s="118"/>
      <c r="I123" s="119">
        <f>K123/12</f>
        <v>1105</v>
      </c>
      <c r="J123" s="119"/>
      <c r="K123" s="119">
        <v>13260</v>
      </c>
      <c r="L123" s="118" t="s">
        <v>239</v>
      </c>
      <c r="M123" s="122">
        <v>1059.5397623514848</v>
      </c>
      <c r="N123" s="121">
        <v>0.18846394503458766</v>
      </c>
      <c r="O123" s="122">
        <v>731.56850572371889</v>
      </c>
      <c r="P123" s="121"/>
      <c r="Q123" s="122" t="s">
        <v>151</v>
      </c>
      <c r="R123" s="122">
        <v>2008</v>
      </c>
      <c r="S123" s="122">
        <v>6879</v>
      </c>
      <c r="T123" s="123" t="str">
        <f t="shared" si="6"/>
        <v>no data</v>
      </c>
      <c r="U123" s="123">
        <f t="shared" si="7"/>
        <v>16.0633813054223</v>
      </c>
      <c r="V123" s="124"/>
      <c r="W123" s="118"/>
      <c r="X123" s="110"/>
      <c r="Y123" s="136"/>
      <c r="Z123" s="110"/>
      <c r="AA123" s="110"/>
      <c r="AB123" s="110"/>
      <c r="AC123" s="110"/>
      <c r="AD123" s="125" t="s">
        <v>151</v>
      </c>
      <c r="AE123" s="112"/>
      <c r="AF123" s="112"/>
      <c r="AG123" s="112"/>
      <c r="AH123" s="126"/>
      <c r="AI123" s="127"/>
      <c r="AJ123" s="118"/>
      <c r="AK123" s="128" t="s">
        <v>221</v>
      </c>
      <c r="AL123" s="117"/>
      <c r="AM123" s="117"/>
    </row>
    <row r="124" spans="1:39" s="12" customFormat="1" ht="25.5">
      <c r="A124" s="63">
        <v>1</v>
      </c>
      <c r="B124" s="78">
        <v>110</v>
      </c>
      <c r="C124" s="79" t="s">
        <v>26</v>
      </c>
      <c r="D124" s="80">
        <v>354795.99999999994</v>
      </c>
      <c r="E124" s="81">
        <v>5.0148943192395018E-2</v>
      </c>
      <c r="F124" s="82">
        <v>0.21489999999999998</v>
      </c>
      <c r="G124" s="79" t="s">
        <v>394</v>
      </c>
      <c r="H124" s="79" t="s">
        <v>151</v>
      </c>
      <c r="I124" s="80">
        <v>40</v>
      </c>
      <c r="J124" s="80"/>
      <c r="K124" s="80">
        <f t="shared" ref="K124:K132" si="8">I124*12</f>
        <v>480</v>
      </c>
      <c r="L124" s="79" t="s">
        <v>27</v>
      </c>
      <c r="M124" s="83">
        <v>8.4067169668565196</v>
      </c>
      <c r="N124" s="81">
        <v>0.12529718927080169</v>
      </c>
      <c r="O124" s="83">
        <v>21.574973031283712</v>
      </c>
      <c r="P124" s="81">
        <v>0.56745134548033871</v>
      </c>
      <c r="Q124" s="83">
        <v>60</v>
      </c>
      <c r="R124" s="83">
        <v>2009</v>
      </c>
      <c r="S124" s="83">
        <v>306</v>
      </c>
      <c r="T124" s="84">
        <f t="shared" si="6"/>
        <v>66.666666666666657</v>
      </c>
      <c r="U124" s="84">
        <f t="shared" si="7"/>
        <v>13.071895424836603</v>
      </c>
      <c r="V124" s="85" t="s">
        <v>395</v>
      </c>
      <c r="W124" s="79" t="s">
        <v>165</v>
      </c>
      <c r="X124" s="86" t="s">
        <v>151</v>
      </c>
      <c r="Y124" s="135"/>
      <c r="Z124" s="86"/>
      <c r="AA124" s="86"/>
      <c r="AB124" s="86"/>
      <c r="AC124" s="86"/>
      <c r="AD124" s="88" t="s">
        <v>151</v>
      </c>
      <c r="AE124" s="89" t="s">
        <v>151</v>
      </c>
      <c r="AF124" s="89"/>
      <c r="AG124" s="89" t="s">
        <v>151</v>
      </c>
      <c r="AH124" s="90"/>
      <c r="AI124" s="91"/>
      <c r="AJ124" s="79" t="s">
        <v>172</v>
      </c>
      <c r="AK124" s="92"/>
      <c r="AL124" s="63"/>
      <c r="AM124" s="63"/>
    </row>
    <row r="125" spans="1:39" s="12" customFormat="1" ht="38.25">
      <c r="A125" s="63">
        <v>1</v>
      </c>
      <c r="B125" s="78">
        <v>111</v>
      </c>
      <c r="C125" s="79" t="s">
        <v>28</v>
      </c>
      <c r="D125" s="80">
        <v>9798278</v>
      </c>
      <c r="E125" s="81">
        <v>0.11546218054272928</v>
      </c>
      <c r="F125" s="82">
        <v>0.02</v>
      </c>
      <c r="G125" s="79" t="s">
        <v>273</v>
      </c>
      <c r="H125" s="79">
        <v>1993</v>
      </c>
      <c r="I125" s="80">
        <v>600</v>
      </c>
      <c r="J125" s="80"/>
      <c r="K125" s="80">
        <f t="shared" si="8"/>
        <v>7200</v>
      </c>
      <c r="L125" s="79" t="s">
        <v>29</v>
      </c>
      <c r="M125" s="83">
        <v>19.389238972370336</v>
      </c>
      <c r="N125" s="81">
        <v>4.0539336686589607E-2</v>
      </c>
      <c r="O125" s="83">
        <v>33.713547227060737</v>
      </c>
      <c r="P125" s="81">
        <v>0.88671247501310424</v>
      </c>
      <c r="Q125" s="83">
        <v>5278</v>
      </c>
      <c r="R125" s="83">
        <v>2009</v>
      </c>
      <c r="S125" s="83">
        <v>8694</v>
      </c>
      <c r="T125" s="84">
        <f t="shared" si="6"/>
        <v>11.367942402425161</v>
      </c>
      <c r="U125" s="84">
        <f t="shared" si="7"/>
        <v>6.9013112491373363</v>
      </c>
      <c r="V125" s="85">
        <v>60</v>
      </c>
      <c r="W125" s="79" t="s">
        <v>165</v>
      </c>
      <c r="X125" s="86">
        <v>8008394</v>
      </c>
      <c r="Y125" s="135" t="s">
        <v>393</v>
      </c>
      <c r="Z125" s="86"/>
      <c r="AA125" s="86">
        <v>9798278</v>
      </c>
      <c r="AB125" s="86">
        <v>6668946</v>
      </c>
      <c r="AC125" s="86">
        <f>5928820/AB125*100</f>
        <v>88.90190443887235</v>
      </c>
      <c r="AD125" s="88">
        <f>X125/AA125*100</f>
        <v>81.732667719776884</v>
      </c>
      <c r="AE125" s="89">
        <f>X125/D125</f>
        <v>0.81732667719776886</v>
      </c>
      <c r="AF125" s="89"/>
      <c r="AG125" s="89">
        <v>3.7000000000000002E-3</v>
      </c>
      <c r="AH125" s="90"/>
      <c r="AI125" s="91"/>
      <c r="AJ125" s="79" t="s">
        <v>166</v>
      </c>
      <c r="AK125" s="92" t="s">
        <v>274</v>
      </c>
      <c r="AL125" s="63"/>
      <c r="AM125" s="63"/>
    </row>
    <row r="126" spans="1:39" s="12" customFormat="1" ht="12.75">
      <c r="A126" s="63">
        <v>1</v>
      </c>
      <c r="B126" s="78">
        <v>112</v>
      </c>
      <c r="C126" s="79" t="s">
        <v>30</v>
      </c>
      <c r="D126" s="80">
        <v>56684</v>
      </c>
      <c r="E126" s="81">
        <v>4.8399753065969463E-2</v>
      </c>
      <c r="F126" s="82">
        <v>0.37189999999999995</v>
      </c>
      <c r="G126" s="79" t="s">
        <v>392</v>
      </c>
      <c r="H126" s="79">
        <v>2008</v>
      </c>
      <c r="I126" s="80">
        <v>20</v>
      </c>
      <c r="J126" s="80"/>
      <c r="K126" s="80">
        <f t="shared" si="8"/>
        <v>240</v>
      </c>
      <c r="L126" s="79" t="s">
        <v>118</v>
      </c>
      <c r="M126" s="83">
        <v>20</v>
      </c>
      <c r="N126" s="81">
        <v>9.4877560508164219E-2</v>
      </c>
      <c r="O126" s="83">
        <v>57.636887608069166</v>
      </c>
      <c r="P126" s="81">
        <v>1.515929098732778</v>
      </c>
      <c r="Q126" s="83" t="s">
        <v>151</v>
      </c>
      <c r="R126" s="83"/>
      <c r="S126" s="83" t="s">
        <v>151</v>
      </c>
      <c r="T126" s="84" t="str">
        <f t="shared" si="6"/>
        <v>no data</v>
      </c>
      <c r="U126" s="84" t="str">
        <f t="shared" si="7"/>
        <v>no data</v>
      </c>
      <c r="V126" s="85">
        <v>60</v>
      </c>
      <c r="W126" s="79" t="s">
        <v>188</v>
      </c>
      <c r="X126" s="86">
        <v>63614</v>
      </c>
      <c r="Y126" s="135"/>
      <c r="Z126" s="86"/>
      <c r="AA126" s="86">
        <v>58246</v>
      </c>
      <c r="AB126" s="86">
        <v>35806</v>
      </c>
      <c r="AC126" s="86">
        <v>100</v>
      </c>
      <c r="AD126" s="88">
        <v>100</v>
      </c>
      <c r="AE126" s="89">
        <v>1</v>
      </c>
      <c r="AF126" s="89"/>
      <c r="AG126" s="89">
        <v>2.922661870503597E-2</v>
      </c>
      <c r="AH126" s="90"/>
      <c r="AI126" s="91"/>
      <c r="AJ126" s="79" t="s">
        <v>166</v>
      </c>
      <c r="AK126" s="92"/>
      <c r="AL126" s="63"/>
      <c r="AM126" s="63"/>
    </row>
    <row r="127" spans="1:39" s="12" customFormat="1" ht="63.75">
      <c r="A127" s="63">
        <v>1</v>
      </c>
      <c r="B127" s="78">
        <v>113</v>
      </c>
      <c r="C127" s="79" t="s">
        <v>31</v>
      </c>
      <c r="D127" s="80">
        <v>142148.99999999997</v>
      </c>
      <c r="E127" s="81">
        <v>0.10578727046084578</v>
      </c>
      <c r="F127" s="82">
        <v>4.1599999999999998E-2</v>
      </c>
      <c r="G127" s="79" t="s">
        <v>390</v>
      </c>
      <c r="H127" s="79" t="s">
        <v>391</v>
      </c>
      <c r="I127" s="80">
        <v>3000</v>
      </c>
      <c r="J127" s="80"/>
      <c r="K127" s="80">
        <f t="shared" si="8"/>
        <v>36000</v>
      </c>
      <c r="L127" s="79" t="s">
        <v>32</v>
      </c>
      <c r="M127" s="83">
        <v>472.44094488188978</v>
      </c>
      <c r="N127" s="81">
        <v>0.35677962150914927</v>
      </c>
      <c r="O127" s="83">
        <v>594.05940594059405</v>
      </c>
      <c r="P127" s="81">
        <v>15.624576156245761</v>
      </c>
      <c r="Q127" s="83">
        <v>1560</v>
      </c>
      <c r="R127" s="83">
        <v>2009</v>
      </c>
      <c r="S127" s="83" t="s">
        <v>151</v>
      </c>
      <c r="T127" s="84">
        <f t="shared" ref="T127:T139" si="9">IF(Q127="no data","no data",I127/Q127*100)</f>
        <v>192.30769230769232</v>
      </c>
      <c r="U127" s="84" t="str">
        <f t="shared" ref="U127:U139" si="10">IF(S127="no data","no data",I127/S127*100)</f>
        <v>no data</v>
      </c>
      <c r="V127" s="85">
        <v>65</v>
      </c>
      <c r="W127" s="79" t="s">
        <v>156</v>
      </c>
      <c r="X127" s="86">
        <v>65976</v>
      </c>
      <c r="Y127" s="135" t="s">
        <v>566</v>
      </c>
      <c r="Z127" s="86"/>
      <c r="AA127" s="86">
        <v>84645</v>
      </c>
      <c r="AB127" s="86">
        <v>84645</v>
      </c>
      <c r="AC127" s="86">
        <f>X127/AB127*100</f>
        <v>77.94435583909268</v>
      </c>
      <c r="AD127" s="88">
        <f>X127/AA127*100</f>
        <v>77.94435583909268</v>
      </c>
      <c r="AE127" s="89">
        <f>AA127/126432</f>
        <v>0.66949031890660593</v>
      </c>
      <c r="AF127" s="89"/>
      <c r="AG127" s="89" t="s">
        <v>151</v>
      </c>
      <c r="AH127" s="90"/>
      <c r="AI127" s="91"/>
      <c r="AJ127" s="79" t="s">
        <v>153</v>
      </c>
      <c r="AK127" s="92"/>
      <c r="AL127" s="63"/>
      <c r="AM127" s="63"/>
    </row>
    <row r="128" spans="1:39" s="12" customFormat="1" ht="12.75">
      <c r="A128" s="63">
        <v>1</v>
      </c>
      <c r="B128" s="78">
        <v>114</v>
      </c>
      <c r="C128" s="79" t="s">
        <v>387</v>
      </c>
      <c r="D128" s="80">
        <v>6812172.0000000009</v>
      </c>
      <c r="E128" s="81">
        <v>8.9982943960203912E-2</v>
      </c>
      <c r="F128" s="82">
        <v>2.5699999999999997E-2</v>
      </c>
      <c r="G128" s="79" t="s">
        <v>388</v>
      </c>
      <c r="H128" s="79">
        <v>1976</v>
      </c>
      <c r="I128" s="80">
        <v>94.8</v>
      </c>
      <c r="J128" s="80"/>
      <c r="K128" s="80">
        <f t="shared" si="8"/>
        <v>1137.5999999999999</v>
      </c>
      <c r="L128" s="79" t="s">
        <v>389</v>
      </c>
      <c r="M128" s="83">
        <v>87.453874538745382</v>
      </c>
      <c r="N128" s="81">
        <v>8.6046236691140976E-2</v>
      </c>
      <c r="O128" s="83">
        <v>87.453874538745382</v>
      </c>
      <c r="P128" s="81">
        <v>2.3001567001971388</v>
      </c>
      <c r="Q128" s="83">
        <v>693</v>
      </c>
      <c r="R128" s="83">
        <v>2009</v>
      </c>
      <c r="S128" s="83">
        <v>1938</v>
      </c>
      <c r="T128" s="84">
        <f t="shared" si="9"/>
        <v>13.679653679653681</v>
      </c>
      <c r="U128" s="84">
        <f t="shared" si="10"/>
        <v>4.8916408668730647</v>
      </c>
      <c r="V128" s="85">
        <v>65</v>
      </c>
      <c r="W128" s="79" t="s">
        <v>156</v>
      </c>
      <c r="X128" s="86" t="s">
        <v>151</v>
      </c>
      <c r="Y128" s="135"/>
      <c r="Z128" s="86"/>
      <c r="AA128" s="86"/>
      <c r="AB128" s="86"/>
      <c r="AC128" s="86"/>
      <c r="AD128" s="88" t="s">
        <v>151</v>
      </c>
      <c r="AE128" s="89" t="s">
        <v>151</v>
      </c>
      <c r="AF128" s="89"/>
      <c r="AG128" s="89" t="s">
        <v>151</v>
      </c>
      <c r="AH128" s="90"/>
      <c r="AI128" s="91"/>
      <c r="AJ128" s="79" t="s">
        <v>157</v>
      </c>
      <c r="AK128" s="92"/>
      <c r="AL128" s="63"/>
      <c r="AM128" s="63"/>
    </row>
    <row r="129" spans="1:39" s="12" customFormat="1" ht="25.5">
      <c r="A129" s="63">
        <v>1</v>
      </c>
      <c r="B129" s="78">
        <v>115</v>
      </c>
      <c r="C129" s="79" t="s">
        <v>33</v>
      </c>
      <c r="D129" s="80">
        <v>317140.00000000006</v>
      </c>
      <c r="E129" s="81">
        <v>6.1265310049141285E-2</v>
      </c>
      <c r="F129" s="82">
        <v>0.2482</v>
      </c>
      <c r="G129" s="79" t="s">
        <v>384</v>
      </c>
      <c r="H129" s="79" t="s">
        <v>151</v>
      </c>
      <c r="I129" s="80">
        <v>59.29</v>
      </c>
      <c r="J129" s="80"/>
      <c r="K129" s="80">
        <f t="shared" si="8"/>
        <v>711.48</v>
      </c>
      <c r="L129" s="79" t="s">
        <v>34</v>
      </c>
      <c r="M129" s="83">
        <v>20.803508771929824</v>
      </c>
      <c r="N129" s="81">
        <v>6.7887512144238923E-2</v>
      </c>
      <c r="O129" s="83">
        <v>38.5</v>
      </c>
      <c r="P129" s="81">
        <v>1.0126027397260273</v>
      </c>
      <c r="Q129" s="83" t="s">
        <v>151</v>
      </c>
      <c r="R129" s="83">
        <v>2009</v>
      </c>
      <c r="S129" s="83">
        <v>631</v>
      </c>
      <c r="T129" s="84" t="str">
        <f t="shared" si="9"/>
        <v>no data</v>
      </c>
      <c r="U129" s="84">
        <f t="shared" si="10"/>
        <v>9.3961965134706809</v>
      </c>
      <c r="V129" s="85" t="s">
        <v>385</v>
      </c>
      <c r="W129" s="79" t="s">
        <v>165</v>
      </c>
      <c r="X129" s="86" t="s">
        <v>151</v>
      </c>
      <c r="Y129" s="135"/>
      <c r="Z129" s="86"/>
      <c r="AA129" s="86"/>
      <c r="AB129" s="86"/>
      <c r="AC129" s="86"/>
      <c r="AD129" s="88" t="s">
        <v>151</v>
      </c>
      <c r="AE129" s="89" t="s">
        <v>151</v>
      </c>
      <c r="AF129" s="89"/>
      <c r="AG129" s="89" t="s">
        <v>151</v>
      </c>
      <c r="AH129" s="90"/>
      <c r="AI129" s="91"/>
      <c r="AJ129" s="79" t="s">
        <v>166</v>
      </c>
      <c r="AK129" s="92"/>
      <c r="AL129" s="63"/>
      <c r="AM129" s="63"/>
    </row>
    <row r="130" spans="1:39" s="12" customFormat="1" ht="38.25">
      <c r="A130" s="63">
        <v>1</v>
      </c>
      <c r="B130" s="78">
        <v>116</v>
      </c>
      <c r="C130" s="79" t="s">
        <v>380</v>
      </c>
      <c r="D130" s="80">
        <v>1378399</v>
      </c>
      <c r="E130" s="81">
        <v>3.8476040435121296E-2</v>
      </c>
      <c r="F130" s="82">
        <v>0.51529999999999998</v>
      </c>
      <c r="G130" s="79" t="s">
        <v>381</v>
      </c>
      <c r="H130" s="79">
        <v>2012</v>
      </c>
      <c r="I130" s="80">
        <v>23000</v>
      </c>
      <c r="J130" s="80">
        <v>0.99950298210735589</v>
      </c>
      <c r="K130" s="80">
        <f t="shared" si="8"/>
        <v>276000</v>
      </c>
      <c r="L130" s="79" t="s">
        <v>382</v>
      </c>
      <c r="M130" s="83">
        <v>9.1669988043045034</v>
      </c>
      <c r="N130" s="81">
        <v>0.26331630630876102</v>
      </c>
      <c r="O130" s="83">
        <v>27.402384960618008</v>
      </c>
      <c r="P130" s="81" t="s">
        <v>151</v>
      </c>
      <c r="Q130" s="83"/>
      <c r="R130" s="83"/>
      <c r="S130" s="83"/>
      <c r="T130" s="84"/>
      <c r="U130" s="84"/>
      <c r="V130" s="85" t="s">
        <v>383</v>
      </c>
      <c r="W130" s="79" t="s">
        <v>188</v>
      </c>
      <c r="X130" s="86">
        <v>28000</v>
      </c>
      <c r="Y130" s="135">
        <v>2012</v>
      </c>
      <c r="Z130" s="86"/>
      <c r="AA130" s="86">
        <v>888751</v>
      </c>
      <c r="AB130" s="86">
        <v>888751</v>
      </c>
      <c r="AC130" s="86">
        <f>X130/AB130*100</f>
        <v>3.1504887195626221</v>
      </c>
      <c r="AD130" s="88">
        <f>X130/AA130*100</f>
        <v>3.1504887195626221</v>
      </c>
      <c r="AE130" s="89">
        <f>X130/D130</f>
        <v>2.0313421585477064E-2</v>
      </c>
      <c r="AF130" s="89">
        <v>1.4117051532784078E-2</v>
      </c>
      <c r="AG130" s="89" t="s">
        <v>151</v>
      </c>
      <c r="AH130" s="90"/>
      <c r="AI130" s="91"/>
      <c r="AJ130" s="79" t="s">
        <v>172</v>
      </c>
      <c r="AK130" s="92"/>
      <c r="AL130" s="63"/>
      <c r="AM130" s="63"/>
    </row>
    <row r="131" spans="1:39" s="12" customFormat="1" ht="25.5">
      <c r="A131" s="63">
        <v>1</v>
      </c>
      <c r="B131" s="78">
        <v>117</v>
      </c>
      <c r="C131" s="79" t="s">
        <v>35</v>
      </c>
      <c r="D131" s="80">
        <v>9494434.0000000019</v>
      </c>
      <c r="E131" s="81">
        <v>0.20897469406603042</v>
      </c>
      <c r="F131" s="82">
        <v>0.02</v>
      </c>
      <c r="G131" s="79" t="s">
        <v>379</v>
      </c>
      <c r="H131" s="79" t="s">
        <v>151</v>
      </c>
      <c r="I131" s="80">
        <v>695</v>
      </c>
      <c r="J131" s="80"/>
      <c r="K131" s="80">
        <f t="shared" si="8"/>
        <v>8340</v>
      </c>
      <c r="L131" s="79" t="s">
        <v>37</v>
      </c>
      <c r="M131" s="83">
        <v>86.518112784762863</v>
      </c>
      <c r="N131" s="81">
        <v>0.34882555163059425</v>
      </c>
      <c r="O131" s="83">
        <v>194.67787114845939</v>
      </c>
      <c r="P131" s="81">
        <v>5.1202946932197531</v>
      </c>
      <c r="Q131" s="83">
        <v>744</v>
      </c>
      <c r="R131" s="83">
        <v>2009</v>
      </c>
      <c r="S131" s="83">
        <v>1906</v>
      </c>
      <c r="T131" s="84">
        <f t="shared" si="9"/>
        <v>93.413978494623649</v>
      </c>
      <c r="U131" s="84">
        <f t="shared" si="10"/>
        <v>36.463798530954875</v>
      </c>
      <c r="V131" s="85" t="s">
        <v>357</v>
      </c>
      <c r="W131" s="79" t="s">
        <v>156</v>
      </c>
      <c r="X131" s="86">
        <v>213000</v>
      </c>
      <c r="Y131" s="135" t="s">
        <v>386</v>
      </c>
      <c r="Z131" s="86"/>
      <c r="AA131" s="86">
        <v>9634304</v>
      </c>
      <c r="AB131" s="86">
        <f>7431830</f>
        <v>7431830</v>
      </c>
      <c r="AC131" s="86">
        <f>X131/AB131*100</f>
        <v>2.8660504882377555</v>
      </c>
      <c r="AD131" s="88">
        <f>X131/AB131*100</f>
        <v>2.8660504882377555</v>
      </c>
      <c r="AE131" s="89">
        <f>X131/9496246</f>
        <v>2.2429915989960664E-2</v>
      </c>
      <c r="AF131" s="89"/>
      <c r="AG131" s="89"/>
      <c r="AH131" s="90"/>
      <c r="AI131" s="91"/>
      <c r="AJ131" s="79" t="s">
        <v>166</v>
      </c>
      <c r="AK131" s="92"/>
      <c r="AL131" s="63"/>
      <c r="AM131" s="63"/>
    </row>
    <row r="132" spans="1:39" s="12" customFormat="1" ht="25.5">
      <c r="A132" s="63">
        <v>1</v>
      </c>
      <c r="B132" s="78">
        <v>118</v>
      </c>
      <c r="C132" s="79" t="s">
        <v>38</v>
      </c>
      <c r="D132" s="80">
        <v>14039715</v>
      </c>
      <c r="E132" s="81">
        <v>0.22681551085124232</v>
      </c>
      <c r="F132" s="82" t="s">
        <v>151</v>
      </c>
      <c r="G132" s="79" t="s">
        <v>375</v>
      </c>
      <c r="H132" s="79" t="s">
        <v>376</v>
      </c>
      <c r="I132" s="80">
        <v>595.18299999999999</v>
      </c>
      <c r="J132" s="80"/>
      <c r="K132" s="80">
        <f t="shared" si="8"/>
        <v>7142.1959999999999</v>
      </c>
      <c r="L132" s="79" t="s">
        <v>39</v>
      </c>
      <c r="M132" s="83">
        <v>958.12587029837641</v>
      </c>
      <c r="N132" s="81">
        <v>0.29677731616454556</v>
      </c>
      <c r="O132" s="83">
        <v>892.32833583208389</v>
      </c>
      <c r="P132" s="81">
        <v>23.469457599967136</v>
      </c>
      <c r="Q132" s="83">
        <v>1005</v>
      </c>
      <c r="R132" s="83">
        <v>2009</v>
      </c>
      <c r="S132" s="83">
        <v>2084</v>
      </c>
      <c r="T132" s="84">
        <f t="shared" si="9"/>
        <v>59.222189054726371</v>
      </c>
      <c r="U132" s="84">
        <f t="shared" si="10"/>
        <v>28.55964491362764</v>
      </c>
      <c r="V132" s="85">
        <v>60</v>
      </c>
      <c r="W132" s="79" t="s">
        <v>156</v>
      </c>
      <c r="X132" s="86">
        <v>2287930</v>
      </c>
      <c r="Y132" s="135">
        <v>2012</v>
      </c>
      <c r="Z132" s="86"/>
      <c r="AA132" s="86">
        <v>11746490</v>
      </c>
      <c r="AB132" s="86"/>
      <c r="AC132" s="86"/>
      <c r="AD132" s="88">
        <f>X132/AA132*100</f>
        <v>19.477563084802355</v>
      </c>
      <c r="AE132" s="89" t="s">
        <v>151</v>
      </c>
      <c r="AF132" s="89"/>
      <c r="AG132" s="89">
        <v>4.7000000000000002E-3</v>
      </c>
      <c r="AH132" s="90"/>
      <c r="AI132" s="91"/>
      <c r="AJ132" s="79" t="s">
        <v>161</v>
      </c>
      <c r="AK132" s="92"/>
      <c r="AL132" s="63"/>
      <c r="AM132" s="63"/>
    </row>
    <row r="133" spans="1:39" s="12" customFormat="1" ht="25.5">
      <c r="A133" s="63">
        <v>1</v>
      </c>
      <c r="B133" s="78">
        <v>119</v>
      </c>
      <c r="C133" s="79" t="s">
        <v>40</v>
      </c>
      <c r="D133" s="80">
        <v>57782011</v>
      </c>
      <c r="E133" s="81">
        <v>0.18190975086292913</v>
      </c>
      <c r="F133" s="82" t="s">
        <v>151</v>
      </c>
      <c r="G133" s="79" t="s">
        <v>374</v>
      </c>
      <c r="H133" s="79" t="s">
        <v>377</v>
      </c>
      <c r="I133" s="80">
        <v>674</v>
      </c>
      <c r="J133" s="80"/>
      <c r="K133" s="80">
        <f t="shared" ref="K133:K139" si="11">I133*12</f>
        <v>8088</v>
      </c>
      <c r="L133" s="79" t="s">
        <v>41</v>
      </c>
      <c r="M133" s="83">
        <v>674</v>
      </c>
      <c r="N133" s="81">
        <v>0.16715341902109188</v>
      </c>
      <c r="O133" s="83">
        <v>674</v>
      </c>
      <c r="P133" s="81">
        <v>17.727123287671233</v>
      </c>
      <c r="Q133" s="83">
        <v>1257</v>
      </c>
      <c r="R133" s="83">
        <v>2009</v>
      </c>
      <c r="S133" s="83">
        <v>3263</v>
      </c>
      <c r="T133" s="84">
        <f t="shared" si="9"/>
        <v>53.619729514717584</v>
      </c>
      <c r="U133" s="84">
        <f t="shared" si="10"/>
        <v>20.655838185718665</v>
      </c>
      <c r="V133" s="85">
        <v>65</v>
      </c>
      <c r="W133" s="79" t="s">
        <v>156</v>
      </c>
      <c r="X133" s="86">
        <v>2058641</v>
      </c>
      <c r="Y133" s="135">
        <v>2011</v>
      </c>
      <c r="Z133" s="86"/>
      <c r="AA133" s="86">
        <v>41642629</v>
      </c>
      <c r="AB133" s="86">
        <v>41642629</v>
      </c>
      <c r="AC133" s="86">
        <f>X133/AA133*100</f>
        <v>4.9435903770628888</v>
      </c>
      <c r="AD133" s="88">
        <f>X133/AB133*100</f>
        <v>4.9435903770628888</v>
      </c>
      <c r="AE133" s="89">
        <f>X133/58797944</f>
        <v>3.5012125594051383E-2</v>
      </c>
      <c r="AF133" s="89"/>
      <c r="AG133" s="89" t="s">
        <v>151</v>
      </c>
      <c r="AH133" s="90">
        <v>833478000</v>
      </c>
      <c r="AI133" s="91"/>
      <c r="AJ133" s="79" t="s">
        <v>161</v>
      </c>
      <c r="AK133" s="92"/>
      <c r="AL133" s="63"/>
      <c r="AM133" s="63"/>
    </row>
    <row r="134" spans="1:39" s="12" customFormat="1" ht="25.5">
      <c r="A134" s="63">
        <v>1</v>
      </c>
      <c r="B134" s="78">
        <v>120</v>
      </c>
      <c r="C134" s="79" t="s">
        <v>42</v>
      </c>
      <c r="D134" s="80">
        <v>619974.99999999988</v>
      </c>
      <c r="E134" s="81">
        <v>0.18384762331780055</v>
      </c>
      <c r="F134" s="82">
        <v>0.02</v>
      </c>
      <c r="G134" s="79" t="s">
        <v>268</v>
      </c>
      <c r="H134" s="79" t="s">
        <v>378</v>
      </c>
      <c r="I134" s="80">
        <v>4767</v>
      </c>
      <c r="J134" s="80"/>
      <c r="K134" s="80">
        <f t="shared" si="11"/>
        <v>57204</v>
      </c>
      <c r="L134" s="79" t="s">
        <v>155</v>
      </c>
      <c r="M134" s="83">
        <v>240.75757575757575</v>
      </c>
      <c r="N134" s="81">
        <v>0.27801238292347863</v>
      </c>
      <c r="O134" s="83">
        <v>296.52898731027619</v>
      </c>
      <c r="P134" s="81">
        <v>7.7991185703524692</v>
      </c>
      <c r="Q134" s="83">
        <v>4441</v>
      </c>
      <c r="R134" s="83">
        <v>2009</v>
      </c>
      <c r="S134" s="83">
        <v>10224</v>
      </c>
      <c r="T134" s="84">
        <f t="shared" si="9"/>
        <v>107.34068903400136</v>
      </c>
      <c r="U134" s="84">
        <f t="shared" si="10"/>
        <v>46.625586854460096</v>
      </c>
      <c r="V134" s="85">
        <v>70</v>
      </c>
      <c r="W134" s="79" t="s">
        <v>156</v>
      </c>
      <c r="X134" s="86">
        <v>64000</v>
      </c>
      <c r="Y134" s="135" t="s">
        <v>269</v>
      </c>
      <c r="Z134" s="86"/>
      <c r="AA134" s="86">
        <v>330791</v>
      </c>
      <c r="AB134" s="86">
        <v>463567</v>
      </c>
      <c r="AC134" s="86">
        <f>X134/AB134*100</f>
        <v>13.805987052572769</v>
      </c>
      <c r="AD134" s="88">
        <f t="shared" ref="AD134:AD139" si="12">X134/AA134*100</f>
        <v>19.347563869633696</v>
      </c>
      <c r="AE134" s="89">
        <f>X134/D134</f>
        <v>0.10322996895036092</v>
      </c>
      <c r="AF134" s="89"/>
      <c r="AG134" s="89">
        <v>6.1999999999999998E-3</v>
      </c>
      <c r="AH134" s="90"/>
      <c r="AI134" s="91" t="s">
        <v>270</v>
      </c>
      <c r="AJ134" s="79" t="s">
        <v>157</v>
      </c>
      <c r="AK134" s="92" t="s">
        <v>272</v>
      </c>
      <c r="AL134" s="63" t="s">
        <v>271</v>
      </c>
      <c r="AM134" s="63"/>
    </row>
    <row r="135" spans="1:39" s="12" customFormat="1" ht="12.75">
      <c r="A135" s="63">
        <v>1</v>
      </c>
      <c r="B135" s="78">
        <v>121</v>
      </c>
      <c r="C135" s="79" t="s">
        <v>43</v>
      </c>
      <c r="D135" s="80">
        <v>1758614</v>
      </c>
      <c r="E135" s="81">
        <v>6.3272478640941307E-2</v>
      </c>
      <c r="F135" s="82">
        <v>0.46279999999999999</v>
      </c>
      <c r="G135" s="79" t="s">
        <v>36</v>
      </c>
      <c r="H135" s="79"/>
      <c r="I135" s="80">
        <v>59690</v>
      </c>
      <c r="J135" s="80"/>
      <c r="K135" s="80">
        <f t="shared" si="11"/>
        <v>716280</v>
      </c>
      <c r="L135" s="79" t="s">
        <v>91</v>
      </c>
      <c r="M135" s="83">
        <v>31.75</v>
      </c>
      <c r="N135" s="81" t="s">
        <v>151</v>
      </c>
      <c r="O135" s="83">
        <v>83.171004266537366</v>
      </c>
      <c r="P135" s="81">
        <v>2.1875113450924895</v>
      </c>
      <c r="Q135" s="83">
        <v>37680</v>
      </c>
      <c r="R135" s="83"/>
      <c r="S135" s="83" t="s">
        <v>151</v>
      </c>
      <c r="T135" s="84">
        <f t="shared" si="9"/>
        <v>158.41295116772824</v>
      </c>
      <c r="U135" s="84" t="str">
        <f t="shared" si="10"/>
        <v>no data</v>
      </c>
      <c r="V135" s="85" t="s">
        <v>178</v>
      </c>
      <c r="W135" s="79" t="s">
        <v>156</v>
      </c>
      <c r="X135" s="86">
        <v>5700</v>
      </c>
      <c r="Y135" s="135">
        <v>2010</v>
      </c>
      <c r="Z135" s="86"/>
      <c r="AA135" s="86">
        <v>2237218</v>
      </c>
      <c r="AB135" s="86">
        <v>1195006</v>
      </c>
      <c r="AC135" s="86"/>
      <c r="AD135" s="88">
        <f t="shared" si="12"/>
        <v>0.25478071426208798</v>
      </c>
      <c r="AE135" s="89" t="s">
        <v>151</v>
      </c>
      <c r="AF135" s="89"/>
      <c r="AG135" s="89" t="s">
        <v>151</v>
      </c>
      <c r="AH135" s="90">
        <v>3417400000</v>
      </c>
      <c r="AI135" s="91">
        <v>2010</v>
      </c>
      <c r="AJ135" s="79" t="s">
        <v>172</v>
      </c>
      <c r="AK135" s="92" t="s">
        <v>275</v>
      </c>
      <c r="AL135" s="63"/>
      <c r="AM135" s="63"/>
    </row>
    <row r="136" spans="1:39" s="12" customFormat="1" ht="25.5">
      <c r="A136" s="63">
        <v>1</v>
      </c>
      <c r="B136" s="78">
        <v>122</v>
      </c>
      <c r="C136" s="79" t="s">
        <v>558</v>
      </c>
      <c r="D136" s="80">
        <v>2734239</v>
      </c>
      <c r="E136" s="81">
        <v>8.6321767428264209E-2</v>
      </c>
      <c r="F136" s="82">
        <v>3.5299999999999998E-2</v>
      </c>
      <c r="G136" s="79" t="s">
        <v>371</v>
      </c>
      <c r="H136" s="79" t="s">
        <v>151</v>
      </c>
      <c r="I136" s="80">
        <v>1548</v>
      </c>
      <c r="J136" s="80"/>
      <c r="K136" s="80">
        <f t="shared" si="11"/>
        <v>18576</v>
      </c>
      <c r="L136" s="79" t="s">
        <v>372</v>
      </c>
      <c r="M136" s="83">
        <v>360</v>
      </c>
      <c r="N136" s="81">
        <v>0.40809299194971987</v>
      </c>
      <c r="O136" s="83">
        <v>427.38818332413035</v>
      </c>
      <c r="P136" s="81">
        <v>11.240894684689454</v>
      </c>
      <c r="Q136" s="83">
        <v>968</v>
      </c>
      <c r="R136" s="83">
        <v>2008</v>
      </c>
      <c r="S136" s="83">
        <v>1265310</v>
      </c>
      <c r="T136" s="84">
        <f t="shared" si="9"/>
        <v>159.91735537190081</v>
      </c>
      <c r="U136" s="84"/>
      <c r="V136" s="85" t="s">
        <v>373</v>
      </c>
      <c r="W136" s="79" t="s">
        <v>366</v>
      </c>
      <c r="X136" s="86">
        <v>675000</v>
      </c>
      <c r="Y136" s="135">
        <v>2012</v>
      </c>
      <c r="Z136" s="86"/>
      <c r="AA136" s="86">
        <v>3335840</v>
      </c>
      <c r="AB136" s="86">
        <v>1779878</v>
      </c>
      <c r="AC136" s="86">
        <f>X136/AB136*100</f>
        <v>37.92394759640829</v>
      </c>
      <c r="AD136" s="88">
        <f t="shared" si="12"/>
        <v>20.234783442850976</v>
      </c>
      <c r="AE136" s="89">
        <f>X136/D136</f>
        <v>0.24686942143682392</v>
      </c>
      <c r="AF136" s="89"/>
      <c r="AG136" s="89" t="s">
        <v>151</v>
      </c>
      <c r="AH136" s="90"/>
      <c r="AI136" s="91"/>
      <c r="AJ136" s="79" t="s">
        <v>157</v>
      </c>
      <c r="AK136" s="92"/>
      <c r="AL136" s="63"/>
      <c r="AM136" s="63"/>
    </row>
    <row r="137" spans="1:39" s="12" customFormat="1" ht="25.5">
      <c r="A137" s="63">
        <v>1</v>
      </c>
      <c r="B137" s="78">
        <v>123</v>
      </c>
      <c r="C137" s="79" t="s">
        <v>560</v>
      </c>
      <c r="D137" s="80">
        <v>7777295</v>
      </c>
      <c r="E137" s="81">
        <v>8.7357126615999203E-2</v>
      </c>
      <c r="F137" s="82">
        <v>0.2145</v>
      </c>
      <c r="G137" s="79" t="s">
        <v>368</v>
      </c>
      <c r="H137" s="79" t="s">
        <v>45</v>
      </c>
      <c r="I137" s="80">
        <v>180000</v>
      </c>
      <c r="J137" s="80"/>
      <c r="K137" s="80">
        <f t="shared" si="11"/>
        <v>2160000</v>
      </c>
      <c r="L137" s="79" t="s">
        <v>46</v>
      </c>
      <c r="M137" s="83">
        <v>8.6538461538461533</v>
      </c>
      <c r="N137" s="81">
        <v>7.6103758770645902E-2</v>
      </c>
      <c r="O137" s="83">
        <v>21.300623149730246</v>
      </c>
      <c r="P137" s="81">
        <v>0.56023556777372696</v>
      </c>
      <c r="Q137" s="83">
        <v>650000</v>
      </c>
      <c r="R137" s="83" t="s">
        <v>285</v>
      </c>
      <c r="S137" s="83">
        <v>1427180</v>
      </c>
      <c r="T137" s="84">
        <f t="shared" si="9"/>
        <v>27.692307692307693</v>
      </c>
      <c r="U137" s="84">
        <f t="shared" si="10"/>
        <v>12.612284364971483</v>
      </c>
      <c r="V137" s="85">
        <v>80</v>
      </c>
      <c r="W137" s="79" t="s">
        <v>165</v>
      </c>
      <c r="X137" s="86">
        <v>431871</v>
      </c>
      <c r="Y137" s="135" t="s">
        <v>277</v>
      </c>
      <c r="Z137" s="86"/>
      <c r="AA137" s="86">
        <v>1150000</v>
      </c>
      <c r="AB137" s="86">
        <v>5353611</v>
      </c>
      <c r="AC137" s="86">
        <f>X137/AB137*100</f>
        <v>8.0669103526573007</v>
      </c>
      <c r="AD137" s="88">
        <f t="shared" si="12"/>
        <v>37.554000000000002</v>
      </c>
      <c r="AE137" s="89">
        <v>5.55297182375106E-2</v>
      </c>
      <c r="AF137" s="89"/>
      <c r="AG137" s="89">
        <v>9.3767297537167402E-5</v>
      </c>
      <c r="AH137" s="90"/>
      <c r="AI137" s="91"/>
      <c r="AJ137" s="79" t="s">
        <v>166</v>
      </c>
      <c r="AK137" s="92"/>
      <c r="AL137" s="63"/>
      <c r="AM137" s="63"/>
    </row>
    <row r="138" spans="1:39" s="12" customFormat="1" ht="25.5">
      <c r="A138" s="63">
        <v>1</v>
      </c>
      <c r="B138" s="78">
        <v>124</v>
      </c>
      <c r="C138" s="79" t="s">
        <v>559</v>
      </c>
      <c r="D138" s="80">
        <v>7777295</v>
      </c>
      <c r="E138" s="81">
        <v>8.7357126615999203E-2</v>
      </c>
      <c r="F138" s="82">
        <v>0.2145</v>
      </c>
      <c r="G138" s="79" t="s">
        <v>369</v>
      </c>
      <c r="H138" s="79" t="s">
        <v>151</v>
      </c>
      <c r="I138" s="80">
        <v>120000</v>
      </c>
      <c r="J138" s="80"/>
      <c r="K138" s="80">
        <f t="shared" si="11"/>
        <v>1440000</v>
      </c>
      <c r="L138" s="79" t="s">
        <v>46</v>
      </c>
      <c r="M138" s="83">
        <v>5.7692307692307692</v>
      </c>
      <c r="N138" s="81">
        <v>5.0735839180430606E-2</v>
      </c>
      <c r="O138" s="83">
        <v>14.200415433153497</v>
      </c>
      <c r="P138" s="81">
        <v>0.37349037851581796</v>
      </c>
      <c r="Q138" s="83">
        <v>650000</v>
      </c>
      <c r="R138" s="83" t="s">
        <v>285</v>
      </c>
      <c r="S138" s="83">
        <v>1427180</v>
      </c>
      <c r="T138" s="84">
        <f t="shared" si="9"/>
        <v>18.461538461538463</v>
      </c>
      <c r="U138" s="84">
        <f t="shared" si="10"/>
        <v>8.408189576647656</v>
      </c>
      <c r="V138" s="85" t="s">
        <v>318</v>
      </c>
      <c r="W138" s="79" t="s">
        <v>156</v>
      </c>
      <c r="X138" s="86">
        <v>96700</v>
      </c>
      <c r="Y138" s="135" t="s">
        <v>277</v>
      </c>
      <c r="Z138" s="86"/>
      <c r="AA138" s="86">
        <v>6500299</v>
      </c>
      <c r="AB138" s="86">
        <v>5353611</v>
      </c>
      <c r="AC138" s="86">
        <f>X138/AB138*100</f>
        <v>1.8062574961087012</v>
      </c>
      <c r="AD138" s="88">
        <f t="shared" si="12"/>
        <v>1.4876238769939658</v>
      </c>
      <c r="AE138" s="89">
        <f>X138/D138</f>
        <v>1.2433628915966284E-2</v>
      </c>
      <c r="AF138" s="89"/>
      <c r="AG138" s="89">
        <v>4.1877312230394106E-4</v>
      </c>
      <c r="AH138" s="90"/>
      <c r="AI138" s="91"/>
      <c r="AJ138" s="79" t="s">
        <v>166</v>
      </c>
      <c r="AK138" s="92"/>
      <c r="AL138" s="63"/>
      <c r="AM138" s="63"/>
    </row>
    <row r="139" spans="1:39" s="12" customFormat="1" ht="25.5">
      <c r="A139" s="63">
        <v>1</v>
      </c>
      <c r="B139" s="78">
        <v>125</v>
      </c>
      <c r="C139" s="98" t="s">
        <v>47</v>
      </c>
      <c r="D139" s="99">
        <v>632235</v>
      </c>
      <c r="E139" s="100">
        <v>4.7689686314730424E-2</v>
      </c>
      <c r="F139" s="101">
        <v>0.64290000000000003</v>
      </c>
      <c r="G139" s="98" t="s">
        <v>48</v>
      </c>
      <c r="H139" s="98">
        <v>2007</v>
      </c>
      <c r="I139" s="99">
        <v>60000</v>
      </c>
      <c r="J139" s="99"/>
      <c r="K139" s="99">
        <f t="shared" si="11"/>
        <v>720000</v>
      </c>
      <c r="L139" s="98" t="s">
        <v>49</v>
      </c>
      <c r="M139" s="102">
        <v>11.551790527531768</v>
      </c>
      <c r="N139" s="100">
        <v>0.10477519091026416</v>
      </c>
      <c r="O139" s="102">
        <v>14.063642670967017</v>
      </c>
      <c r="P139" s="100">
        <v>0.45788203500869057</v>
      </c>
      <c r="Q139" s="102">
        <v>268000</v>
      </c>
      <c r="R139" s="102"/>
      <c r="S139" s="102" t="s">
        <v>151</v>
      </c>
      <c r="T139" s="84">
        <f t="shared" si="9"/>
        <v>22.388059701492537</v>
      </c>
      <c r="U139" s="84" t="str">
        <f t="shared" si="10"/>
        <v>no data</v>
      </c>
      <c r="V139" s="103">
        <v>60</v>
      </c>
      <c r="W139" s="98" t="s">
        <v>188</v>
      </c>
      <c r="X139" s="104">
        <v>4500</v>
      </c>
      <c r="Y139" s="137">
        <v>2008</v>
      </c>
      <c r="Z139" s="104"/>
      <c r="AA139" s="104">
        <v>587699.00000000012</v>
      </c>
      <c r="AB139" s="104">
        <v>377337</v>
      </c>
      <c r="AC139" s="104">
        <f>X139/AB139*100</f>
        <v>1.1925679167428584</v>
      </c>
      <c r="AD139" s="88">
        <f t="shared" si="12"/>
        <v>0.76569808694586838</v>
      </c>
      <c r="AE139" s="105">
        <f>X139/AA139</f>
        <v>7.6569808694586837E-3</v>
      </c>
      <c r="AF139" s="105"/>
      <c r="AG139" s="105" t="s">
        <v>151</v>
      </c>
      <c r="AH139" s="106"/>
      <c r="AI139" s="107"/>
      <c r="AJ139" s="98" t="s">
        <v>172</v>
      </c>
      <c r="AK139" s="108" t="s">
        <v>260</v>
      </c>
      <c r="AL139" s="63"/>
      <c r="AM139" s="63"/>
    </row>
    <row r="140" spans="1:39" s="12" customFormat="1" ht="12" thickBot="1">
      <c r="B140" s="16"/>
      <c r="C140" s="17"/>
      <c r="D140" s="18"/>
      <c r="E140" s="19"/>
      <c r="F140" s="20"/>
      <c r="G140" s="21"/>
      <c r="H140" s="21"/>
      <c r="I140" s="22"/>
      <c r="J140" s="22"/>
      <c r="K140" s="22"/>
      <c r="L140" s="23"/>
      <c r="M140" s="24"/>
      <c r="N140" s="169"/>
      <c r="O140" s="24"/>
      <c r="P140" s="169"/>
      <c r="Q140" s="24"/>
      <c r="R140" s="60"/>
      <c r="S140" s="24"/>
      <c r="T140" s="25"/>
      <c r="U140" s="25"/>
      <c r="V140" s="36"/>
      <c r="W140" s="23"/>
      <c r="X140" s="23"/>
      <c r="Y140" s="138"/>
      <c r="Z140" s="23"/>
      <c r="AA140" s="23"/>
      <c r="AB140" s="23"/>
      <c r="AC140" s="23"/>
      <c r="AD140" s="23"/>
      <c r="AE140" s="26"/>
      <c r="AF140" s="26"/>
      <c r="AG140" s="27"/>
      <c r="AH140" s="33"/>
      <c r="AI140" s="52"/>
      <c r="AJ140" s="21"/>
    </row>
    <row r="141" spans="1:39" s="12" customFormat="1" ht="12" thickBot="1">
      <c r="A141" s="12">
        <f>SUM(A10:A139)</f>
        <v>110</v>
      </c>
      <c r="B141" s="28"/>
      <c r="C141" s="17"/>
      <c r="D141" s="18"/>
      <c r="E141" s="19"/>
      <c r="F141" s="20"/>
      <c r="G141" s="21"/>
      <c r="H141" s="21"/>
      <c r="I141" s="22"/>
      <c r="J141" s="22"/>
      <c r="K141" s="22"/>
      <c r="L141" s="23"/>
      <c r="M141" s="24"/>
      <c r="N141" s="169"/>
      <c r="O141" s="24"/>
      <c r="P141" s="169"/>
      <c r="Q141" s="24"/>
      <c r="R141" s="60"/>
      <c r="S141" s="24"/>
      <c r="T141" s="25"/>
      <c r="U141" s="25"/>
      <c r="V141" s="36"/>
      <c r="W141" s="23"/>
      <c r="X141" s="23"/>
      <c r="Y141" s="138"/>
      <c r="Z141" s="23"/>
      <c r="AA141" s="23"/>
      <c r="AB141" s="23"/>
      <c r="AC141" s="23"/>
      <c r="AD141" s="23"/>
      <c r="AE141" s="26"/>
      <c r="AF141" s="26"/>
      <c r="AG141" s="27"/>
      <c r="AH141" s="33"/>
      <c r="AI141" s="52"/>
      <c r="AJ141" s="21"/>
    </row>
    <row r="142" spans="1:39" s="12" customFormat="1" ht="12" thickBot="1">
      <c r="B142" s="28"/>
      <c r="C142" s="17"/>
      <c r="D142" s="18"/>
      <c r="E142" s="19"/>
      <c r="F142" s="20"/>
      <c r="G142" s="21"/>
      <c r="H142" s="21"/>
      <c r="I142" s="22"/>
      <c r="J142" s="22"/>
      <c r="K142" s="22"/>
      <c r="L142" s="23"/>
      <c r="M142" s="24"/>
      <c r="N142" s="169"/>
      <c r="O142" s="24"/>
      <c r="P142" s="169"/>
      <c r="Q142" s="24"/>
      <c r="R142" s="60"/>
      <c r="S142" s="24"/>
      <c r="T142" s="25"/>
      <c r="U142" s="25"/>
      <c r="V142" s="36"/>
      <c r="W142" s="23"/>
      <c r="X142" s="23"/>
      <c r="Y142" s="138"/>
      <c r="Z142" s="23"/>
      <c r="AA142" s="23"/>
      <c r="AB142" s="23"/>
      <c r="AC142" s="23"/>
      <c r="AD142" s="23"/>
      <c r="AE142" s="26"/>
      <c r="AF142" s="26"/>
      <c r="AG142" s="27"/>
      <c r="AH142" s="33"/>
      <c r="AI142" s="52"/>
      <c r="AJ142" s="21"/>
    </row>
    <row r="143" spans="1:39" s="12" customFormat="1" ht="12" thickBot="1">
      <c r="B143" s="28"/>
      <c r="C143" s="17"/>
      <c r="D143" s="18"/>
      <c r="E143" s="19"/>
      <c r="F143" s="20"/>
      <c r="G143" s="21"/>
      <c r="H143" s="21"/>
      <c r="I143" s="22"/>
      <c r="J143" s="22"/>
      <c r="K143" s="22"/>
      <c r="L143" s="23"/>
      <c r="M143" s="24"/>
      <c r="N143" s="169"/>
      <c r="O143" s="24"/>
      <c r="P143" s="169"/>
      <c r="Q143" s="24"/>
      <c r="R143" s="60"/>
      <c r="S143" s="24"/>
      <c r="T143" s="25"/>
      <c r="U143" s="25"/>
      <c r="V143" s="36"/>
      <c r="W143" s="23"/>
      <c r="X143" s="23"/>
      <c r="Y143" s="138"/>
      <c r="Z143" s="23"/>
      <c r="AA143" s="23"/>
      <c r="AB143" s="23"/>
      <c r="AC143" s="23"/>
      <c r="AD143" s="23"/>
      <c r="AE143" s="26"/>
      <c r="AF143" s="26"/>
      <c r="AG143" s="27"/>
      <c r="AH143" s="33"/>
      <c r="AI143" s="52"/>
      <c r="AJ143" s="21"/>
    </row>
    <row r="144" spans="1:39" s="12" customFormat="1" ht="12" thickBot="1">
      <c r="B144" s="28"/>
      <c r="C144" s="17"/>
      <c r="D144" s="18"/>
      <c r="E144" s="29"/>
      <c r="F144" s="20"/>
      <c r="G144" s="21"/>
      <c r="H144" s="21"/>
      <c r="I144" s="22"/>
      <c r="J144" s="22"/>
      <c r="K144" s="22"/>
      <c r="L144" s="23"/>
      <c r="M144" s="24"/>
      <c r="N144" s="169"/>
      <c r="O144" s="24"/>
      <c r="P144" s="169"/>
      <c r="Q144" s="24"/>
      <c r="R144" s="60"/>
      <c r="S144" s="24"/>
      <c r="T144" s="25"/>
      <c r="U144" s="25"/>
      <c r="V144" s="36"/>
      <c r="W144" s="23"/>
      <c r="X144" s="23"/>
      <c r="Y144" s="138"/>
      <c r="Z144" s="23"/>
      <c r="AA144" s="23"/>
      <c r="AB144" s="23"/>
      <c r="AC144" s="23"/>
      <c r="AD144" s="23"/>
      <c r="AE144" s="26"/>
      <c r="AF144" s="26"/>
      <c r="AG144" s="27"/>
      <c r="AH144" s="33"/>
      <c r="AI144" s="52"/>
      <c r="AJ144" s="21"/>
    </row>
    <row r="145" spans="2:36" s="12" customFormat="1" ht="12" thickBot="1">
      <c r="B145" s="28"/>
      <c r="C145" s="17"/>
      <c r="D145" s="18"/>
      <c r="E145" s="29"/>
      <c r="F145" s="20"/>
      <c r="G145" s="21"/>
      <c r="H145" s="21"/>
      <c r="I145" s="22"/>
      <c r="J145" s="22"/>
      <c r="K145" s="22"/>
      <c r="L145" s="23"/>
      <c r="M145" s="24"/>
      <c r="N145" s="169"/>
      <c r="O145" s="24"/>
      <c r="P145" s="169"/>
      <c r="Q145" s="24"/>
      <c r="R145" s="60"/>
      <c r="S145" s="24"/>
      <c r="T145" s="25"/>
      <c r="U145" s="25"/>
      <c r="V145" s="36"/>
      <c r="W145" s="23"/>
      <c r="X145" s="23"/>
      <c r="Y145" s="138"/>
      <c r="Z145" s="23"/>
      <c r="AA145" s="23"/>
      <c r="AB145" s="23"/>
      <c r="AC145" s="23"/>
      <c r="AD145" s="23"/>
      <c r="AE145" s="26"/>
      <c r="AF145" s="26"/>
      <c r="AG145" s="27"/>
      <c r="AH145" s="33"/>
      <c r="AI145" s="52"/>
      <c r="AJ145" s="21"/>
    </row>
    <row r="146" spans="2:36" s="12" customFormat="1" ht="12" thickBot="1">
      <c r="B146" s="28"/>
      <c r="C146" s="17"/>
      <c r="D146" s="18"/>
      <c r="E146" s="29"/>
      <c r="F146" s="20"/>
      <c r="G146" s="21"/>
      <c r="H146" s="21"/>
      <c r="I146" s="22"/>
      <c r="J146" s="22"/>
      <c r="K146" s="22"/>
      <c r="L146" s="23"/>
      <c r="M146" s="24"/>
      <c r="N146" s="169"/>
      <c r="O146" s="24"/>
      <c r="P146" s="169"/>
      <c r="Q146" s="24"/>
      <c r="R146" s="60"/>
      <c r="S146" s="24"/>
      <c r="T146" s="25"/>
      <c r="U146" s="25"/>
      <c r="V146" s="36"/>
      <c r="W146" s="23"/>
      <c r="X146" s="23"/>
      <c r="Y146" s="138"/>
      <c r="Z146" s="23"/>
      <c r="AA146" s="23"/>
      <c r="AB146" s="23"/>
      <c r="AC146" s="23"/>
      <c r="AD146" s="23"/>
      <c r="AE146" s="26"/>
      <c r="AF146" s="26"/>
      <c r="AG146" s="27"/>
      <c r="AH146" s="33"/>
      <c r="AI146" s="52"/>
      <c r="AJ146" s="21"/>
    </row>
    <row r="147" spans="2:36" ht="11.25" thickBot="1"/>
    <row r="148" spans="2:36" ht="11.25" thickBot="1"/>
    <row r="149" spans="2:36" ht="11.25" thickBot="1"/>
    <row r="150" spans="2:36" ht="11.25" thickBot="1"/>
    <row r="151" spans="2:36" ht="11.25" thickBot="1"/>
    <row r="152" spans="2:36" ht="30.75" customHeight="1"/>
    <row r="153" spans="2:36" ht="30.75" customHeight="1"/>
    <row r="154" spans="2:36" ht="30.75" customHeight="1"/>
    <row r="155" spans="2:36" ht="30.75" customHeight="1"/>
  </sheetData>
  <autoFilter ref="A8:AM139">
    <filterColumn colId="0">
      <customFilters>
        <customFilter operator="notEqual" val=" "/>
      </customFilters>
    </filterColumn>
    <filterColumn colId="31"/>
  </autoFilter>
  <mergeCells count="1">
    <mergeCell ref="I7:P7"/>
  </mergeCells>
  <phoneticPr fontId="3" type="noConversion"/>
  <conditionalFormatting sqref="X115:Y65551 Y125:AC125 G120:W134 C135:W65551 I64:P64 L6:U6 X61:AI61 K75:K139 T75:U139 C1:K43 V1:W119 C44:F134 X1:Y113 G44:K119 B95:AL95 L8:U119 Z1:JD1048576 C9:AM9">
    <cfRule type="cellIs" dxfId="1" priority="17" stopIfTrue="1" operator="equal">
      <formula>"no data"</formula>
    </cfRule>
  </conditionalFormatting>
  <hyperlinks>
    <hyperlink ref="AK24" r:id="rId1"/>
    <hyperlink ref="AK11" r:id="rId2"/>
  </hyperlinks>
  <pageMargins left="0.35" right="0.27" top="0.75" bottom="0.73" header="0.51181102362204722" footer="0.51181102362204722"/>
  <pageSetup paperSize="9" scale="60" orientation="landscape" horizontalDpi="1200" verticalDpi="12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5"/>
  <sheetViews>
    <sheetView topLeftCell="M1" workbookViewId="0">
      <selection activeCell="D26" sqref="D26"/>
    </sheetView>
  </sheetViews>
  <sheetFormatPr baseColWidth="10" defaultColWidth="9" defaultRowHeight="10.5"/>
  <cols>
    <col min="1" max="3" width="9" style="4"/>
    <col min="4" max="4" width="38.625" style="4" customWidth="1"/>
    <col min="5" max="5" width="36.625" style="4" customWidth="1"/>
    <col min="6" max="6" width="9" style="4"/>
    <col min="7" max="7" width="2" style="4" customWidth="1"/>
    <col min="8" max="8" width="36.625" style="4" customWidth="1"/>
    <col min="9" max="9" width="9" style="4"/>
    <col min="10" max="10" width="2.75" style="4" customWidth="1"/>
    <col min="11" max="11" width="36.625" style="4" customWidth="1"/>
    <col min="12" max="12" width="9" style="34"/>
    <col min="13" max="13" width="3" style="4" customWidth="1"/>
    <col min="14" max="14" width="36.625" style="4" customWidth="1"/>
    <col min="15" max="15" width="9" style="4"/>
    <col min="16" max="16" width="2" style="4" customWidth="1"/>
    <col min="17" max="17" width="35" style="4" customWidth="1"/>
    <col min="18" max="18" width="9" style="34" customWidth="1"/>
    <col min="19" max="19" width="3.625" style="4" customWidth="1"/>
    <col min="20" max="20" width="50.25" style="4" customWidth="1"/>
    <col min="21" max="16384" width="9" style="4"/>
  </cols>
  <sheetData>
    <row r="1" spans="1:22">
      <c r="B1" s="4" t="s">
        <v>568</v>
      </c>
    </row>
    <row r="3" spans="1:22" ht="15">
      <c r="B3" s="4" t="s">
        <v>288</v>
      </c>
      <c r="E3" s="115" t="s">
        <v>570</v>
      </c>
      <c r="H3" s="115" t="s">
        <v>570</v>
      </c>
      <c r="K3" s="115" t="s">
        <v>570</v>
      </c>
      <c r="N3" s="115" t="s">
        <v>570</v>
      </c>
      <c r="T3" s="115" t="s">
        <v>354</v>
      </c>
      <c r="U3" s="115"/>
    </row>
    <row r="4" spans="1:22">
      <c r="F4" s="4" t="s">
        <v>290</v>
      </c>
      <c r="I4" s="4" t="s">
        <v>291</v>
      </c>
      <c r="L4" s="34" t="s">
        <v>292</v>
      </c>
      <c r="O4" s="4" t="s">
        <v>118</v>
      </c>
      <c r="R4" s="34" t="s">
        <v>554</v>
      </c>
      <c r="U4" s="4" t="s">
        <v>569</v>
      </c>
    </row>
    <row r="5" spans="1:22">
      <c r="A5" s="4">
        <f>Original!A10</f>
        <v>1</v>
      </c>
      <c r="B5" s="4" t="str">
        <f>Original!C10</f>
        <v>Antigua and Barbuda</v>
      </c>
      <c r="C5" s="4" t="s">
        <v>289</v>
      </c>
      <c r="D5" s="4" t="str">
        <f>Original!G10</f>
        <v>Old Age Assistance Programme</v>
      </c>
      <c r="E5" s="61" t="str">
        <f>CONCATENATE(B5,C5,D5)</f>
        <v>Antigua and Barbuda  |  Old Age Assistance Programme</v>
      </c>
      <c r="F5" s="62">
        <f>Original!N$10</f>
        <v>8.1759944253611869E-2</v>
      </c>
      <c r="G5" s="5"/>
      <c r="H5" s="61" t="str">
        <f>CONCATENATE(B5,C5,D5)</f>
        <v>Antigua and Barbuda  |  Old Age Assistance Programme</v>
      </c>
      <c r="I5" s="139" t="str">
        <f>Original!T$10</f>
        <v>no data</v>
      </c>
      <c r="J5" s="109"/>
      <c r="K5" s="61" t="str">
        <f>CONCATENATE(B5,C5,D5)</f>
        <v>Antigua and Barbuda  |  Old Age Assistance Programme</v>
      </c>
      <c r="L5" s="139" t="str">
        <f>Original!U$10</f>
        <v>no data</v>
      </c>
      <c r="M5" s="109"/>
      <c r="N5" s="61" t="str">
        <f>CONCATENATE(B5,C5,D5)</f>
        <v>Antigua and Barbuda  |  Old Age Assistance Programme</v>
      </c>
      <c r="O5" s="140">
        <f>Original!M$10</f>
        <v>94</v>
      </c>
      <c r="Q5" s="162" t="str">
        <f>CONCATENATE(B5,C5,D5)</f>
        <v>Antigua and Barbuda  |  Old Age Assistance Programme</v>
      </c>
      <c r="R5" s="163">
        <f>Original!O$10</f>
        <v>130.76923076923077</v>
      </c>
      <c r="T5" s="113" t="str">
        <f>CONCATENATE(B5,C5,D5)</f>
        <v>Antigua and Barbuda  |  Old Age Assistance Programme</v>
      </c>
      <c r="U5" s="114" t="str">
        <f>IF(Original!AD$10="no data", "", Original!AD$10)</f>
        <v/>
      </c>
      <c r="V5" s="4" t="str">
        <f>IF(Original!AD10="no data", "", 1)</f>
        <v/>
      </c>
    </row>
    <row r="6" spans="1:22">
      <c r="A6" s="4">
        <f>Original!A11</f>
        <v>1</v>
      </c>
      <c r="B6" s="4" t="str">
        <f>Original!C11</f>
        <v>Argentina</v>
      </c>
      <c r="C6" s="4" t="s">
        <v>289</v>
      </c>
      <c r="D6" s="4" t="str">
        <f>Original!G11</f>
        <v>Pensiones Asistenciales</v>
      </c>
      <c r="E6" s="61" t="str">
        <f t="shared" ref="E6:E69" si="0">CONCATENATE(B6,C6,D6)</f>
        <v>Argentina  |  Pensiones Asistenciales</v>
      </c>
      <c r="F6" s="62">
        <f>Original!N$11</f>
        <v>0.21566050850635865</v>
      </c>
      <c r="G6" s="5"/>
      <c r="H6" s="61" t="str">
        <f t="shared" ref="H6:H69" si="1">CONCATENATE(B6,C6,D6)</f>
        <v>Argentina  |  Pensiones Asistenciales</v>
      </c>
      <c r="I6" s="139">
        <f>Original!T$11</f>
        <v>61.03125</v>
      </c>
      <c r="J6" s="109"/>
      <c r="K6" s="61" t="str">
        <f t="shared" ref="K6:K69" si="2">CONCATENATE(B6,C6,D6)</f>
        <v>Argentina  |  Pensiones Asistenciales</v>
      </c>
      <c r="L6" s="139">
        <f>Original!U$11</f>
        <v>46.109653725078701</v>
      </c>
      <c r="M6" s="109"/>
      <c r="N6" s="61" t="str">
        <f t="shared" ref="N6:N69" si="3">CONCATENATE(B6,C6,D6)</f>
        <v>Argentina  |  Pensiones Asistenciales</v>
      </c>
      <c r="O6" s="140">
        <f>Original!M$11</f>
        <v>96.077151765644302</v>
      </c>
      <c r="Q6" s="162" t="str">
        <f t="shared" ref="Q6:Q69" si="4">CONCATENATE(B6,C6,D6)</f>
        <v>Argentina  |  Pensiones Asistenciales</v>
      </c>
      <c r="R6" s="163">
        <f>Original!O$11</f>
        <v>239.81900452488688</v>
      </c>
      <c r="T6" s="113" t="str">
        <f t="shared" ref="T6:T69" si="5">CONCATENATE(B6,C6,D6)</f>
        <v>Argentina  |  Pensiones Asistenciales</v>
      </c>
      <c r="U6" s="114">
        <f>IF(Original!AD$11="no data", "", Original!AD$11)</f>
        <v>2.6060463295585632</v>
      </c>
      <c r="V6" s="4">
        <f>IF(Original!AD11="no data", "", 1)</f>
        <v>1</v>
      </c>
    </row>
    <row r="7" spans="1:22">
      <c r="A7" s="4">
        <f>Original!A12</f>
        <v>1</v>
      </c>
      <c r="B7" s="4" t="str">
        <f>Original!C12</f>
        <v>Armenia</v>
      </c>
      <c r="C7" s="4" t="s">
        <v>289</v>
      </c>
      <c r="D7" s="4" t="str">
        <f>Original!G12</f>
        <v>Old Age Social Pension</v>
      </c>
      <c r="E7" s="61" t="str">
        <f t="shared" si="0"/>
        <v>Armenia  |  Old Age Social Pension</v>
      </c>
      <c r="F7" s="62">
        <f>Original!N$12</f>
        <v>0.12560635787184468</v>
      </c>
      <c r="G7" s="5"/>
      <c r="H7" s="61" t="str">
        <f t="shared" si="1"/>
        <v>Armenia  |  Old Age Social Pension</v>
      </c>
      <c r="I7" s="139">
        <f>Original!T$12</f>
        <v>33.556666666666665</v>
      </c>
      <c r="J7" s="109"/>
      <c r="K7" s="61" t="str">
        <f t="shared" si="2"/>
        <v>Armenia  |  Old Age Social Pension</v>
      </c>
      <c r="L7" s="139">
        <f>Original!U$12</f>
        <v>9.8889980353634588</v>
      </c>
      <c r="M7" s="109"/>
      <c r="N7" s="61" t="str">
        <f t="shared" si="3"/>
        <v>Armenia  |  Old Age Social Pension</v>
      </c>
      <c r="O7" s="140">
        <f>Original!M$12</f>
        <v>25.647754197345293</v>
      </c>
      <c r="Q7" s="162" t="str">
        <f t="shared" si="4"/>
        <v>Armenia  |  Old Age Social Pension</v>
      </c>
      <c r="R7" s="163">
        <f>Original!O$12</f>
        <v>52.207419085501513</v>
      </c>
      <c r="T7" s="113" t="str">
        <f t="shared" si="5"/>
        <v>Armenia  |  Old Age Social Pension</v>
      </c>
      <c r="U7" s="114" t="str">
        <f>IF(Original!AD$12="no data", "", Original!AD$12)</f>
        <v/>
      </c>
      <c r="V7" s="4" t="str">
        <f>IF(Original!AD12="no data", "", 1)</f>
        <v/>
      </c>
    </row>
    <row r="8" spans="1:22">
      <c r="A8" s="4">
        <f>Original!A13</f>
        <v>1</v>
      </c>
      <c r="B8" s="4" t="str">
        <f>Original!C13</f>
        <v>Australia</v>
      </c>
      <c r="C8" s="4" t="s">
        <v>289</v>
      </c>
      <c r="D8" s="4" t="str">
        <f>Original!G13</f>
        <v>Age Pension</v>
      </c>
      <c r="E8" s="61" t="str">
        <f t="shared" si="0"/>
        <v>Australia  |  Age Pension</v>
      </c>
      <c r="F8" s="62">
        <f>Original!N$13</f>
        <v>0.27736136028482405</v>
      </c>
      <c r="G8" s="5"/>
      <c r="H8" s="61" t="str">
        <f t="shared" si="1"/>
        <v>Australia  |  Age Pension</v>
      </c>
      <c r="I8" s="139">
        <f>Original!T$13</f>
        <v>63.921901528013578</v>
      </c>
      <c r="J8" s="109"/>
      <c r="K8" s="61" t="str">
        <f t="shared" si="2"/>
        <v>Australia  |  Age Pension</v>
      </c>
      <c r="L8" s="139">
        <f>Original!U$13</f>
        <v>34.92578849721707</v>
      </c>
      <c r="M8" s="109"/>
      <c r="N8" s="61" t="str">
        <f t="shared" si="3"/>
        <v>Australia  |  Age Pension</v>
      </c>
      <c r="O8" s="140">
        <f>Original!M$13</f>
        <v>1558</v>
      </c>
      <c r="Q8" s="162" t="str">
        <f t="shared" si="4"/>
        <v>Australia  |  Age Pension</v>
      </c>
      <c r="R8" s="163">
        <f>Original!O$13</f>
        <v>958.32061068702285</v>
      </c>
      <c r="T8" s="113" t="str">
        <f t="shared" si="5"/>
        <v>Australia  |  Age Pension</v>
      </c>
      <c r="U8" s="114">
        <f>IF(Original!AD$13="no data", "", Original!AD$13)</f>
        <v>70.724438445894648</v>
      </c>
      <c r="V8" s="4">
        <f>IF(Original!AD13="no data", "", 1)</f>
        <v>1</v>
      </c>
    </row>
    <row r="9" spans="1:22">
      <c r="A9" s="4">
        <f>Original!A14</f>
        <v>1</v>
      </c>
      <c r="B9" s="4" t="str">
        <f>Original!C14</f>
        <v>Austria</v>
      </c>
      <c r="C9" s="4" t="s">
        <v>289</v>
      </c>
      <c r="D9" s="4" t="str">
        <f>Original!G14</f>
        <v>Ausgleichszulage (Austrian Compensatory Supplement)</v>
      </c>
      <c r="E9" s="61" t="str">
        <f t="shared" si="0"/>
        <v>Austria  |  Ausgleichszulage (Austrian Compensatory Supplement)</v>
      </c>
      <c r="F9" s="62">
        <f>Original!N$14</f>
        <v>0.27</v>
      </c>
      <c r="G9" s="5"/>
      <c r="H9" s="61" t="str">
        <f t="shared" si="1"/>
        <v>Austria  |  Ausgleichszulage (Austrian Compensatory Supplement)</v>
      </c>
      <c r="I9" s="139" t="str">
        <f>Original!T$14</f>
        <v>no data</v>
      </c>
      <c r="J9" s="109"/>
      <c r="K9" s="61" t="str">
        <f t="shared" si="2"/>
        <v>Austria  |  Ausgleichszulage (Austrian Compensatory Supplement)</v>
      </c>
      <c r="L9" s="139">
        <f>Original!U$14</f>
        <v>27.257525083612038</v>
      </c>
      <c r="M9" s="109"/>
      <c r="N9" s="61" t="str">
        <f t="shared" si="3"/>
        <v>Austria  |  Ausgleichszulage (Austrian Compensatory Supplement)</v>
      </c>
      <c r="O9" s="140">
        <f>Original!M$14</f>
        <v>1558</v>
      </c>
      <c r="Q9" s="162" t="str">
        <f t="shared" si="4"/>
        <v>Austria  |  Ausgleichszulage (Austrian Compensatory Supplement)</v>
      </c>
      <c r="R9" s="163">
        <f>Original!O$14</f>
        <v>942</v>
      </c>
      <c r="T9" s="113" t="str">
        <f t="shared" si="5"/>
        <v>Austria  |  Ausgleichszulage (Austrian Compensatory Supplement)</v>
      </c>
      <c r="U9" s="114">
        <f>IF(Original!AD$14="no data", "", Original!AD$14)</f>
        <v>11</v>
      </c>
      <c r="V9" s="4">
        <f>IF(Original!AD14="no data", "", 1)</f>
        <v>1</v>
      </c>
    </row>
    <row r="10" spans="1:22">
      <c r="A10" s="4">
        <f>Original!A15</f>
        <v>1</v>
      </c>
      <c r="B10" s="4" t="str">
        <f>Original!C15</f>
        <v>Azerbaijan</v>
      </c>
      <c r="C10" s="4" t="s">
        <v>289</v>
      </c>
      <c r="D10" s="4" t="str">
        <f>Original!G15</f>
        <v>Social Allowance (Old Age)</v>
      </c>
      <c r="E10" s="61" t="str">
        <f t="shared" si="0"/>
        <v>Azerbaijan  |  Social Allowance (Old Age)</v>
      </c>
      <c r="F10" s="62">
        <f>Original!N$15</f>
        <v>0.17</v>
      </c>
      <c r="G10" s="5"/>
      <c r="H10" s="61" t="str">
        <f t="shared" si="1"/>
        <v>Azerbaijan  |  Social Allowance (Old Age)</v>
      </c>
      <c r="I10" s="139">
        <f>Original!T$15</f>
        <v>80</v>
      </c>
      <c r="J10" s="109"/>
      <c r="K10" s="61" t="str">
        <f t="shared" si="2"/>
        <v>Azerbaijan  |  Social Allowance (Old Age)</v>
      </c>
      <c r="L10" s="139">
        <f>Original!U$15</f>
        <v>20.134228187919462</v>
      </c>
      <c r="M10" s="109"/>
      <c r="N10" s="61" t="str">
        <f t="shared" si="3"/>
        <v>Azerbaijan  |  Social Allowance (Old Age)</v>
      </c>
      <c r="O10" s="140">
        <f>Original!M$15</f>
        <v>76</v>
      </c>
      <c r="Q10" s="162" t="str">
        <f t="shared" si="4"/>
        <v>Azerbaijan  |  Social Allowance (Old Age)</v>
      </c>
      <c r="R10" s="163">
        <f>Original!O$15</f>
        <v>122</v>
      </c>
      <c r="T10" s="113" t="str">
        <f t="shared" si="5"/>
        <v>Azerbaijan  |  Social Allowance (Old Age)</v>
      </c>
      <c r="U10" s="114">
        <f>IF(Original!AD$15="no data", "", Original!AD$15)</f>
        <v>36.316015362774984</v>
      </c>
      <c r="V10" s="4">
        <f>IF(Original!AD15="no data", "", 1)</f>
        <v>1</v>
      </c>
    </row>
    <row r="11" spans="1:22">
      <c r="A11" s="4">
        <f>Original!A16</f>
        <v>1</v>
      </c>
      <c r="B11" s="4" t="str">
        <f>Original!C16</f>
        <v>Bahamas</v>
      </c>
      <c r="C11" s="4" t="s">
        <v>289</v>
      </c>
      <c r="D11" s="4" t="str">
        <f>Original!G16</f>
        <v>Old Age Non-Contributory Pension (OANCP)</v>
      </c>
      <c r="E11" s="61" t="str">
        <f t="shared" si="0"/>
        <v>Bahamas  |  Old Age Non-Contributory Pension (OANCP)</v>
      </c>
      <c r="F11" s="62">
        <f>Original!N$16</f>
        <v>0.12</v>
      </c>
      <c r="G11" s="5"/>
      <c r="H11" s="61" t="str">
        <f t="shared" si="1"/>
        <v>Bahamas  |  Old Age Non-Contributory Pension (OANCP)</v>
      </c>
      <c r="I11" s="139">
        <f>Original!T$16</f>
        <v>35.353535353535356</v>
      </c>
      <c r="J11" s="109"/>
      <c r="K11" s="61" t="str">
        <f t="shared" si="2"/>
        <v>Bahamas  |  Old Age Non-Contributory Pension (OANCP)</v>
      </c>
      <c r="L11" s="139" t="str">
        <f>Original!U$16</f>
        <v>no data</v>
      </c>
      <c r="M11" s="109"/>
      <c r="N11" s="61" t="str">
        <f t="shared" si="3"/>
        <v>Bahamas  |  Old Age Non-Contributory Pension (OANCP)</v>
      </c>
      <c r="O11" s="140">
        <f>Original!M$16</f>
        <v>245</v>
      </c>
      <c r="Q11" s="162" t="str">
        <f t="shared" si="4"/>
        <v>Bahamas  |  Old Age Non-Contributory Pension (OANCP)</v>
      </c>
      <c r="R11" s="163">
        <f>Original!O$16</f>
        <v>316</v>
      </c>
      <c r="T11" s="113" t="str">
        <f t="shared" si="5"/>
        <v>Bahamas  |  Old Age Non-Contributory Pension (OANCP)</v>
      </c>
      <c r="U11" s="114">
        <f>IF(Original!AD$16="no data", "", Original!AD$16)</f>
        <v>9.7089450324342774</v>
      </c>
      <c r="V11" s="4">
        <f>IF(Original!AD16="no data", "", 1)</f>
        <v>1</v>
      </c>
    </row>
    <row r="12" spans="1:22">
      <c r="A12" s="4">
        <f>Original!A17</f>
        <v>1</v>
      </c>
      <c r="B12" s="4" t="str">
        <f>Original!C17</f>
        <v>Bangladesh</v>
      </c>
      <c r="C12" s="4" t="s">
        <v>289</v>
      </c>
      <c r="D12" s="4" t="str">
        <f>Original!G17</f>
        <v>Old Age Allowance</v>
      </c>
      <c r="E12" s="61" t="str">
        <f t="shared" si="0"/>
        <v>Bangladesh  |  Old Age Allowance</v>
      </c>
      <c r="F12" s="62">
        <f>Original!N$17</f>
        <v>7.0000000000000007E-2</v>
      </c>
      <c r="G12" s="5"/>
      <c r="H12" s="61" t="str">
        <f t="shared" si="1"/>
        <v>Bangladesh  |  Old Age Allowance</v>
      </c>
      <c r="I12" s="139">
        <f>Original!T$17</f>
        <v>17.647058823529413</v>
      </c>
      <c r="J12" s="109"/>
      <c r="K12" s="61" t="str">
        <f t="shared" si="2"/>
        <v>Bangladesh  |  Old Age Allowance</v>
      </c>
      <c r="L12" s="139" t="str">
        <f>Original!U$17</f>
        <v>no data</v>
      </c>
      <c r="M12" s="109"/>
      <c r="N12" s="61" t="str">
        <f t="shared" si="3"/>
        <v>Bangladesh  |  Old Age Allowance</v>
      </c>
      <c r="O12" s="140">
        <f>Original!M$17</f>
        <v>4.3361735619999999</v>
      </c>
      <c r="Q12" s="162" t="str">
        <f t="shared" si="4"/>
        <v>Bangladesh  |  Old Age Allowance</v>
      </c>
      <c r="R12" s="163">
        <f>Original!O$17</f>
        <v>10</v>
      </c>
      <c r="T12" s="113" t="str">
        <f t="shared" si="5"/>
        <v>Bangladesh  |  Old Age Allowance</v>
      </c>
      <c r="U12" s="114">
        <f>IF(Original!AD$17="no data", "", Original!AD$17)</f>
        <v>28.297416156642424</v>
      </c>
      <c r="V12" s="4">
        <f>IF(Original!AD17="no data", "", 1)</f>
        <v>1</v>
      </c>
    </row>
    <row r="13" spans="1:22">
      <c r="A13" s="4">
        <f>Original!A18</f>
        <v>0</v>
      </c>
      <c r="B13" s="4" t="str">
        <f>Original!C18</f>
        <v>Bangladesh</v>
      </c>
      <c r="C13" s="4" t="s">
        <v>289</v>
      </c>
      <c r="D13" s="4" t="str">
        <f>Original!G18</f>
        <v>Allowance for Widow, Deserted and Destitute Women</v>
      </c>
      <c r="E13" s="61" t="str">
        <f t="shared" si="0"/>
        <v>Bangladesh  |  Allowance for Widow, Deserted and Destitute Women</v>
      </c>
      <c r="F13" s="62">
        <f>Original!N$18</f>
        <v>7.7095342319132787E-2</v>
      </c>
      <c r="G13" s="5"/>
      <c r="H13" s="61" t="str">
        <f t="shared" si="1"/>
        <v>Bangladesh  |  Allowance for Widow, Deserted and Destitute Women</v>
      </c>
      <c r="I13" s="139">
        <f>Original!T$18</f>
        <v>17.647058823529413</v>
      </c>
      <c r="J13" s="109"/>
      <c r="K13" s="61" t="str">
        <f t="shared" si="2"/>
        <v>Bangladesh  |  Allowance for Widow, Deserted and Destitute Women</v>
      </c>
      <c r="L13" s="139" t="str">
        <f>Original!U$18</f>
        <v>no data</v>
      </c>
      <c r="M13" s="109"/>
      <c r="N13" s="61" t="str">
        <f t="shared" si="3"/>
        <v>Bangladesh  |  Allowance for Widow, Deserted and Destitute Women</v>
      </c>
      <c r="O13" s="140">
        <f>Original!M$18</f>
        <v>4.3361735619999999</v>
      </c>
      <c r="Q13" s="162" t="str">
        <f t="shared" si="4"/>
        <v>Bangladesh  |  Allowance for Widow, Deserted and Destitute Women</v>
      </c>
      <c r="R13" s="163">
        <f>Original!O$18</f>
        <v>10.659396839999999</v>
      </c>
      <c r="T13" s="113" t="str">
        <f t="shared" si="5"/>
        <v>Bangladesh  |  Allowance for Widow, Deserted and Destitute Women</v>
      </c>
      <c r="U13" s="114">
        <f>IF(Original!AD$18="no data", "", Original!AD$18)</f>
        <v>11.570499050716013</v>
      </c>
      <c r="V13" s="4">
        <f>IF(Original!AD18="no data", "", 1)</f>
        <v>1</v>
      </c>
    </row>
    <row r="14" spans="1:22">
      <c r="A14" s="4">
        <f>Original!A19</f>
        <v>1</v>
      </c>
      <c r="B14" s="4" t="str">
        <f>Original!C19</f>
        <v>Barbados</v>
      </c>
      <c r="C14" s="4" t="s">
        <v>289</v>
      </c>
      <c r="D14" s="4" t="str">
        <f>Original!G19</f>
        <v>Non-contributory Old Age Pension</v>
      </c>
      <c r="E14" s="61" t="str">
        <f t="shared" si="0"/>
        <v>Barbados  |  Non-contributory Old Age Pension</v>
      </c>
      <c r="F14" s="62">
        <f>Original!N$19</f>
        <v>0.22</v>
      </c>
      <c r="G14" s="5"/>
      <c r="H14" s="61" t="str">
        <f t="shared" si="1"/>
        <v>Barbados  |  Non-contributory Old Age Pension</v>
      </c>
      <c r="I14" s="139" t="str">
        <f>Original!T$19</f>
        <v>no data</v>
      </c>
      <c r="J14" s="109"/>
      <c r="K14" s="61" t="str">
        <f t="shared" si="2"/>
        <v>Barbados  |  Non-contributory Old Age Pension</v>
      </c>
      <c r="L14" s="139" t="str">
        <f>Original!U$19</f>
        <v>no data</v>
      </c>
      <c r="M14" s="109"/>
      <c r="N14" s="61" t="str">
        <f t="shared" si="3"/>
        <v>Barbados  |  Non-contributory Old Age Pension</v>
      </c>
      <c r="O14" s="140">
        <f>Original!M$19</f>
        <v>299</v>
      </c>
      <c r="Q14" s="162" t="str">
        <f t="shared" si="4"/>
        <v>Barbados  |  Non-contributory Old Age Pension</v>
      </c>
      <c r="R14" s="163">
        <f>Original!O$19</f>
        <v>421</v>
      </c>
      <c r="T14" s="113" t="str">
        <f t="shared" si="5"/>
        <v>Barbados  |  Non-contributory Old Age Pension</v>
      </c>
      <c r="U14" s="114">
        <f>IF(Original!AD$19="no data", "", Original!AD$19)</f>
        <v>33.766107306306594</v>
      </c>
      <c r="V14" s="4">
        <f>IF(Original!AD19="no data", "", 1)</f>
        <v>1</v>
      </c>
    </row>
    <row r="15" spans="1:22">
      <c r="A15" s="4">
        <f>Original!A20</f>
        <v>1</v>
      </c>
      <c r="B15" s="4" t="str">
        <f>Original!C20</f>
        <v>Belarus</v>
      </c>
      <c r="C15" s="4" t="s">
        <v>289</v>
      </c>
      <c r="D15" s="4" t="str">
        <f>Original!G20</f>
        <v>Social old-age pension (social assistance</v>
      </c>
      <c r="E15" s="61" t="str">
        <f t="shared" si="0"/>
        <v>Belarus  |  Social old-age pension (social assistance</v>
      </c>
      <c r="F15" s="62">
        <f>Original!N$20</f>
        <v>0.09</v>
      </c>
      <c r="G15" s="5"/>
      <c r="H15" s="61" t="str">
        <f t="shared" si="1"/>
        <v>Belarus  |  Social old-age pension (social assistance</v>
      </c>
      <c r="I15" s="139">
        <f>Original!T$20</f>
        <v>57.951676099259906</v>
      </c>
      <c r="J15" s="109"/>
      <c r="K15" s="61" t="str">
        <f t="shared" si="2"/>
        <v>Belarus  |  Social old-age pension (social assistance</v>
      </c>
      <c r="L15" s="139">
        <f>Original!U$20</f>
        <v>13.334408513826753</v>
      </c>
      <c r="M15" s="109"/>
      <c r="N15" s="61" t="str">
        <f t="shared" si="3"/>
        <v>Belarus  |  Social old-age pension (social assistance</v>
      </c>
      <c r="O15" s="140">
        <f>Original!M$20</f>
        <v>17</v>
      </c>
      <c r="Q15" s="162" t="str">
        <f t="shared" si="4"/>
        <v>Belarus  |  Social old-age pension (social assistance</v>
      </c>
      <c r="R15" s="163">
        <f>Original!O$20</f>
        <v>107</v>
      </c>
      <c r="T15" s="113" t="str">
        <f t="shared" si="5"/>
        <v>Belarus  |  Social old-age pension (social assistance</v>
      </c>
      <c r="U15" s="114">
        <f>IF(Original!AD$20="no data", "", Original!AD$20)</f>
        <v>2.4778331802392093</v>
      </c>
      <c r="V15" s="4">
        <f>IF(Original!AD20="no data", "", 1)</f>
        <v>1</v>
      </c>
    </row>
    <row r="16" spans="1:22">
      <c r="A16" s="4">
        <f>Original!A21</f>
        <v>1</v>
      </c>
      <c r="B16" s="4" t="str">
        <f>Original!C21</f>
        <v>Beligium</v>
      </c>
      <c r="C16" s="4" t="s">
        <v>289</v>
      </c>
      <c r="D16" s="4" t="str">
        <f>Original!G21</f>
        <v>IGO/GRAPA (Income Guarantee for the Elderly)</v>
      </c>
      <c r="E16" s="61" t="str">
        <f t="shared" si="0"/>
        <v>Beligium  |  IGO/GRAPA (Income Guarantee for the Elderly)</v>
      </c>
      <c r="F16" s="62">
        <f>Original!N$21</f>
        <v>0.33</v>
      </c>
      <c r="G16" s="5"/>
      <c r="H16" s="61" t="str">
        <f t="shared" si="1"/>
        <v>Beligium  |  IGO/GRAPA (Income Guarantee for the Elderly)</v>
      </c>
      <c r="I16" s="139">
        <f>Original!T$21</f>
        <v>65.994236311239192</v>
      </c>
      <c r="J16" s="109"/>
      <c r="K16" s="61" t="str">
        <f t="shared" si="2"/>
        <v>Beligium  |  IGO/GRAPA (Income Guarantee for the Elderly)</v>
      </c>
      <c r="L16" s="139">
        <f>Original!U$21</f>
        <v>34.090063267584668</v>
      </c>
      <c r="M16" s="109"/>
      <c r="N16" s="61" t="str">
        <f t="shared" si="3"/>
        <v>Beligium  |  IGO/GRAPA (Income Guarantee for the Elderly)</v>
      </c>
      <c r="O16" s="140">
        <f>Original!M$21</f>
        <v>1212</v>
      </c>
      <c r="Q16" s="162" t="str">
        <f t="shared" si="4"/>
        <v>Beligium  |  IGO/GRAPA (Income Guarantee for the Elderly)</v>
      </c>
      <c r="R16" s="163">
        <f>Original!O$21</f>
        <v>1026</v>
      </c>
      <c r="T16" s="113" t="str">
        <f t="shared" si="5"/>
        <v>Beligium  |  IGO/GRAPA (Income Guarantee for the Elderly)</v>
      </c>
      <c r="U16" s="114">
        <f>IF(Original!AD$21="no data", "", Original!AD$21)</f>
        <v>5.1105047019154295</v>
      </c>
      <c r="V16" s="4">
        <f>IF(Original!AD21="no data", "", 1)</f>
        <v>1</v>
      </c>
    </row>
    <row r="17" spans="1:22">
      <c r="A17" s="4">
        <f>Original!A22</f>
        <v>1</v>
      </c>
      <c r="B17" s="4" t="str">
        <f>Original!C22</f>
        <v>Belize</v>
      </c>
      <c r="C17" s="4" t="s">
        <v>289</v>
      </c>
      <c r="D17" s="4" t="str">
        <f>Original!G22</f>
        <v>Non-Contributory Pension Programme (NCP)</v>
      </c>
      <c r="E17" s="61" t="str">
        <f t="shared" si="0"/>
        <v>Belize  |  Non-Contributory Pension Programme (NCP)</v>
      </c>
      <c r="F17" s="62">
        <f>Original!N$22</f>
        <v>0.14604612964368882</v>
      </c>
      <c r="G17" s="5"/>
      <c r="H17" s="61" t="str">
        <f t="shared" si="1"/>
        <v>Belize  |  Non-Contributory Pension Programme (NCP)</v>
      </c>
      <c r="I17" s="139">
        <f>Original!T$22</f>
        <v>17.094017094017094</v>
      </c>
      <c r="J17" s="109"/>
      <c r="K17" s="61" t="str">
        <f t="shared" si="2"/>
        <v>Belize  |  Non-Contributory Pension Programme (NCP)</v>
      </c>
      <c r="L17" s="139" t="str">
        <f>Original!U$22</f>
        <v>no data</v>
      </c>
      <c r="M17" s="109"/>
      <c r="N17" s="61" t="str">
        <f t="shared" si="3"/>
        <v>Belize  |  Non-Contributory Pension Programme (NCP)</v>
      </c>
      <c r="O17" s="140">
        <f>Original!M$22</f>
        <v>51.432127592822134</v>
      </c>
      <c r="Q17" s="162" t="str">
        <f t="shared" si="4"/>
        <v>Belize  |  Non-Contributory Pension Programme (NCP)</v>
      </c>
      <c r="R17" s="163">
        <f>Original!O$22</f>
        <v>94.161958568738228</v>
      </c>
      <c r="T17" s="113" t="str">
        <f t="shared" si="5"/>
        <v>Belize  |  Non-Contributory Pension Programme (NCP)</v>
      </c>
      <c r="U17" s="114">
        <f>IF(Original!AD$22="no data", "", Original!AD$22)</f>
        <v>39.1</v>
      </c>
      <c r="V17" s="4">
        <f>IF(Original!AD22="no data", "", 1)</f>
        <v>1</v>
      </c>
    </row>
    <row r="18" spans="1:22">
      <c r="A18" s="4">
        <f>Original!A23</f>
        <v>1</v>
      </c>
      <c r="B18" s="4" t="str">
        <f>Original!C23</f>
        <v>Bermuda</v>
      </c>
      <c r="C18" s="4" t="s">
        <v>289</v>
      </c>
      <c r="D18" s="4" t="str">
        <f>Original!G23</f>
        <v>Non-contibutory old age pension</v>
      </c>
      <c r="E18" s="61" t="str">
        <f t="shared" si="0"/>
        <v>Bermuda  |  Non-contibutory old age pension</v>
      </c>
      <c r="F18" s="62" t="str">
        <f>Original!N$23</f>
        <v>no data</v>
      </c>
      <c r="G18" s="5"/>
      <c r="H18" s="61" t="str">
        <f t="shared" si="1"/>
        <v>Bermuda  |  Non-contibutory old age pension</v>
      </c>
      <c r="I18" s="139" t="str">
        <f>Original!T$23</f>
        <v>no data</v>
      </c>
      <c r="J18" s="109"/>
      <c r="K18" s="61" t="str">
        <f t="shared" si="2"/>
        <v>Bermuda  |  Non-contibutory old age pension</v>
      </c>
      <c r="L18" s="139" t="str">
        <f>Original!U$23</f>
        <v>no data</v>
      </c>
      <c r="M18" s="109"/>
      <c r="N18" s="61" t="str">
        <f t="shared" si="3"/>
        <v>Bermuda  |  Non-contibutory old age pension</v>
      </c>
      <c r="O18" s="140">
        <f>Original!M$23</f>
        <v>451</v>
      </c>
      <c r="Q18" s="162" t="str">
        <f t="shared" si="4"/>
        <v>Bermuda  |  Non-contibutory old age pension</v>
      </c>
      <c r="R18" s="163" t="str">
        <f>Original!O$23</f>
        <v>no data</v>
      </c>
      <c r="T18" s="113" t="str">
        <f t="shared" si="5"/>
        <v>Bermuda  |  Non-contibutory old age pension</v>
      </c>
      <c r="U18" s="114" t="str">
        <f>IF(Original!AD$23="no data", "", Original!AD$23)</f>
        <v/>
      </c>
      <c r="V18" s="4" t="str">
        <f>IF(Original!AD23="no data", "", 1)</f>
        <v/>
      </c>
    </row>
    <row r="19" spans="1:22">
      <c r="A19" s="4">
        <f>Original!A24</f>
        <v>1</v>
      </c>
      <c r="B19" s="4" t="str">
        <f>Original!C24</f>
        <v>Bolivia</v>
      </c>
      <c r="C19" s="4" t="s">
        <v>289</v>
      </c>
      <c r="D19" s="4" t="str">
        <f>Original!G24</f>
        <v>Renta Dignidad or Renta Universal de Vejez (previously Bonosol)</v>
      </c>
      <c r="E19" s="61" t="str">
        <f t="shared" si="0"/>
        <v>Bolivia  |  Renta Dignidad or Renta Universal de Vejez (previously Bonosol)</v>
      </c>
      <c r="F19" s="62">
        <f>Original!N$24</f>
        <v>0.15015132438160333</v>
      </c>
      <c r="G19" s="5"/>
      <c r="H19" s="61" t="str">
        <f t="shared" si="1"/>
        <v>Bolivia  |  Renta Dignidad or Renta Universal de Vejez (previously Bonosol)</v>
      </c>
      <c r="I19" s="139">
        <f>Original!T$24</f>
        <v>30.911901081916536</v>
      </c>
      <c r="J19" s="109"/>
      <c r="K19" s="61" t="str">
        <f t="shared" si="2"/>
        <v>Bolivia  |  Renta Dignidad or Renta Universal de Vejez (previously Bonosol)</v>
      </c>
      <c r="L19" s="139" t="str">
        <f>Original!U$24</f>
        <v>no data</v>
      </c>
      <c r="M19" s="109"/>
      <c r="N19" s="61" t="str">
        <f t="shared" si="3"/>
        <v>Bolivia  |  Renta Dignidad or Renta Universal de Vejez (previously Bonosol)</v>
      </c>
      <c r="O19" s="140">
        <f>Original!M$24</f>
        <v>29.154518950437318</v>
      </c>
      <c r="Q19" s="162" t="str">
        <f t="shared" si="4"/>
        <v>Bolivia  |  Renta Dignidad or Renta Universal de Vejez (previously Bonosol)</v>
      </c>
      <c r="R19" s="163">
        <f>Original!O$24</f>
        <v>59.934072520227744</v>
      </c>
      <c r="T19" s="113" t="str">
        <f t="shared" si="5"/>
        <v>Bolivia  |  Renta Dignidad or Renta Universal de Vejez (previously Bonosol)</v>
      </c>
      <c r="U19" s="114">
        <f>IF(Original!AD$24="no data", "", Original!AD$24)</f>
        <v>100</v>
      </c>
      <c r="V19" s="4">
        <f>IF(Original!AD24="no data", "", 1)</f>
        <v>1</v>
      </c>
    </row>
    <row r="20" spans="1:22">
      <c r="A20" s="4">
        <f>Original!A25</f>
        <v>1</v>
      </c>
      <c r="B20" s="4" t="str">
        <f>Original!C25</f>
        <v>Botswana</v>
      </c>
      <c r="C20" s="4" t="s">
        <v>289</v>
      </c>
      <c r="D20" s="4" t="str">
        <f>Original!G25</f>
        <v>Old Age Pension (OAP)</v>
      </c>
      <c r="E20" s="61" t="str">
        <f t="shared" si="0"/>
        <v>Botswana  |  Old Age Pension (OAP)</v>
      </c>
      <c r="F20" s="62">
        <f>Original!N$25</f>
        <v>4.0830308449317308E-2</v>
      </c>
      <c r="G20" s="5"/>
      <c r="H20" s="61" t="str">
        <f t="shared" si="1"/>
        <v>Botswana  |  Old Age Pension (OAP)</v>
      </c>
      <c r="I20" s="139">
        <f>Original!T$25</f>
        <v>33.383915022761762</v>
      </c>
      <c r="J20" s="109"/>
      <c r="K20" s="61" t="str">
        <f t="shared" si="2"/>
        <v>Botswana  |  Old Age Pension (OAP)</v>
      </c>
      <c r="L20" s="139">
        <f>Original!U$25</f>
        <v>4.9316296794440708</v>
      </c>
      <c r="M20" s="109"/>
      <c r="N20" s="61" t="str">
        <f t="shared" si="3"/>
        <v>Botswana  |  Old Age Pension (OAP)</v>
      </c>
      <c r="O20" s="140">
        <f>Original!M$25</f>
        <v>29.391999764864</v>
      </c>
      <c r="Q20" s="162" t="str">
        <f t="shared" si="4"/>
        <v>Botswana  |  Old Age Pension (OAP)</v>
      </c>
      <c r="R20" s="163">
        <f>Original!O$25</f>
        <v>54.536440257808628</v>
      </c>
      <c r="T20" s="113" t="str">
        <f t="shared" si="5"/>
        <v>Botswana  |  Old Age Pension (OAP)</v>
      </c>
      <c r="U20" s="114">
        <f>IF(Original!AD$25="no data", "", Original!AD$25)</f>
        <v>100</v>
      </c>
      <c r="V20" s="4">
        <f>IF(Original!AD25="no data", "", 1)</f>
        <v>1</v>
      </c>
    </row>
    <row r="21" spans="1:22">
      <c r="A21" s="4">
        <f>Original!A26</f>
        <v>1</v>
      </c>
      <c r="B21" s="4" t="str">
        <f>Original!C26</f>
        <v>Brazil [Rural pensionn]</v>
      </c>
      <c r="C21" s="4" t="s">
        <v>289</v>
      </c>
      <c r="D21" s="4" t="str">
        <f>Original!G26</f>
        <v>Previdencia Rural (Rural Pension)</v>
      </c>
      <c r="E21" s="61" t="str">
        <f t="shared" si="0"/>
        <v>Brazil [Rural pensionn]  |  Previdencia Rural (Rural Pension)</v>
      </c>
      <c r="F21" s="62">
        <f>Original!N$26</f>
        <v>0.32587175496958792</v>
      </c>
      <c r="G21" s="5"/>
      <c r="H21" s="61" t="str">
        <f t="shared" si="1"/>
        <v>Brazil [Rural pensionn]  |  Previdencia Rural (Rural Pension)</v>
      </c>
      <c r="I21" s="139">
        <f>Original!T$26</f>
        <v>133.76344086021504</v>
      </c>
      <c r="J21" s="109"/>
      <c r="K21" s="61" t="str">
        <f t="shared" si="2"/>
        <v>Brazil [Rural pensionn]  |  Previdencia Rural (Rural Pension)</v>
      </c>
      <c r="L21" s="139">
        <f>Original!U$26</f>
        <v>46.766917293233085</v>
      </c>
      <c r="M21" s="109"/>
      <c r="N21" s="61" t="str">
        <f t="shared" si="3"/>
        <v>Brazil [Rural pensionn]  |  Previdencia Rural (Rural Pension)</v>
      </c>
      <c r="O21" s="140">
        <f>Original!M$26</f>
        <v>330.9549273442197</v>
      </c>
      <c r="Q21" s="162" t="str">
        <f t="shared" si="4"/>
        <v>Brazil [Rural pensionn]  |  Previdencia Rural (Rural Pension)</v>
      </c>
      <c r="R21" s="163">
        <f>Original!O$26</f>
        <v>330.85106382978728</v>
      </c>
      <c r="T21" s="113" t="str">
        <f t="shared" si="5"/>
        <v>Brazil [Rural pensionn]  |  Previdencia Rural (Rural Pension)</v>
      </c>
      <c r="U21" s="114">
        <f>IF(Original!AD$26="no data", "", Original!AD$26)</f>
        <v>23.945626680505882</v>
      </c>
      <c r="V21" s="4">
        <f>IF(Original!AD26="no data", "", 1)</f>
        <v>1</v>
      </c>
    </row>
    <row r="22" spans="1:22">
      <c r="A22" s="4">
        <f>Original!A27</f>
        <v>1</v>
      </c>
      <c r="B22" s="4" t="str">
        <f>Original!C27</f>
        <v>Brazil [BPC]</v>
      </c>
      <c r="C22" s="4" t="s">
        <v>289</v>
      </c>
      <c r="D22" s="4" t="str">
        <f>Original!G27</f>
        <v>Beneficio de Prestacao Continuada (BPC / Continuous Cash Benefit)</v>
      </c>
      <c r="E22" s="61" t="str">
        <f t="shared" si="0"/>
        <v>Brazil [BPC]  |  Beneficio de Prestacao Continuada (BPC / Continuous Cash Benefit)</v>
      </c>
      <c r="F22" s="62">
        <f>Original!N$27</f>
        <v>0.32587175496958792</v>
      </c>
      <c r="G22" s="5"/>
      <c r="H22" s="61" t="str">
        <f t="shared" si="1"/>
        <v>Brazil [BPC]  |  Beneficio de Prestacao Continuada (BPC / Continuous Cash Benefit)</v>
      </c>
      <c r="I22" s="139">
        <f>Original!T$27</f>
        <v>133.76344086021504</v>
      </c>
      <c r="J22" s="109"/>
      <c r="K22" s="61" t="str">
        <f t="shared" si="2"/>
        <v>Brazil [BPC]  |  Beneficio de Prestacao Continuada (BPC / Continuous Cash Benefit)</v>
      </c>
      <c r="L22" s="139">
        <f>Original!U$27</f>
        <v>46.766917293233085</v>
      </c>
      <c r="M22" s="109"/>
      <c r="N22" s="61" t="str">
        <f t="shared" si="3"/>
        <v>Brazil [BPC]  |  Beneficio de Prestacao Continuada (BPC / Continuous Cash Benefit)</v>
      </c>
      <c r="O22" s="140">
        <f>Original!M$27</f>
        <v>330.9549273442197</v>
      </c>
      <c r="Q22" s="162" t="str">
        <f t="shared" si="4"/>
        <v>Brazil [BPC]  |  Beneficio de Prestacao Continuada (BPC / Continuous Cash Benefit)</v>
      </c>
      <c r="R22" s="163">
        <f>Original!O$27</f>
        <v>330.85106382978728</v>
      </c>
      <c r="T22" s="113" t="str">
        <f t="shared" si="5"/>
        <v>Brazil [BPC]  |  Beneficio de Prestacao Continuada (BPC / Continuous Cash Benefit)</v>
      </c>
      <c r="U22" s="114">
        <f>IF(Original!AD$27="no data", "", Original!AD$27)</f>
        <v>12.364729278340851</v>
      </c>
      <c r="V22" s="4">
        <f>IF(Original!AD27="no data", "", 1)</f>
        <v>1</v>
      </c>
    </row>
    <row r="23" spans="1:22">
      <c r="A23" s="4">
        <f>Original!A28</f>
        <v>1</v>
      </c>
      <c r="B23" s="4" t="str">
        <f>Original!C28</f>
        <v>Brunei Darussalam</v>
      </c>
      <c r="C23" s="4" t="s">
        <v>289</v>
      </c>
      <c r="D23" s="4" t="str">
        <f>Original!G28</f>
        <v>Old Age pension</v>
      </c>
      <c r="E23" s="61" t="str">
        <f t="shared" si="0"/>
        <v>Brunei Darussalam  |  Old Age pension</v>
      </c>
      <c r="F23" s="62">
        <f>Original!N$28</f>
        <v>7.0000000000000007E-2</v>
      </c>
      <c r="G23" s="5"/>
      <c r="H23" s="61" t="str">
        <f t="shared" si="1"/>
        <v>Brunei Darussalam  |  Old Age pension</v>
      </c>
      <c r="I23" s="139" t="str">
        <f>Original!T$28</f>
        <v>no data</v>
      </c>
      <c r="J23" s="109"/>
      <c r="K23" s="61" t="str">
        <f t="shared" si="2"/>
        <v>Brunei Darussalam  |  Old Age pension</v>
      </c>
      <c r="L23" s="139" t="str">
        <f>Original!U$28</f>
        <v>no data</v>
      </c>
      <c r="M23" s="109"/>
      <c r="N23" s="61" t="str">
        <f t="shared" si="3"/>
        <v>Brunei Darussalam  |  Old Age pension</v>
      </c>
      <c r="O23" s="140">
        <f>Original!M$28</f>
        <v>201</v>
      </c>
      <c r="Q23" s="162" t="str">
        <f t="shared" si="4"/>
        <v>Brunei Darussalam  |  Old Age pension</v>
      </c>
      <c r="R23" s="163">
        <f>Original!O$28</f>
        <v>268</v>
      </c>
      <c r="T23" s="113" t="str">
        <f t="shared" si="5"/>
        <v>Brunei Darussalam  |  Old Age pension</v>
      </c>
      <c r="U23" s="114">
        <f>IF(Original!AD$28="no data", "", Original!AD$28)</f>
        <v>92.373918548216906</v>
      </c>
      <c r="V23" s="4">
        <f>IF(Original!AD28="no data", "", 1)</f>
        <v>1</v>
      </c>
    </row>
    <row r="24" spans="1:22">
      <c r="A24" s="4">
        <f>Original!A29</f>
        <v>1</v>
      </c>
      <c r="B24" s="4" t="str">
        <f>Original!C29</f>
        <v>Bulgaria</v>
      </c>
      <c r="C24" s="4" t="s">
        <v>289</v>
      </c>
      <c r="D24" s="4" t="str">
        <f>Original!G29</f>
        <v xml:space="preserve">Pensions not Related to Labour Activity Fund </v>
      </c>
      <c r="E24" s="61" t="str">
        <f t="shared" si="0"/>
        <v xml:space="preserve">Bulgaria  |  Pensions not Related to Labour Activity Fund </v>
      </c>
      <c r="F24" s="62">
        <f>Original!N$29</f>
        <v>0.12899928379853079</v>
      </c>
      <c r="G24" s="5"/>
      <c r="H24" s="61" t="str">
        <f t="shared" si="1"/>
        <v xml:space="preserve">Bulgaria  |  Pensions not Related to Labour Activity Fund </v>
      </c>
      <c r="I24" s="139">
        <f>Original!T$29</f>
        <v>42.083333333333336</v>
      </c>
      <c r="J24" s="109"/>
      <c r="K24" s="61" t="str">
        <f t="shared" si="2"/>
        <v xml:space="preserve">Bulgaria  |  Pensions not Related to Labour Activity Fund </v>
      </c>
      <c r="L24" s="139">
        <f>Original!U$29</f>
        <v>17.264957264957264</v>
      </c>
      <c r="M24" s="109"/>
      <c r="N24" s="61" t="str">
        <f t="shared" si="3"/>
        <v xml:space="preserve">Bulgaria  |  Pensions not Related to Labour Activity Fund </v>
      </c>
      <c r="O24" s="140">
        <f>Original!M$29</f>
        <v>68.296311322987464</v>
      </c>
      <c r="Q24" s="162" t="str">
        <f t="shared" si="4"/>
        <v xml:space="preserve">Bulgaria  |  Pensions not Related to Labour Activity Fund </v>
      </c>
      <c r="R24" s="163">
        <f>Original!O$29</f>
        <v>139.31034482758622</v>
      </c>
      <c r="T24" s="113" t="str">
        <f t="shared" si="5"/>
        <v xml:space="preserve">Bulgaria  |  Pensions not Related to Labour Activity Fund </v>
      </c>
      <c r="U24" s="114">
        <f>IF(Original!AD$29="no data", "", Original!AD$29)</f>
        <v>0.52979490246149374</v>
      </c>
      <c r="V24" s="4">
        <f>IF(Original!AD29="no data", "", 1)</f>
        <v>1</v>
      </c>
    </row>
    <row r="25" spans="1:22">
      <c r="A25" s="4">
        <f>Original!A30</f>
        <v>1</v>
      </c>
      <c r="B25" s="4" t="str">
        <f>Original!C30</f>
        <v>Canada Targeted</v>
      </c>
      <c r="C25" s="4" t="s">
        <v>289</v>
      </c>
      <c r="D25" s="4" t="str">
        <f>Original!G30</f>
        <v>Canada targeted pension</v>
      </c>
      <c r="E25" s="61" t="str">
        <f t="shared" si="0"/>
        <v>Canada Targeted  |  Canada targeted pension</v>
      </c>
      <c r="F25" s="62">
        <f>Original!N$30</f>
        <v>0.13680646639199609</v>
      </c>
      <c r="G25" s="5"/>
      <c r="H25" s="61" t="str">
        <f t="shared" si="1"/>
        <v>Canada Targeted  |  Canada targeted pension</v>
      </c>
      <c r="I25" s="139">
        <f>Original!T$30</f>
        <v>379.41359950093573</v>
      </c>
      <c r="J25" s="109"/>
      <c r="K25" s="61" t="str">
        <f t="shared" si="2"/>
        <v>Canada Targeted  |  Canada targeted pension</v>
      </c>
      <c r="L25" s="139">
        <f>Original!U$30</f>
        <v>170.41188007845335</v>
      </c>
      <c r="M25" s="109"/>
      <c r="N25" s="61" t="str">
        <f t="shared" si="3"/>
        <v>Canada Targeted  |  Canada targeted pension</v>
      </c>
      <c r="O25" s="140">
        <f>Original!M$30</f>
        <v>504.36598144335937</v>
      </c>
      <c r="Q25" s="162" t="str">
        <f t="shared" si="4"/>
        <v>Canada Targeted  |  Canada targeted pension</v>
      </c>
      <c r="R25" s="163">
        <f>Original!O$30</f>
        <v>433.32774518021796</v>
      </c>
      <c r="T25" s="113" t="str">
        <f t="shared" si="5"/>
        <v>Canada Targeted  |  Canada targeted pension</v>
      </c>
      <c r="U25" s="114">
        <f>IF(Original!AD$30="no data", "", Original!AD$30)</f>
        <v>34</v>
      </c>
      <c r="V25" s="4">
        <f>IF(Original!AD30="no data", "", 1)</f>
        <v>1</v>
      </c>
    </row>
    <row r="26" spans="1:22">
      <c r="A26" s="4">
        <f>Original!A31</f>
        <v>1</v>
      </c>
      <c r="B26" s="4" t="str">
        <f>Original!C31</f>
        <v>Canada basic</v>
      </c>
      <c r="C26" s="4" t="s">
        <v>289</v>
      </c>
      <c r="D26" s="4" t="str">
        <f>Original!G31</f>
        <v>Pension de la Securite Vieillesse (S.V.) (Old Age Security Pension)</v>
      </c>
      <c r="E26" s="61" t="str">
        <f t="shared" si="0"/>
        <v>Canada basic  |  Pension de la Securite Vieillesse (S.V.) (Old Age Security Pension)</v>
      </c>
      <c r="F26" s="62">
        <f>Original!N$31</f>
        <v>0.12557590302920207</v>
      </c>
      <c r="G26" s="5"/>
      <c r="H26" s="61" t="str">
        <f t="shared" si="1"/>
        <v>Canada basic  |  Pension de la Securite Vieillesse (S.V.) (Old Age Security Pension)</v>
      </c>
      <c r="I26" s="139">
        <f>Original!T$31</f>
        <v>33.997504678727388</v>
      </c>
      <c r="J26" s="109"/>
      <c r="K26" s="61" t="str">
        <f t="shared" si="2"/>
        <v>Canada basic  |  Pension de la Securite Vieillesse (S.V.) (Old Age Security Pension)</v>
      </c>
      <c r="L26" s="139">
        <f>Original!U$31</f>
        <v>15.269823479966377</v>
      </c>
      <c r="M26" s="109"/>
      <c r="N26" s="61" t="str">
        <f t="shared" si="3"/>
        <v>Canada basic  |  Pension de la Securite Vieillesse (S.V.) (Old Age Security Pension)</v>
      </c>
      <c r="O26" s="140">
        <f>Original!M$31</f>
        <v>547</v>
      </c>
      <c r="Q26" s="162" t="str">
        <f t="shared" si="4"/>
        <v>Canada basic  |  Pension de la Securite Vieillesse (S.V.) (Old Age Security Pension)</v>
      </c>
      <c r="R26" s="163">
        <f>Original!O$31</f>
        <v>432.44195356285024</v>
      </c>
      <c r="T26" s="113" t="str">
        <f t="shared" si="5"/>
        <v>Canada basic  |  Pension de la Securite Vieillesse (S.V.) (Old Age Security Pension)</v>
      </c>
      <c r="U26" s="114">
        <f>IF(Original!AD$31="no data", "", Original!AD$31)</f>
        <v>96.095065306777698</v>
      </c>
      <c r="V26" s="4">
        <f>IF(Original!AD31="no data", "", 1)</f>
        <v>1</v>
      </c>
    </row>
    <row r="27" spans="1:22">
      <c r="A27" s="4">
        <f>Original!A32</f>
        <v>1</v>
      </c>
      <c r="B27" s="4" t="str">
        <f>Original!C32</f>
        <v>Cape Verde</v>
      </c>
      <c r="C27" s="4" t="s">
        <v>289</v>
      </c>
      <c r="D27" s="4" t="str">
        <f>Original!G32</f>
        <v>Pensao Social Minima (Minimum Social Pension)</v>
      </c>
      <c r="E27" s="61" t="str">
        <f t="shared" si="0"/>
        <v>Cape Verde  |  Pensao Social Minima (Minimum Social Pension)</v>
      </c>
      <c r="F27" s="62">
        <f>Original!N$32</f>
        <v>0.22269522771067687</v>
      </c>
      <c r="G27" s="5"/>
      <c r="H27" s="61" t="str">
        <f t="shared" si="1"/>
        <v>Cape Verde  |  Pensao Social Minima (Minimum Social Pension)</v>
      </c>
      <c r="I27" s="139" t="str">
        <f>Original!T$32</f>
        <v>no data</v>
      </c>
      <c r="J27" s="109"/>
      <c r="K27" s="61" t="str">
        <f t="shared" si="2"/>
        <v>Cape Verde  |  Pensao Social Minima (Minimum Social Pension)</v>
      </c>
      <c r="L27" s="139" t="str">
        <f>Original!U$32</f>
        <v>no data</v>
      </c>
      <c r="M27" s="109"/>
      <c r="N27" s="61" t="str">
        <f t="shared" si="3"/>
        <v>Cape Verde  |  Pensao Social Minima (Minimum Social Pension)</v>
      </c>
      <c r="O27" s="140">
        <f>Original!M$32</f>
        <v>59.737156511350058</v>
      </c>
      <c r="Q27" s="162" t="str">
        <f t="shared" si="4"/>
        <v>Cape Verde  |  Pensao Social Minima (Minimum Social Pension)</v>
      </c>
      <c r="R27" s="163">
        <f>Original!O$32</f>
        <v>69.226189652069166</v>
      </c>
      <c r="T27" s="113" t="str">
        <f t="shared" si="5"/>
        <v>Cape Verde  |  Pensao Social Minima (Minimum Social Pension)</v>
      </c>
      <c r="U27" s="114">
        <f>IF(Original!AD$32="no data", "", Original!AD$32)</f>
        <v>37.468684651856144</v>
      </c>
      <c r="V27" s="4">
        <f>IF(Original!AD32="no data", "", 1)</f>
        <v>1</v>
      </c>
    </row>
    <row r="28" spans="1:22">
      <c r="A28" s="4">
        <f>Original!A33</f>
        <v>1</v>
      </c>
      <c r="B28" s="4" t="str">
        <f>Original!C33</f>
        <v>Chile</v>
      </c>
      <c r="C28" s="4" t="s">
        <v>289</v>
      </c>
      <c r="D28" s="4" t="str">
        <f>Original!G33</f>
        <v>Pension Basica Solidaria de Vejez (PBS-Vejez)</v>
      </c>
      <c r="E28" s="61" t="str">
        <f t="shared" si="0"/>
        <v>Chile  |  Pension Basica Solidaria de Vejez (PBS-Vejez)</v>
      </c>
      <c r="F28" s="62">
        <f>Original!N$33</f>
        <v>0.13629576476424357</v>
      </c>
      <c r="G28" s="5"/>
      <c r="H28" s="61" t="str">
        <f t="shared" si="1"/>
        <v>Chile  |  Pension Basica Solidaria de Vejez (PBS-Vejez)</v>
      </c>
      <c r="I28" s="139">
        <f>Original!T$33</f>
        <v>47.544848484848487</v>
      </c>
      <c r="J28" s="109"/>
      <c r="K28" s="61" t="str">
        <f t="shared" si="2"/>
        <v>Chile  |  Pension Basica Solidaria de Vejez (PBS-Vejez)</v>
      </c>
      <c r="L28" s="139">
        <f>Original!U$33</f>
        <v>21.019449602246389</v>
      </c>
      <c r="M28" s="109"/>
      <c r="N28" s="61" t="str">
        <f t="shared" si="3"/>
        <v>Chile  |  Pension Basica Solidaria de Vejez (PBS-Vejez)</v>
      </c>
      <c r="O28" s="140">
        <f>Original!M$33</f>
        <v>157.68643216080403</v>
      </c>
      <c r="Q28" s="162" t="str">
        <f t="shared" si="4"/>
        <v>Chile  |  Pension Basica Solidaria de Vejez (PBS-Vejez)</v>
      </c>
      <c r="R28" s="163">
        <f>Original!O$33</f>
        <v>195.60366128843245</v>
      </c>
      <c r="T28" s="113" t="str">
        <f t="shared" si="5"/>
        <v>Chile  |  Pension Basica Solidaria de Vejez (PBS-Vejez)</v>
      </c>
      <c r="U28" s="114">
        <f>IF(Original!AD$33="no data", "", Original!AD$33)</f>
        <v>51.197644022933233</v>
      </c>
      <c r="V28" s="4">
        <f>IF(Original!AD33="no data", "", 1)</f>
        <v>1</v>
      </c>
    </row>
    <row r="29" spans="1:22">
      <c r="A29" s="4">
        <f>Original!A34</f>
        <v>1</v>
      </c>
      <c r="B29" s="4" t="str">
        <f>Original!C34</f>
        <v>Colombia</v>
      </c>
      <c r="C29" s="4" t="s">
        <v>289</v>
      </c>
      <c r="D29" s="4" t="str">
        <f>Original!G34</f>
        <v>Programa de Proteccion Social al Adulto Mayor (PPSAM) (Social Protection Programme for Older People) (Regional scheme)</v>
      </c>
      <c r="E29" s="61" t="str">
        <f t="shared" si="0"/>
        <v>Colombia  |  Programa de Proteccion Social al Adulto Mayor (PPSAM) (Social Protection Programme for Older People) (Regional scheme)</v>
      </c>
      <c r="F29" s="62">
        <f>Original!N$34</f>
        <v>5.1453174785808312E-2</v>
      </c>
      <c r="G29" s="5"/>
      <c r="H29" s="61" t="str">
        <f t="shared" si="1"/>
        <v>Colombia  |  Programa de Proteccion Social al Adulto Mayor (PPSAM) (Social Protection Programme for Older People) (Regional scheme)</v>
      </c>
      <c r="I29" s="139">
        <f>Original!T$34</f>
        <v>12.074864157778226</v>
      </c>
      <c r="J29" s="109"/>
      <c r="K29" s="61" t="str">
        <f t="shared" si="2"/>
        <v>Colombia  |  Programa de Proteccion Social al Adulto Mayor (PPSAM) (Social Protection Programme for Older People) (Regional scheme)</v>
      </c>
      <c r="L29" s="139">
        <f>Original!U$34</f>
        <v>6.5082769011490367</v>
      </c>
      <c r="M29" s="109"/>
      <c r="N29" s="61" t="str">
        <f t="shared" si="3"/>
        <v>Colombia  |  Programa de Proteccion Social al Adulto Mayor (PPSAM) (Social Protection Programme for Older People) (Regional scheme)</v>
      </c>
      <c r="O29" s="140">
        <f>Original!M$34</f>
        <v>33.955857385398978</v>
      </c>
      <c r="Q29" s="162" t="str">
        <f t="shared" si="4"/>
        <v>Colombia  |  Programa de Proteccion Social al Adulto Mayor (PPSAM) (Social Protection Programme for Older People) (Regional scheme)</v>
      </c>
      <c r="R29" s="163">
        <f>Original!O$34</f>
        <v>45.428836862775384</v>
      </c>
      <c r="T29" s="113" t="str">
        <f t="shared" si="5"/>
        <v>Colombia  |  Programa de Proteccion Social al Adulto Mayor (PPSAM) (Social Protection Programme for Older People) (Regional scheme)</v>
      </c>
      <c r="U29" s="114">
        <f>IF(Original!AD$34="no data", "", Original!AD$34)</f>
        <v>9.112354551407547</v>
      </c>
      <c r="V29" s="4">
        <f>IF(Original!AD34="no data", "", 1)</f>
        <v>1</v>
      </c>
    </row>
    <row r="30" spans="1:22">
      <c r="A30" s="4">
        <f>Original!A35</f>
        <v>1</v>
      </c>
      <c r="B30" s="4" t="str">
        <f>Original!C35</f>
        <v>Cook Islands</v>
      </c>
      <c r="C30" s="4" t="s">
        <v>289</v>
      </c>
      <c r="D30" s="4" t="str">
        <f>Original!G35</f>
        <v>Old Age Pension</v>
      </c>
      <c r="E30" s="61" t="str">
        <f t="shared" si="0"/>
        <v>Cook Islands  |  Old Age Pension</v>
      </c>
      <c r="F30" s="62" t="str">
        <f>Original!N$35</f>
        <v>no data</v>
      </c>
      <c r="G30" s="5"/>
      <c r="H30" s="61" t="str">
        <f t="shared" si="1"/>
        <v>Cook Islands  |  Old Age Pension</v>
      </c>
      <c r="I30" s="139" t="str">
        <f>Original!T$35</f>
        <v>no data</v>
      </c>
      <c r="J30" s="109"/>
      <c r="K30" s="61" t="str">
        <f t="shared" si="2"/>
        <v>Cook Islands  |  Old Age Pension</v>
      </c>
      <c r="L30" s="139" t="str">
        <f>Original!U$35</f>
        <v>no data</v>
      </c>
      <c r="M30" s="109"/>
      <c r="N30" s="61" t="str">
        <f t="shared" si="3"/>
        <v>Cook Islands  |  Old Age Pension</v>
      </c>
      <c r="O30" s="140">
        <f>Original!M$35</f>
        <v>325.48639873711278</v>
      </c>
      <c r="Q30" s="162" t="str">
        <f t="shared" si="4"/>
        <v>Cook Islands  |  Old Age Pension</v>
      </c>
      <c r="R30" s="163" t="str">
        <f>Original!O$35</f>
        <v>no data</v>
      </c>
      <c r="T30" s="113" t="str">
        <f t="shared" si="5"/>
        <v>Cook Islands  |  Old Age Pension</v>
      </c>
      <c r="U30" s="114" t="str">
        <f>IF(Original!AD$35="no data", "", Original!AD$35)</f>
        <v/>
      </c>
      <c r="V30" s="4" t="str">
        <f>IF(Original!AD35="no data", "", 1)</f>
        <v/>
      </c>
    </row>
    <row r="31" spans="1:22">
      <c r="A31" s="4">
        <f>Original!A36</f>
        <v>1</v>
      </c>
      <c r="B31" s="4" t="str">
        <f>Original!C36</f>
        <v>Costa Rica</v>
      </c>
      <c r="C31" s="4" t="s">
        <v>289</v>
      </c>
      <c r="D31" s="4" t="str">
        <f>Original!G36</f>
        <v>Programa Regimen No Contributivo</v>
      </c>
      <c r="E31" s="61" t="str">
        <f t="shared" si="0"/>
        <v>Costa Rica  |  Programa Regimen No Contributivo</v>
      </c>
      <c r="F31" s="62">
        <f>Original!N$36</f>
        <v>0.20153562935961622</v>
      </c>
      <c r="G31" s="5"/>
      <c r="H31" s="61" t="str">
        <f t="shared" si="1"/>
        <v>Costa Rica  |  Programa Regimen No Contributivo</v>
      </c>
      <c r="I31" s="139">
        <f>Original!T$36</f>
        <v>41.023885993085173</v>
      </c>
      <c r="J31" s="109"/>
      <c r="K31" s="61" t="str">
        <f t="shared" si="2"/>
        <v>Costa Rica  |  Programa Regimen No Contributivo</v>
      </c>
      <c r="L31" s="139">
        <f>Original!U$36</f>
        <v>22.654437846883461</v>
      </c>
      <c r="M31" s="109"/>
      <c r="N31" s="61" t="str">
        <f t="shared" si="3"/>
        <v>Costa Rica  |  Programa Regimen No Contributivo</v>
      </c>
      <c r="O31" s="140">
        <f>Original!M$36</f>
        <v>140.86699744882586</v>
      </c>
      <c r="Q31" s="162" t="str">
        <f t="shared" si="4"/>
        <v>Costa Rica  |  Programa Regimen No Contributivo</v>
      </c>
      <c r="R31" s="163">
        <f>Original!O$36</f>
        <v>190.4354556193735</v>
      </c>
      <c r="T31" s="113" t="str">
        <f t="shared" si="5"/>
        <v>Costa Rica  |  Programa Regimen No Contributivo</v>
      </c>
      <c r="U31" s="114">
        <f>IF(Original!AD$36="no data", "", Original!AD$36)</f>
        <v>16.93084850479832</v>
      </c>
      <c r="V31" s="4">
        <f>IF(Original!AD36="no data", "", 1)</f>
        <v>1</v>
      </c>
    </row>
    <row r="32" spans="1:22">
      <c r="A32" s="4">
        <f>Original!A37</f>
        <v>1</v>
      </c>
      <c r="B32" s="4" t="str">
        <f>Original!C37</f>
        <v>Cyprus</v>
      </c>
      <c r="C32" s="4" t="s">
        <v>289</v>
      </c>
      <c r="D32" s="4" t="str">
        <f>Original!G37</f>
        <v>Social Pension Scheme</v>
      </c>
      <c r="E32" s="61" t="str">
        <f t="shared" si="0"/>
        <v>Cyprus  |  Social Pension Scheme</v>
      </c>
      <c r="F32" s="62">
        <f>Original!N$37</f>
        <v>0.17750605090818924</v>
      </c>
      <c r="G32" s="5"/>
      <c r="H32" s="61" t="str">
        <f t="shared" si="1"/>
        <v>Cyprus  |  Social Pension Scheme</v>
      </c>
      <c r="I32" s="139">
        <f>Original!T$37</f>
        <v>41.087231352718078</v>
      </c>
      <c r="J32" s="109"/>
      <c r="K32" s="61" t="str">
        <f t="shared" si="2"/>
        <v>Cyprus  |  Social Pension Scheme</v>
      </c>
      <c r="L32" s="139">
        <f>Original!U$37</f>
        <v>17.087276550998947</v>
      </c>
      <c r="M32" s="109"/>
      <c r="N32" s="61" t="str">
        <f t="shared" si="3"/>
        <v>Cyprus  |  Social Pension Scheme</v>
      </c>
      <c r="O32" s="140">
        <f>Original!M$37</f>
        <v>429.70888214870303</v>
      </c>
      <c r="Q32" s="162" t="str">
        <f t="shared" si="4"/>
        <v>Cyprus  |  Social Pension Scheme</v>
      </c>
      <c r="R32" s="163">
        <f>Original!O$37</f>
        <v>429.8941798941799</v>
      </c>
      <c r="T32" s="113" t="str">
        <f t="shared" si="5"/>
        <v>Cyprus  |  Social Pension Scheme</v>
      </c>
      <c r="U32" s="114">
        <f>IF(Original!AD$37="no data", "", Original!AD$37)</f>
        <v>12.633127977452425</v>
      </c>
      <c r="V32" s="4">
        <f>IF(Original!AD37="no data", "", 1)</f>
        <v>1</v>
      </c>
    </row>
    <row r="33" spans="1:22">
      <c r="A33" s="4">
        <f>Original!A38</f>
        <v>1</v>
      </c>
      <c r="B33" s="4" t="str">
        <f>Original!C38</f>
        <v>Czech republic</v>
      </c>
      <c r="C33" s="4" t="s">
        <v>289</v>
      </c>
      <c r="D33" s="4" t="str">
        <f>Original!G38</f>
        <v>Basic pension</v>
      </c>
      <c r="E33" s="61" t="str">
        <f t="shared" si="0"/>
        <v>Czech republic  |  Basic pension</v>
      </c>
      <c r="F33" s="62">
        <f>Original!N$38</f>
        <v>6.528982497002668E-2</v>
      </c>
      <c r="G33" s="5"/>
      <c r="H33" s="61" t="str">
        <f t="shared" si="1"/>
        <v>Czech republic  |  Basic pension</v>
      </c>
      <c r="I33" s="139">
        <f>Original!T$38</f>
        <v>23.697916666666664</v>
      </c>
      <c r="J33" s="109"/>
      <c r="K33" s="61" t="str">
        <f t="shared" si="2"/>
        <v>Czech republic  |  Basic pension</v>
      </c>
      <c r="L33" s="139">
        <f>Original!U$38</f>
        <v>7.1066211842910869</v>
      </c>
      <c r="M33" s="109"/>
      <c r="N33" s="61" t="str">
        <f t="shared" si="3"/>
        <v>Czech republic  |  Basic pension</v>
      </c>
      <c r="O33" s="140">
        <f>Original!M$38</f>
        <v>99.459686303310079</v>
      </c>
      <c r="Q33" s="162" t="str">
        <f t="shared" si="4"/>
        <v>Czech republic  |  Basic pension</v>
      </c>
      <c r="R33" s="163">
        <f>Original!O$38</f>
        <v>140.22999999999999</v>
      </c>
      <c r="T33" s="113" t="str">
        <f t="shared" si="5"/>
        <v>Czech republic  |  Basic pension</v>
      </c>
      <c r="U33" s="114" t="str">
        <f>IF(Original!AD$38="no data", "", Original!AD$38)</f>
        <v/>
      </c>
      <c r="V33" s="4" t="str">
        <f>IF(Original!AD38="no data", "", 1)</f>
        <v/>
      </c>
    </row>
    <row r="34" spans="1:22">
      <c r="A34" s="4">
        <f>Original!A39</f>
        <v>1</v>
      </c>
      <c r="B34" s="4" t="str">
        <f>Original!C39</f>
        <v>Czech republic</v>
      </c>
      <c r="C34" s="4" t="s">
        <v>289</v>
      </c>
      <c r="D34" s="4" t="str">
        <f>Original!G39</f>
        <v>Targeted pension</v>
      </c>
      <c r="E34" s="61" t="str">
        <f t="shared" si="0"/>
        <v>Czech republic  |  Targeted pension</v>
      </c>
      <c r="F34" s="62">
        <f>Original!N$39</f>
        <v>0.10766682785951902</v>
      </c>
      <c r="G34" s="5"/>
      <c r="H34" s="61" t="str">
        <f t="shared" si="1"/>
        <v>Czech republic  |  Targeted pension</v>
      </c>
      <c r="I34" s="139">
        <f>Original!T$39</f>
        <v>39.074999999999996</v>
      </c>
      <c r="J34" s="109"/>
      <c r="K34" s="61" t="str">
        <f t="shared" si="2"/>
        <v>Czech republic  |  Targeted pension</v>
      </c>
      <c r="L34" s="139">
        <f>Original!U$39</f>
        <v>11.717959290774825</v>
      </c>
      <c r="M34" s="109"/>
      <c r="N34" s="61" t="str">
        <f t="shared" si="3"/>
        <v>Czech republic  |  Targeted pension</v>
      </c>
      <c r="O34" s="140">
        <f>Original!M$39</f>
        <v>163.69999999999999</v>
      </c>
      <c r="Q34" s="162" t="str">
        <f t="shared" si="4"/>
        <v>Czech republic  |  Targeted pension</v>
      </c>
      <c r="R34" s="163">
        <f>Original!O$39</f>
        <v>226.8</v>
      </c>
      <c r="T34" s="113" t="str">
        <f t="shared" si="5"/>
        <v>Czech republic  |  Targeted pension</v>
      </c>
      <c r="U34" s="114" t="str">
        <f>IF(Original!AD$39="no data", "", Original!AD$39)</f>
        <v/>
      </c>
      <c r="V34" s="4" t="str">
        <f>IF(Original!AD39="no data", "", 1)</f>
        <v/>
      </c>
    </row>
    <row r="35" spans="1:22">
      <c r="A35" s="4">
        <f>Original!A40</f>
        <v>0</v>
      </c>
      <c r="B35" s="4" t="str">
        <f>Original!C40</f>
        <v>Czech republic</v>
      </c>
      <c r="C35" s="4" t="s">
        <v>289</v>
      </c>
      <c r="D35" s="4" t="str">
        <f>Original!G40</f>
        <v>Minimum pension</v>
      </c>
      <c r="E35" s="61" t="str">
        <f t="shared" si="0"/>
        <v>Czech republic  |  Minimum pension</v>
      </c>
      <c r="F35" s="62">
        <f>Original!N$40</f>
        <v>9.180753849631447E-2</v>
      </c>
      <c r="G35" s="5"/>
      <c r="H35" s="61" t="str">
        <f t="shared" si="1"/>
        <v>Czech republic  |  Minimum pension</v>
      </c>
      <c r="I35" s="139">
        <f>Original!T$40</f>
        <v>33.322916666666671</v>
      </c>
      <c r="J35" s="109"/>
      <c r="K35" s="61" t="str">
        <f t="shared" si="2"/>
        <v>Czech republic  |  Minimum pension</v>
      </c>
      <c r="L35" s="139">
        <f>Original!U$40</f>
        <v>9.9930027114493143</v>
      </c>
      <c r="M35" s="109"/>
      <c r="N35" s="61" t="str">
        <f t="shared" si="3"/>
        <v>Czech republic  |  Minimum pension</v>
      </c>
      <c r="O35" s="140">
        <f>Original!M$40</f>
        <v>139.58704227318745</v>
      </c>
      <c r="Q35" s="162" t="str">
        <f t="shared" si="4"/>
        <v>Czech republic  |  Minimum pension</v>
      </c>
      <c r="R35" s="163">
        <f>Original!O$40</f>
        <v>193.43324610536868</v>
      </c>
      <c r="T35" s="113" t="str">
        <f t="shared" si="5"/>
        <v>Czech republic  |  Minimum pension</v>
      </c>
      <c r="U35" s="114" t="str">
        <f>IF(Original!AD$40="no data", "", Original!AD$40)</f>
        <v/>
      </c>
      <c r="V35" s="4" t="str">
        <f>IF(Original!AD40="no data", "", 1)</f>
        <v/>
      </c>
    </row>
    <row r="36" spans="1:22">
      <c r="A36" s="4">
        <f>Original!A41</f>
        <v>1</v>
      </c>
      <c r="B36" s="4" t="str">
        <f>Original!C41</f>
        <v>Denmark</v>
      </c>
      <c r="C36" s="4" t="s">
        <v>289</v>
      </c>
      <c r="D36" s="4" t="str">
        <f>Original!G41</f>
        <v>Folkepension [national pension - Universal basic pension]</v>
      </c>
      <c r="E36" s="61" t="str">
        <f t="shared" si="0"/>
        <v>Denmark  |  Folkepension [national pension - Universal basic pension]</v>
      </c>
      <c r="F36" s="62">
        <f>Original!N$41</f>
        <v>0.22654646838142631</v>
      </c>
      <c r="G36" s="5"/>
      <c r="H36" s="61" t="str">
        <f t="shared" si="1"/>
        <v>Denmark  |  Folkepension [national pension - Universal basic pension]</v>
      </c>
      <c r="I36" s="139" t="str">
        <f>Original!T$41</f>
        <v>no data</v>
      </c>
      <c r="J36" s="109"/>
      <c r="K36" s="61" t="str">
        <f t="shared" si="2"/>
        <v>Denmark  |  Folkepension [national pension - Universal basic pension]</v>
      </c>
      <c r="L36" s="139">
        <f>Original!U$41</f>
        <v>14.306105073371061</v>
      </c>
      <c r="M36" s="109"/>
      <c r="N36" s="61" t="str">
        <f t="shared" si="3"/>
        <v>Denmark  |  Folkepension [national pension - Universal basic pension]</v>
      </c>
      <c r="O36" s="140">
        <f>Original!M$41</f>
        <v>1015.2329366941044</v>
      </c>
      <c r="Q36" s="162" t="str">
        <f t="shared" si="4"/>
        <v>Denmark  |  Folkepension [national pension - Universal basic pension]</v>
      </c>
      <c r="R36" s="163">
        <f>Original!O$41</f>
        <v>669.20463863183784</v>
      </c>
      <c r="T36" s="113" t="str">
        <f t="shared" si="5"/>
        <v>Denmark  |  Folkepension [national pension - Universal basic pension]</v>
      </c>
      <c r="U36" s="114">
        <f>IF(Original!AD$41="no data", "", Original!AD$41)</f>
        <v>93.9856125207655</v>
      </c>
      <c r="V36" s="4">
        <f>IF(Original!AD41="no data", "", 1)</f>
        <v>1</v>
      </c>
    </row>
    <row r="37" spans="1:22">
      <c r="A37" s="4">
        <f>Original!A42</f>
        <v>1</v>
      </c>
      <c r="B37" s="4" t="str">
        <f>Original!C42</f>
        <v>Dominican republic</v>
      </c>
      <c r="C37" s="4" t="s">
        <v>289</v>
      </c>
      <c r="D37" s="4" t="str">
        <f>Original!G42</f>
        <v>Programa Nonagenarios (Nonagarians Programme)</v>
      </c>
      <c r="E37" s="61" t="str">
        <f t="shared" si="0"/>
        <v>Dominican republic  |  Programa Nonagenarios (Nonagarians Programme)</v>
      </c>
      <c r="F37" s="62">
        <f>Original!N$42</f>
        <v>0.1719080054879179</v>
      </c>
      <c r="G37" s="5"/>
      <c r="H37" s="61" t="str">
        <f t="shared" si="1"/>
        <v>Dominican republic  |  Programa Nonagenarios (Nonagarians Programme)</v>
      </c>
      <c r="I37" s="139">
        <f>Original!T$42</f>
        <v>59.53858084528887</v>
      </c>
      <c r="J37" s="109"/>
      <c r="K37" s="61" t="str">
        <f t="shared" si="2"/>
        <v>Dominican republic  |  Programa Nonagenarios (Nonagarians Programme)</v>
      </c>
      <c r="L37" s="139">
        <f>Original!U$42</f>
        <v>27.918181818181822</v>
      </c>
      <c r="M37" s="109"/>
      <c r="N37" s="61" t="str">
        <f t="shared" si="3"/>
        <v>Dominican republic  |  Programa Nonagenarios (Nonagarians Programme)</v>
      </c>
      <c r="O37" s="140">
        <f>Original!M$42</f>
        <v>79.034749034749026</v>
      </c>
      <c r="Q37" s="162" t="str">
        <f t="shared" si="4"/>
        <v>Dominican republic  |  Programa Nonagenarios (Nonagarians Programme)</v>
      </c>
      <c r="R37" s="163">
        <f>Original!O$42</f>
        <v>133.0372616984402</v>
      </c>
      <c r="T37" s="113" t="str">
        <f t="shared" si="5"/>
        <v>Dominican republic  |  Programa Nonagenarios (Nonagarians Programme)</v>
      </c>
      <c r="U37" s="114" t="str">
        <f>IF(Original!AD$42="no data", "", Original!AD$42)</f>
        <v/>
      </c>
      <c r="V37" s="4" t="str">
        <f>IF(Original!AD42="no data", "", 1)</f>
        <v/>
      </c>
    </row>
    <row r="38" spans="1:22">
      <c r="A38" s="4">
        <f>Original!A43</f>
        <v>1</v>
      </c>
      <c r="B38" s="4" t="str">
        <f>Original!C43</f>
        <v>Ecuador</v>
      </c>
      <c r="C38" s="4" t="s">
        <v>289</v>
      </c>
      <c r="D38" s="4" t="str">
        <f>Original!G43</f>
        <v>Pension para Adultos Mayores (Pension for Older People/ Bono de Desarollo Humano )</v>
      </c>
      <c r="E38" s="61" t="str">
        <f t="shared" si="0"/>
        <v>Ecuador  |  Pension para Adultos Mayores (Pension for Older People/ Bono de Desarollo Humano )</v>
      </c>
      <c r="F38" s="62">
        <f>Original!N$43</f>
        <v>0.11765635268668281</v>
      </c>
      <c r="G38" s="5"/>
      <c r="H38" s="61" t="str">
        <f t="shared" si="1"/>
        <v>Ecuador  |  Pension para Adultos Mayores (Pension for Older People/ Bono de Desarollo Humano )</v>
      </c>
      <c r="I38" s="139">
        <f>Original!T$43</f>
        <v>13.779527559055119</v>
      </c>
      <c r="J38" s="109"/>
      <c r="K38" s="61" t="str">
        <f t="shared" si="2"/>
        <v>Ecuador  |  Pension para Adultos Mayores (Pension for Older People/ Bono de Desarollo Humano )</v>
      </c>
      <c r="L38" s="139">
        <f>Original!U$43</f>
        <v>8.7281795511221958</v>
      </c>
      <c r="M38" s="109"/>
      <c r="N38" s="61" t="str">
        <f t="shared" si="3"/>
        <v>Ecuador  |  Pension para Adultos Mayores (Pension for Older People/ Bono de Desarollo Humano )</v>
      </c>
      <c r="O38" s="140">
        <f>Original!M$43</f>
        <v>35</v>
      </c>
      <c r="Q38" s="162" t="str">
        <f t="shared" si="4"/>
        <v>Ecuador  |  Pension para Adultos Mayores (Pension for Older People/ Bono de Desarollo Humano )</v>
      </c>
      <c r="R38" s="163">
        <f>Original!O$43</f>
        <v>74.309978768577494</v>
      </c>
      <c r="T38" s="113" t="str">
        <f t="shared" si="5"/>
        <v>Ecuador  |  Pension para Adultos Mayores (Pension for Older People/ Bono de Desarollo Humano )</v>
      </c>
      <c r="U38" s="114">
        <f>IF(Original!AD$43="no data", "", Original!AD$43)</f>
        <v>56.684322429035028</v>
      </c>
      <c r="V38" s="4">
        <f>IF(Original!AD43="no data", "", 1)</f>
        <v>1</v>
      </c>
    </row>
    <row r="39" spans="1:22">
      <c r="A39" s="4">
        <f>Original!A44</f>
        <v>1</v>
      </c>
      <c r="B39" s="4" t="str">
        <f>Original!C44</f>
        <v>El Salvador</v>
      </c>
      <c r="C39" s="4" t="s">
        <v>289</v>
      </c>
      <c r="D39" s="4" t="str">
        <f>Original!G44</f>
        <v>Pension Basica Universal (Universal basic pension)</v>
      </c>
      <c r="E39" s="61" t="str">
        <f t="shared" si="0"/>
        <v>El Salvador  |  Pension Basica Universal (Universal basic pension)</v>
      </c>
      <c r="F39" s="62">
        <f>Original!N$44</f>
        <v>0.16911808021665153</v>
      </c>
      <c r="G39" s="5"/>
      <c r="H39" s="61" t="str">
        <f t="shared" si="1"/>
        <v>El Salvador  |  Pension Basica Universal (Universal basic pension)</v>
      </c>
      <c r="I39" s="139">
        <f>Original!T$44</f>
        <v>28.40909090909091</v>
      </c>
      <c r="J39" s="109"/>
      <c r="K39" s="61" t="str">
        <f t="shared" si="2"/>
        <v>El Salvador  |  Pension Basica Universal (Universal basic pension)</v>
      </c>
      <c r="L39" s="139" t="str">
        <f>Original!U$44</f>
        <v>no data</v>
      </c>
      <c r="M39" s="109"/>
      <c r="N39" s="61" t="str">
        <f t="shared" si="3"/>
        <v>El Salvador  |  Pension Basica Universal (Universal basic pension)</v>
      </c>
      <c r="O39" s="140">
        <f>Original!M$44</f>
        <v>50</v>
      </c>
      <c r="Q39" s="162" t="str">
        <f t="shared" si="4"/>
        <v>El Salvador  |  Pension Basica Universal (Universal basic pension)</v>
      </c>
      <c r="R39" s="163">
        <f>Original!O$44</f>
        <v>101.6260162601626</v>
      </c>
      <c r="T39" s="113" t="str">
        <f t="shared" si="5"/>
        <v>El Salvador  |  Pension Basica Universal (Universal basic pension)</v>
      </c>
      <c r="U39" s="114">
        <f>IF(Original!AD$44="no data", "", Original!AD$44)</f>
        <v>4.4051579216724059</v>
      </c>
      <c r="V39" s="4">
        <f>IF(Original!AD44="no data", "", 1)</f>
        <v>1</v>
      </c>
    </row>
    <row r="40" spans="1:22">
      <c r="A40" s="4">
        <f>Original!A45</f>
        <v>1</v>
      </c>
      <c r="B40" s="4" t="str">
        <f>Original!C45</f>
        <v>Estonia</v>
      </c>
      <c r="C40" s="4" t="s">
        <v>289</v>
      </c>
      <c r="D40" s="4" t="str">
        <f>Original!G45</f>
        <v>National Pension</v>
      </c>
      <c r="E40" s="61" t="str">
        <f t="shared" si="0"/>
        <v>Estonia  |  National Pension</v>
      </c>
      <c r="F40" s="62">
        <f>Original!N$45</f>
        <v>0.12932917976403588</v>
      </c>
      <c r="G40" s="5"/>
      <c r="H40" s="61" t="str">
        <f t="shared" si="1"/>
        <v>Estonia  |  National Pension</v>
      </c>
      <c r="I40" s="139">
        <f>Original!T$45</f>
        <v>2.9528735632183905</v>
      </c>
      <c r="J40" s="109"/>
      <c r="K40" s="61" t="str">
        <f t="shared" si="2"/>
        <v>Estonia  |  National Pension</v>
      </c>
      <c r="L40" s="139">
        <f>Original!U$45</f>
        <v>1.0473744292237444</v>
      </c>
      <c r="M40" s="109"/>
      <c r="N40" s="61" t="str">
        <f t="shared" si="3"/>
        <v>Estonia  |  National Pension</v>
      </c>
      <c r="O40" s="140">
        <f>Original!M$45</f>
        <v>169.83327383549508</v>
      </c>
      <c r="Q40" s="162" t="str">
        <f t="shared" si="4"/>
        <v>Estonia  |  National Pension</v>
      </c>
      <c r="R40" s="163">
        <f>Original!O$45</f>
        <v>219.57264957264957</v>
      </c>
      <c r="T40" s="113" t="str">
        <f t="shared" si="5"/>
        <v>Estonia  |  National Pension</v>
      </c>
      <c r="U40" s="114">
        <f>IF(Original!AD$45="no data", "", Original!AD$45)</f>
        <v>4.8664698732418818</v>
      </c>
      <c r="V40" s="4">
        <f>IF(Original!AD45="no data", "", 1)</f>
        <v>1</v>
      </c>
    </row>
    <row r="41" spans="1:22">
      <c r="A41" s="4">
        <f>Original!A46</f>
        <v>1</v>
      </c>
      <c r="B41" s="4" t="str">
        <f>Original!C46</f>
        <v>Finland</v>
      </c>
      <c r="C41" s="4" t="s">
        <v>289</v>
      </c>
      <c r="D41" s="4" t="str">
        <f>Original!G46</f>
        <v>Kansanelake (Old Age Pension)</v>
      </c>
      <c r="E41" s="61" t="str">
        <f t="shared" si="0"/>
        <v>Finland  |  Kansanelake (Old Age Pension)</v>
      </c>
      <c r="F41" s="62">
        <f>Original!N$46</f>
        <v>0.20226384654072954</v>
      </c>
      <c r="G41" s="5"/>
      <c r="H41" s="61" t="str">
        <f t="shared" si="1"/>
        <v>Finland  |  Kansanelake (Old Age Pension)</v>
      </c>
      <c r="I41" s="139" t="str">
        <f>Original!T$46</f>
        <v>no data</v>
      </c>
      <c r="J41" s="109"/>
      <c r="K41" s="61" t="str">
        <f t="shared" si="2"/>
        <v>Finland  |  Kansanelake (Old Age Pension)</v>
      </c>
      <c r="L41" s="139">
        <f>Original!U$46</f>
        <v>20.603588354773191</v>
      </c>
      <c r="M41" s="109"/>
      <c r="N41" s="61" t="str">
        <f t="shared" si="3"/>
        <v>Finland  |  Kansanelake (Old Age Pension)</v>
      </c>
      <c r="O41" s="140">
        <f>Original!M$46</f>
        <v>804.71487313738714</v>
      </c>
      <c r="Q41" s="162" t="str">
        <f t="shared" si="4"/>
        <v>Finland  |  Kansanelake (Old Age Pension)</v>
      </c>
      <c r="R41" s="163">
        <f>Original!O$46</f>
        <v>619.15564598168874</v>
      </c>
      <c r="T41" s="113" t="str">
        <f t="shared" si="5"/>
        <v>Finland  |  Kansanelake (Old Age Pension)</v>
      </c>
      <c r="U41" s="114">
        <f>IF(Original!AD$46="no data", "", Original!AD$46)</f>
        <v>2</v>
      </c>
      <c r="V41" s="4">
        <f>IF(Original!AD46="no data", "", 1)</f>
        <v>1</v>
      </c>
    </row>
    <row r="42" spans="1:22">
      <c r="A42" s="4">
        <f>Original!A47</f>
        <v>1</v>
      </c>
      <c r="B42" s="4" t="str">
        <f>Original!C47</f>
        <v>France</v>
      </c>
      <c r="C42" s="4" t="s">
        <v>289</v>
      </c>
      <c r="D42" s="4" t="str">
        <f>Original!G47</f>
        <v>ASPA (allocation de solidarité aux personnes âgées)</v>
      </c>
      <c r="E42" s="61" t="str">
        <f t="shared" si="0"/>
        <v>France  |  ASPA (allocation de solidarité aux personnes âgées)</v>
      </c>
      <c r="F42" s="62">
        <f>Original!N$47</f>
        <v>0.27378361527747025</v>
      </c>
      <c r="G42" s="5"/>
      <c r="H42" s="61" t="str">
        <f t="shared" si="1"/>
        <v>France  |  ASPA (allocation de solidarité aux personnes âgées)</v>
      </c>
      <c r="I42" s="139">
        <f>Original!T$47</f>
        <v>55.455904334828098</v>
      </c>
      <c r="J42" s="109"/>
      <c r="K42" s="61" t="str">
        <f t="shared" si="2"/>
        <v>France  |  ASPA (allocation de solidarité aux personnes âgées)</v>
      </c>
      <c r="L42" s="139">
        <f>Original!U$47</f>
        <v>26.340078097266595</v>
      </c>
      <c r="M42" s="109"/>
      <c r="N42" s="61" t="str">
        <f t="shared" si="3"/>
        <v>France  |  ASPA (allocation de solidarité aux personnes âgées)</v>
      </c>
      <c r="O42" s="140">
        <f>Original!M$47</f>
        <v>981.41023098382982</v>
      </c>
      <c r="Q42" s="162" t="str">
        <f t="shared" si="4"/>
        <v>France  |  ASPA (allocation de solidarité aux personnes âgées)</v>
      </c>
      <c r="R42" s="163">
        <f>Original!O$47</f>
        <v>812.11159737417938</v>
      </c>
      <c r="T42" s="113" t="str">
        <f t="shared" si="5"/>
        <v>France  |  ASPA (allocation de solidarité aux personnes âgées)</v>
      </c>
      <c r="U42" s="114">
        <f>IF(Original!AD$47="no data", "", Original!AD$47)</f>
        <v>5</v>
      </c>
      <c r="V42" s="4">
        <f>IF(Original!AD47="no data", "", 1)</f>
        <v>1</v>
      </c>
    </row>
    <row r="43" spans="1:22">
      <c r="A43" s="4">
        <f>Original!A48</f>
        <v>0</v>
      </c>
      <c r="B43" s="4" t="str">
        <f>Original!C48</f>
        <v>France</v>
      </c>
      <c r="C43" s="4" t="s">
        <v>289</v>
      </c>
      <c r="D43" s="4" t="str">
        <f>Original!G48</f>
        <v>Minimum pension</v>
      </c>
      <c r="E43" s="61" t="str">
        <f t="shared" si="0"/>
        <v>France  |  Minimum pension</v>
      </c>
      <c r="F43" s="62">
        <f>Original!N$48</f>
        <v>0.25590798453930363</v>
      </c>
      <c r="G43" s="5"/>
      <c r="H43" s="61" t="str">
        <f t="shared" si="1"/>
        <v>France  |  Minimum pension</v>
      </c>
      <c r="I43" s="139">
        <f>Original!T$48</f>
        <v>47.483806676631787</v>
      </c>
      <c r="J43" s="109"/>
      <c r="K43" s="61" t="str">
        <f t="shared" si="2"/>
        <v>France  |  Minimum pension</v>
      </c>
      <c r="L43" s="139">
        <f>Original!U$48</f>
        <v>22.553543959294757</v>
      </c>
      <c r="M43" s="109"/>
      <c r="N43" s="61" t="str">
        <f t="shared" si="3"/>
        <v>France  |  Minimum pension</v>
      </c>
      <c r="O43" s="140">
        <f>Original!M$48</f>
        <v>841.50110375275949</v>
      </c>
      <c r="Q43" s="162" t="str">
        <f t="shared" si="4"/>
        <v>France  |  Minimum pension</v>
      </c>
      <c r="R43" s="163">
        <f>Original!O$48</f>
        <v>721.23108994754728</v>
      </c>
      <c r="T43" s="113" t="str">
        <f t="shared" si="5"/>
        <v>France  |  Minimum pension</v>
      </c>
      <c r="U43" s="114">
        <f>IF(Original!AD$48="no data", "", Original!AD$48)</f>
        <v>53</v>
      </c>
      <c r="V43" s="4">
        <f>IF(Original!AD48="no data", "", 1)</f>
        <v>1</v>
      </c>
    </row>
    <row r="44" spans="1:22">
      <c r="A44" s="4">
        <f>Original!A49</f>
        <v>1</v>
      </c>
      <c r="B44" s="4" t="str">
        <f>Original!C49</f>
        <v>Georgia</v>
      </c>
      <c r="C44" s="4" t="s">
        <v>289</v>
      </c>
      <c r="D44" s="4" t="str">
        <f>Original!G49</f>
        <v>Old Age Pension</v>
      </c>
      <c r="E44" s="61" t="str">
        <f t="shared" si="0"/>
        <v>Georgia  |  Old Age Pension</v>
      </c>
      <c r="F44" s="62">
        <f>Original!N$49</f>
        <v>0.20531597272719493</v>
      </c>
      <c r="G44" s="5"/>
      <c r="H44" s="61" t="str">
        <f t="shared" si="1"/>
        <v>Georgia  |  Old Age Pension</v>
      </c>
      <c r="I44" s="139">
        <f>Original!T$49</f>
        <v>400</v>
      </c>
      <c r="J44" s="109"/>
      <c r="K44" s="61" t="str">
        <f t="shared" si="2"/>
        <v>Georgia  |  Old Age Pension</v>
      </c>
      <c r="L44" s="139">
        <f>Original!U$49</f>
        <v>13.986013986013987</v>
      </c>
      <c r="M44" s="109"/>
      <c r="N44" s="61" t="str">
        <f t="shared" si="3"/>
        <v>Georgia  |  Old Age Pension</v>
      </c>
      <c r="O44" s="140">
        <f>Original!M$49</f>
        <v>49.15816640039327</v>
      </c>
      <c r="Q44" s="162" t="str">
        <f t="shared" si="4"/>
        <v>Georgia  |  Old Age Pension</v>
      </c>
      <c r="R44" s="163">
        <f>Original!O$49</f>
        <v>86.673889490790899</v>
      </c>
      <c r="T44" s="113" t="str">
        <f t="shared" si="5"/>
        <v>Georgia  |  Old Age Pension</v>
      </c>
      <c r="U44" s="114">
        <f>IF(Original!AD$49="no data", "", Original!AD$49)</f>
        <v>88.265157600228576</v>
      </c>
      <c r="V44" s="4">
        <f>IF(Original!AD49="no data", "", 1)</f>
        <v>1</v>
      </c>
    </row>
    <row r="45" spans="1:22">
      <c r="A45" s="4">
        <f>Original!A50</f>
        <v>1</v>
      </c>
      <c r="B45" s="4" t="str">
        <f>Original!C50</f>
        <v>Germany</v>
      </c>
      <c r="C45" s="4" t="s">
        <v>289</v>
      </c>
      <c r="D45" s="4" t="str">
        <f>Original!G50</f>
        <v>Targeted pension</v>
      </c>
      <c r="E45" s="61" t="str">
        <f t="shared" si="0"/>
        <v>Germany  |  Targeted pension</v>
      </c>
      <c r="F45" s="62">
        <f>Original!N$50</f>
        <v>0</v>
      </c>
      <c r="G45" s="5"/>
      <c r="H45" s="61" t="str">
        <f t="shared" si="1"/>
        <v>Germany  |  Targeted pension</v>
      </c>
      <c r="I45" s="139" t="str">
        <f>Original!T$50</f>
        <v>no data</v>
      </c>
      <c r="J45" s="109"/>
      <c r="K45" s="61" t="str">
        <f t="shared" si="2"/>
        <v>Germany  |  Targeted pension</v>
      </c>
      <c r="L45" s="139">
        <f>Original!U$50</f>
        <v>30.363321799307958</v>
      </c>
      <c r="M45" s="109"/>
      <c r="N45" s="61" t="str">
        <f t="shared" si="3"/>
        <v>Germany  |  Targeted pension</v>
      </c>
      <c r="O45" s="140">
        <f>Original!M$50</f>
        <v>0</v>
      </c>
      <c r="Q45" s="162" t="str">
        <f t="shared" si="4"/>
        <v>Germany  |  Targeted pension</v>
      </c>
      <c r="R45" s="163">
        <f>Original!O$50</f>
        <v>0</v>
      </c>
      <c r="T45" s="113" t="str">
        <f t="shared" si="5"/>
        <v>Germany  |  Targeted pension</v>
      </c>
      <c r="U45" s="114">
        <f>IF(Original!AD$50="no data", "", Original!AD$50)</f>
        <v>2</v>
      </c>
      <c r="V45" s="4">
        <f>IF(Original!AD50="no data", "", 1)</f>
        <v>1</v>
      </c>
    </row>
    <row r="46" spans="1:22">
      <c r="A46" s="4">
        <f>Original!A51</f>
        <v>1</v>
      </c>
      <c r="B46" s="4" t="str">
        <f>Original!C51</f>
        <v>Greece</v>
      </c>
      <c r="C46" s="4" t="s">
        <v>289</v>
      </c>
      <c r="D46" s="4" t="str">
        <f>Original!G51</f>
        <v>Pension to uninsured elderly</v>
      </c>
      <c r="E46" s="61" t="str">
        <f t="shared" si="0"/>
        <v>Greece  |  Pension to uninsured elderly</v>
      </c>
      <c r="F46" s="62">
        <f>Original!N$51</f>
        <v>0.18615171336434386</v>
      </c>
      <c r="G46" s="5"/>
      <c r="H46" s="61" t="str">
        <f t="shared" si="1"/>
        <v>Greece  |  Pension to uninsured elderly</v>
      </c>
      <c r="I46" s="139">
        <f>Original!T$51</f>
        <v>38.238702201622246</v>
      </c>
      <c r="J46" s="109"/>
      <c r="K46" s="61" t="str">
        <f t="shared" si="2"/>
        <v>Greece  |  Pension to uninsured elderly</v>
      </c>
      <c r="L46" s="139">
        <f>Original!U$51</f>
        <v>19.108280254777071</v>
      </c>
      <c r="M46" s="109"/>
      <c r="N46" s="61" t="str">
        <f t="shared" si="3"/>
        <v>Greece  |  Pension to uninsured elderly</v>
      </c>
      <c r="O46" s="140">
        <f>Original!M$51</f>
        <v>436.3174804648765</v>
      </c>
      <c r="Q46" s="162" t="str">
        <f t="shared" si="4"/>
        <v>Greece  |  Pension to uninsured elderly</v>
      </c>
      <c r="R46" s="163">
        <f>Original!O$51</f>
        <v>451.43638850889192</v>
      </c>
      <c r="T46" s="113" t="str">
        <f t="shared" si="5"/>
        <v>Greece  |  Pension to uninsured elderly</v>
      </c>
      <c r="U46" s="114">
        <f>IF(Original!AD$51="no data", "", Original!AD$51)</f>
        <v>14.460017791729458</v>
      </c>
      <c r="V46" s="4">
        <f>IF(Original!AD51="no data", "", 1)</f>
        <v>1</v>
      </c>
    </row>
    <row r="47" spans="1:22">
      <c r="A47" s="4">
        <f>Original!A52</f>
        <v>0</v>
      </c>
      <c r="B47" s="4" t="str">
        <f>Original!C52</f>
        <v>Greece</v>
      </c>
      <c r="C47" s="4" t="s">
        <v>289</v>
      </c>
      <c r="D47" s="4" t="str">
        <f>Original!G52</f>
        <v>Minimum pension</v>
      </c>
      <c r="E47" s="61" t="str">
        <f t="shared" si="0"/>
        <v>Greece  |  Minimum pension</v>
      </c>
      <c r="F47" s="62">
        <f>Original!N$52</f>
        <v>0</v>
      </c>
      <c r="G47" s="5"/>
      <c r="H47" s="61" t="str">
        <f t="shared" si="1"/>
        <v>Greece  |  Minimum pension</v>
      </c>
      <c r="I47" s="139">
        <f>Original!T$52</f>
        <v>66.07763615295481</v>
      </c>
      <c r="J47" s="109"/>
      <c r="K47" s="61" t="str">
        <f t="shared" si="2"/>
        <v>Greece  |  Minimum pension</v>
      </c>
      <c r="L47" s="139">
        <f>Original!U$52</f>
        <v>33.019687319050377</v>
      </c>
      <c r="M47" s="109"/>
      <c r="N47" s="61" t="str">
        <f t="shared" si="3"/>
        <v>Greece  |  Minimum pension</v>
      </c>
      <c r="O47" s="140">
        <f>Original!M$52</f>
        <v>0</v>
      </c>
      <c r="Q47" s="162" t="str">
        <f t="shared" si="4"/>
        <v>Greece  |  Minimum pension</v>
      </c>
      <c r="R47" s="163">
        <f>Original!O$52</f>
        <v>0</v>
      </c>
      <c r="T47" s="113" t="str">
        <f t="shared" si="5"/>
        <v>Greece  |  Minimum pension</v>
      </c>
      <c r="U47" s="114">
        <f>IF(Original!AD$52="no data", "", Original!AD$52)</f>
        <v>60</v>
      </c>
      <c r="V47" s="4">
        <f>IF(Original!AD52="no data", "", 1)</f>
        <v>1</v>
      </c>
    </row>
    <row r="48" spans="1:22">
      <c r="A48" s="4">
        <f>Original!A53</f>
        <v>1</v>
      </c>
      <c r="B48" s="4" t="str">
        <f>Original!C53</f>
        <v>Guatemala</v>
      </c>
      <c r="C48" s="4" t="s">
        <v>289</v>
      </c>
      <c r="D48" s="4" t="str">
        <f>Original!G53</f>
        <v>Programa de aporte economico o del Adulto Mayor (Economic contribution programme for older people)</v>
      </c>
      <c r="E48" s="61" t="str">
        <f t="shared" si="0"/>
        <v>Guatemala  |  Programa de aporte economico o del Adulto Mayor (Economic contribution programme for older people)</v>
      </c>
      <c r="F48" s="62">
        <f>Original!N$53</f>
        <v>0.19518394195684993</v>
      </c>
      <c r="G48" s="5"/>
      <c r="H48" s="61" t="str">
        <f t="shared" si="1"/>
        <v>Guatemala  |  Programa de aporte economico o del Adulto Mayor (Economic contribution programme for older people)</v>
      </c>
      <c r="I48" s="139">
        <f>Original!T$53</f>
        <v>22.099447513812155</v>
      </c>
      <c r="J48" s="109"/>
      <c r="K48" s="61" t="str">
        <f t="shared" si="2"/>
        <v>Guatemala  |  Programa de aporte economico o del Adulto Mayor (Economic contribution programme for older people)</v>
      </c>
      <c r="L48" s="139" t="str">
        <f>Original!U$53</f>
        <v>no data</v>
      </c>
      <c r="M48" s="109"/>
      <c r="N48" s="61" t="str">
        <f t="shared" si="3"/>
        <v>Guatemala  |  Programa de aporte economico o del Adulto Mayor (Economic contribution programme for older people)</v>
      </c>
      <c r="O48" s="140">
        <f>Original!M$53</f>
        <v>51.305072789072021</v>
      </c>
      <c r="Q48" s="162" t="str">
        <f t="shared" si="4"/>
        <v>Guatemala  |  Programa de aporte economico o del Adulto Mayor (Economic contribution programme for older people)</v>
      </c>
      <c r="R48" s="163">
        <f>Original!O$53</f>
        <v>80.759135877246109</v>
      </c>
      <c r="T48" s="113" t="str">
        <f t="shared" si="5"/>
        <v>Guatemala  |  Programa de aporte economico o del Adulto Mayor (Economic contribution programme for older people)</v>
      </c>
      <c r="U48" s="114">
        <f>IF(Original!AD$53="no data", "", Original!AD$53)</f>
        <v>2.3239029125005444</v>
      </c>
      <c r="V48" s="4">
        <f>IF(Original!AD53="no data", "", 1)</f>
        <v>1</v>
      </c>
    </row>
    <row r="49" spans="1:22">
      <c r="A49" s="4">
        <f>Original!A54</f>
        <v>1</v>
      </c>
      <c r="B49" s="4" t="str">
        <f>Original!C54</f>
        <v>Guyana</v>
      </c>
      <c r="C49" s="4" t="s">
        <v>289</v>
      </c>
      <c r="D49" s="4" t="str">
        <f>Original!G54</f>
        <v>Old Age Pension</v>
      </c>
      <c r="E49" s="61" t="str">
        <f t="shared" si="0"/>
        <v>Guyana  |  Old Age Pension</v>
      </c>
      <c r="F49" s="62">
        <f>Original!N$54</f>
        <v>0.18334451294326168</v>
      </c>
      <c r="G49" s="5"/>
      <c r="H49" s="61" t="str">
        <f t="shared" si="1"/>
        <v>Guyana  |  Old Age Pension</v>
      </c>
      <c r="I49" s="139">
        <f>Original!T$54</f>
        <v>56.012995014843447</v>
      </c>
      <c r="J49" s="109"/>
      <c r="K49" s="61" t="str">
        <f t="shared" si="2"/>
        <v>Guyana  |  Old Age Pension</v>
      </c>
      <c r="L49" s="139" t="str">
        <f>Original!U$54</f>
        <v>no data</v>
      </c>
      <c r="M49" s="109"/>
      <c r="N49" s="61" t="str">
        <f t="shared" si="3"/>
        <v>Guyana  |  Old Age Pension</v>
      </c>
      <c r="O49" s="140">
        <f>Original!M$54</f>
        <v>49.70178926441352</v>
      </c>
      <c r="Q49" s="162" t="str">
        <f t="shared" si="4"/>
        <v>Guyana  |  Old Age Pension</v>
      </c>
      <c r="R49" s="163">
        <f>Original!O$54</f>
        <v>114.06410402646287</v>
      </c>
      <c r="T49" s="113" t="str">
        <f t="shared" si="5"/>
        <v>Guyana  |  Old Age Pension</v>
      </c>
      <c r="U49" s="114">
        <f>IF(Original!AD$54="no data", "", Original!AD$54)</f>
        <v>91.875523773367803</v>
      </c>
      <c r="V49" s="4">
        <f>IF(Original!AD54="no data", "", 1)</f>
        <v>1</v>
      </c>
    </row>
    <row r="50" spans="1:22">
      <c r="A50" s="4">
        <f>Original!A55</f>
        <v>1</v>
      </c>
      <c r="B50" s="4" t="str">
        <f>Original!C55</f>
        <v>Hong Kong</v>
      </c>
      <c r="C50" s="4" t="s">
        <v>289</v>
      </c>
      <c r="D50" s="4" t="str">
        <f>Original!G55</f>
        <v>Normal/higher old age allowance</v>
      </c>
      <c r="E50" s="61" t="str">
        <f t="shared" si="0"/>
        <v>Hong Kong  |  Normal/higher old age allowance</v>
      </c>
      <c r="F50" s="62">
        <f>Original!N$55</f>
        <v>4.6572183669497974E-2</v>
      </c>
      <c r="G50" s="5"/>
      <c r="H50" s="61" t="str">
        <f t="shared" si="1"/>
        <v>Hong Kong  |  Normal/higher old age allowance</v>
      </c>
      <c r="I50" s="139" t="str">
        <f>Original!T$55</f>
        <v>no data</v>
      </c>
      <c r="J50" s="109"/>
      <c r="K50" s="61" t="str">
        <f t="shared" si="2"/>
        <v>Hong Kong  |  Normal/higher old age allowance</v>
      </c>
      <c r="L50" s="139">
        <f>Original!U$55</f>
        <v>9.8136310434860903</v>
      </c>
      <c r="M50" s="109"/>
      <c r="N50" s="61" t="str">
        <f t="shared" si="3"/>
        <v>Hong Kong  |  Normal/higher old age allowance</v>
      </c>
      <c r="O50" s="140">
        <f>Original!M$55</f>
        <v>140.4765893830629</v>
      </c>
      <c r="Q50" s="162" t="str">
        <f t="shared" si="4"/>
        <v>Hong Kong  |  Normal/higher old age allowance</v>
      </c>
      <c r="R50" s="163">
        <f>Original!O$55</f>
        <v>196.82195738533767</v>
      </c>
      <c r="T50" s="113" t="str">
        <f t="shared" si="5"/>
        <v>Hong Kong  |  Normal/higher old age allowance</v>
      </c>
      <c r="U50" s="114">
        <f>IF(Original!AD$55="no data", "", Original!AD$55)</f>
        <v>71.864998937716464</v>
      </c>
      <c r="V50" s="4">
        <f>IF(Original!AD55="no data", "", 1)</f>
        <v>1</v>
      </c>
    </row>
    <row r="51" spans="1:22">
      <c r="A51" s="4">
        <f>Original!A56</f>
        <v>0</v>
      </c>
      <c r="B51" s="4" t="str">
        <f>Original!C56</f>
        <v>Hungary</v>
      </c>
      <c r="C51" s="4" t="s">
        <v>289</v>
      </c>
      <c r="D51" s="4" t="str">
        <f>Original!G56</f>
        <v>Minimum pension</v>
      </c>
      <c r="E51" s="61" t="str">
        <f t="shared" si="0"/>
        <v>Hungary  |  Minimum pension</v>
      </c>
      <c r="F51" s="62">
        <f>Original!N$56</f>
        <v>0</v>
      </c>
      <c r="G51" s="5"/>
      <c r="H51" s="61" t="str">
        <f t="shared" si="1"/>
        <v>Hungary  |  Minimum pension</v>
      </c>
      <c r="I51" s="139">
        <f>Original!T$56</f>
        <v>478.32167832167835</v>
      </c>
      <c r="J51" s="109"/>
      <c r="K51" s="61" t="str">
        <f t="shared" si="2"/>
        <v>Hungary  |  Minimum pension</v>
      </c>
      <c r="L51" s="139">
        <f>Original!U$56</f>
        <v>171.19259166562381</v>
      </c>
      <c r="M51" s="109"/>
      <c r="N51" s="61" t="str">
        <f t="shared" si="3"/>
        <v>Hungary  |  Minimum pension</v>
      </c>
      <c r="O51" s="140">
        <f>Original!M$56</f>
        <v>0</v>
      </c>
      <c r="Q51" s="162" t="str">
        <f t="shared" si="4"/>
        <v>Hungary  |  Minimum pension</v>
      </c>
      <c r="R51" s="163">
        <f>Original!O$56</f>
        <v>0</v>
      </c>
      <c r="T51" s="113" t="str">
        <f t="shared" si="5"/>
        <v>Hungary  |  Minimum pension</v>
      </c>
      <c r="U51" s="114">
        <f>IF(Original!AD$56="no data", "", Original!AD$56)</f>
        <v>1</v>
      </c>
      <c r="V51" s="4">
        <f>IF(Original!AD56="no data", "", 1)</f>
        <v>1</v>
      </c>
    </row>
    <row r="52" spans="1:22">
      <c r="A52" s="4">
        <f>Original!A57</f>
        <v>1</v>
      </c>
      <c r="B52" s="4" t="str">
        <f>Original!C57</f>
        <v>Hungary</v>
      </c>
      <c r="C52" s="4" t="s">
        <v>289</v>
      </c>
      <c r="D52" s="4" t="str">
        <f>Original!G57</f>
        <v>Idoskoruak jaradeka (Old Age Allowance)</v>
      </c>
      <c r="E52" s="61" t="str">
        <f t="shared" si="0"/>
        <v>Hungary  |  Idoskoruak jaradeka (Old Age Allowance)</v>
      </c>
      <c r="F52" s="62">
        <f>Original!N$57</f>
        <v>0.1035310359447822</v>
      </c>
      <c r="G52" s="5"/>
      <c r="H52" s="61" t="str">
        <f t="shared" si="1"/>
        <v>Hungary  |  Idoskoruak jaradeka (Old Age Allowance)</v>
      </c>
      <c r="I52" s="139">
        <f>Original!T$57</f>
        <v>31.888111888111887</v>
      </c>
      <c r="J52" s="109"/>
      <c r="K52" s="61" t="str">
        <f t="shared" si="2"/>
        <v>Hungary  |  Idoskoruak jaradeka (Old Age Allowance)</v>
      </c>
      <c r="L52" s="139">
        <f>Original!U$57</f>
        <v>11.412839444374921</v>
      </c>
      <c r="M52" s="109"/>
      <c r="N52" s="61" t="str">
        <f t="shared" si="3"/>
        <v>Hungary  |  Idoskoruak jaradeka (Old Age Allowance)</v>
      </c>
      <c r="O52" s="140">
        <f>Original!M$57</f>
        <v>104.28244075796869</v>
      </c>
      <c r="Q52" s="162" t="str">
        <f t="shared" si="4"/>
        <v>Hungary  |  Idoskoruak jaradeka (Old Age Allowance)</v>
      </c>
      <c r="R52" s="163">
        <f>Original!O$57</f>
        <v>167.6865144739939</v>
      </c>
      <c r="T52" s="113" t="str">
        <f t="shared" si="5"/>
        <v>Hungary  |  Idoskoruak jaradeka (Old Age Allowance)</v>
      </c>
      <c r="U52" s="114" t="str">
        <f>IF(Original!AD$57="no data", "", Original!AD$57)</f>
        <v/>
      </c>
      <c r="V52" s="4" t="str">
        <f>IF(Original!AD57="no data", "", 1)</f>
        <v/>
      </c>
    </row>
    <row r="53" spans="1:22">
      <c r="A53" s="4">
        <f>Original!A58</f>
        <v>0</v>
      </c>
      <c r="B53" s="4" t="str">
        <f>Original!C58</f>
        <v>Iceland</v>
      </c>
      <c r="C53" s="4" t="s">
        <v>289</v>
      </c>
      <c r="D53" s="4" t="str">
        <f>Original!G58</f>
        <v>Targeted pension</v>
      </c>
      <c r="E53" s="61" t="str">
        <f t="shared" si="0"/>
        <v>Iceland  |  Targeted pension</v>
      </c>
      <c r="F53" s="62">
        <f>Original!N$58</f>
        <v>0</v>
      </c>
      <c r="G53" s="5"/>
      <c r="H53" s="61" t="str">
        <f t="shared" si="1"/>
        <v>Iceland  |  Targeted pension</v>
      </c>
      <c r="I53" s="139" t="str">
        <f>Original!T$58</f>
        <v>no data</v>
      </c>
      <c r="J53" s="109"/>
      <c r="K53" s="61" t="str">
        <f t="shared" si="2"/>
        <v>Iceland  |  Targeted pension</v>
      </c>
      <c r="L53" s="139">
        <f>Original!U$58</f>
        <v>24.281437125748504</v>
      </c>
      <c r="M53" s="109"/>
      <c r="N53" s="61" t="str">
        <f t="shared" si="3"/>
        <v>Iceland  |  Targeted pension</v>
      </c>
      <c r="O53" s="140">
        <f>Original!M$58</f>
        <v>0</v>
      </c>
      <c r="Q53" s="162" t="str">
        <f t="shared" si="4"/>
        <v>Iceland  |  Targeted pension</v>
      </c>
      <c r="R53" s="163">
        <f>Original!O$58</f>
        <v>0</v>
      </c>
      <c r="T53" s="113" t="str">
        <f t="shared" si="5"/>
        <v>Iceland  |  Targeted pension</v>
      </c>
      <c r="U53" s="114" t="str">
        <f>IF(Original!AD$58="no data", "", Original!AD$58)</f>
        <v/>
      </c>
      <c r="V53" s="4" t="str">
        <f>IF(Original!AD58="no data", "", 1)</f>
        <v/>
      </c>
    </row>
    <row r="54" spans="1:22">
      <c r="A54" s="4">
        <f>Original!A59</f>
        <v>1</v>
      </c>
      <c r="B54" s="4" t="str">
        <f>Original!C59</f>
        <v>Iceland</v>
      </c>
      <c r="C54" s="4" t="s">
        <v>289</v>
      </c>
      <c r="D54" s="4" t="str">
        <f>Original!G59</f>
        <v>lífeyristryggingar almannatrygginga (National Basic Pension)</v>
      </c>
      <c r="E54" s="61" t="str">
        <f t="shared" si="0"/>
        <v>Iceland  |  lífeyristryggingar almannatrygginga (National Basic Pension)</v>
      </c>
      <c r="F54" s="62">
        <f>Original!N$59</f>
        <v>6.1681702661720267E-2</v>
      </c>
      <c r="G54" s="5"/>
      <c r="H54" s="61" t="str">
        <f t="shared" si="1"/>
        <v>Iceland  |  lífeyristryggingar almannatrygginga (National Basic Pension)</v>
      </c>
      <c r="I54" s="139" t="str">
        <f>Original!T$59</f>
        <v>no data</v>
      </c>
      <c r="J54" s="109"/>
      <c r="K54" s="61" t="str">
        <f t="shared" si="2"/>
        <v>Iceland  |  lífeyristryggingar almannatrygginga (National Basic Pension)</v>
      </c>
      <c r="L54" s="139">
        <f>Original!U$59</f>
        <v>7.6946107784431135</v>
      </c>
      <c r="M54" s="109"/>
      <c r="N54" s="61" t="str">
        <f t="shared" si="3"/>
        <v>Iceland  |  lífeyristryggingar almannatrygginga (National Basic Pension)</v>
      </c>
      <c r="O54" s="140">
        <f>Original!M$59</f>
        <v>203.58048162230673</v>
      </c>
      <c r="Q54" s="162" t="str">
        <f t="shared" si="4"/>
        <v>Iceland  |  lífeyristryggingar almannatrygginga (National Basic Pension)</v>
      </c>
      <c r="R54" s="163">
        <f>Original!O$59</f>
        <v>195.63810756289726</v>
      </c>
      <c r="T54" s="113" t="str">
        <f t="shared" si="5"/>
        <v>Iceland  |  lífeyristryggingar almannatrygginga (National Basic Pension)</v>
      </c>
      <c r="U54" s="114">
        <f>IF(Original!AD$59="no data", "", Original!AD$59)</f>
        <v>79.296961282383023</v>
      </c>
      <c r="V54" s="4">
        <f>IF(Original!AD59="no data", "", 1)</f>
        <v>1</v>
      </c>
    </row>
    <row r="55" spans="1:22">
      <c r="A55" s="4">
        <f>Original!A60</f>
        <v>1</v>
      </c>
      <c r="B55" s="4" t="str">
        <f>Original!C60</f>
        <v>India</v>
      </c>
      <c r="C55" s="4" t="s">
        <v>289</v>
      </c>
      <c r="D55" s="4" t="str">
        <f>Original!G60</f>
        <v>Indira Gandhi National Old Age Pension Scheme</v>
      </c>
      <c r="E55" s="61" t="str">
        <f t="shared" si="0"/>
        <v>India  |  Indira Gandhi National Old Age Pension Scheme</v>
      </c>
      <c r="F55" s="62">
        <f>Original!N$60</f>
        <v>3.3968394164263851E-2</v>
      </c>
      <c r="G55" s="5"/>
      <c r="H55" s="61" t="str">
        <f t="shared" si="1"/>
        <v>India  |  Indira Gandhi National Old Age Pension Scheme</v>
      </c>
      <c r="I55" s="139">
        <f>Original!T$60</f>
        <v>9.6153846153846168</v>
      </c>
      <c r="J55" s="109"/>
      <c r="K55" s="61" t="str">
        <f t="shared" si="2"/>
        <v>India  |  Indira Gandhi National Old Age Pension Scheme</v>
      </c>
      <c r="L55" s="139">
        <f>Original!U$60</f>
        <v>2.3160693523806879</v>
      </c>
      <c r="M55" s="109"/>
      <c r="N55" s="61" t="str">
        <f t="shared" si="3"/>
        <v>India  |  Indira Gandhi National Old Age Pension Scheme</v>
      </c>
      <c r="O55" s="140">
        <f>Original!M$60</f>
        <v>3.8062612998382339</v>
      </c>
      <c r="Q55" s="162" t="str">
        <f t="shared" si="4"/>
        <v>India  |  Indira Gandhi National Old Age Pension Scheme</v>
      </c>
      <c r="R55" s="163">
        <f>Original!O$60</f>
        <v>10.455329604265774</v>
      </c>
      <c r="T55" s="113" t="str">
        <f t="shared" si="5"/>
        <v>India  |  Indira Gandhi National Old Age Pension Scheme</v>
      </c>
      <c r="U55" s="114">
        <f>IF(Original!AD$60="no data", "", Original!AD$60)</f>
        <v>14.947869523254726</v>
      </c>
      <c r="V55" s="4">
        <f>IF(Original!AD60="no data", "", 1)</f>
        <v>1</v>
      </c>
    </row>
    <row r="56" spans="1:22">
      <c r="A56" s="4">
        <f>Original!A61</f>
        <v>1</v>
      </c>
      <c r="B56" s="4" t="str">
        <f>Original!C61</f>
        <v xml:space="preserve">Indonesia </v>
      </c>
      <c r="C56" s="4" t="s">
        <v>289</v>
      </c>
      <c r="D56" s="4" t="str">
        <f>Original!G61</f>
        <v>Program Jaminan Sosial Lanjut Usia (Elderly Social Security Programme) (Pilot)</v>
      </c>
      <c r="E56" s="61" t="str">
        <f t="shared" si="0"/>
        <v>Indonesia   |  Program Jaminan Sosial Lanjut Usia (Elderly Social Security Programme) (Pilot)</v>
      </c>
      <c r="F56" s="62">
        <f>Original!N$61</f>
        <v>0.10151921696922414</v>
      </c>
      <c r="G56" s="5"/>
      <c r="H56" s="61" t="str">
        <f t="shared" si="1"/>
        <v>Indonesia   |  Program Jaminan Sosial Lanjut Usia (Elderly Social Security Programme) (Pilot)</v>
      </c>
      <c r="I56" s="139">
        <f>Original!T$61</f>
        <v>40.147528785778142</v>
      </c>
      <c r="J56" s="109"/>
      <c r="K56" s="61" t="str">
        <f t="shared" si="2"/>
        <v>Indonesia   |  Program Jaminan Sosial Lanjut Usia (Elderly Social Security Programme) (Pilot)</v>
      </c>
      <c r="L56" s="139">
        <f>Original!U$61</f>
        <v>27.470640752695559</v>
      </c>
      <c r="M56" s="109"/>
      <c r="N56" s="61" t="str">
        <f t="shared" si="3"/>
        <v>Indonesia   |  Program Jaminan Sosial Lanjut Usia (Elderly Social Security Programme) (Pilot)</v>
      </c>
      <c r="O56" s="140">
        <f>Original!M$61</f>
        <v>32.679738562091501</v>
      </c>
      <c r="Q56" s="162" t="str">
        <f t="shared" si="4"/>
        <v>Indonesia   |  Program Jaminan Sosial Lanjut Usia (Elderly Social Security Programme) (Pilot)</v>
      </c>
      <c r="R56" s="163">
        <f>Original!O$61</f>
        <v>41.822239589294455</v>
      </c>
      <c r="T56" s="113" t="str">
        <f t="shared" si="5"/>
        <v>Indonesia   |  Program Jaminan Sosial Lanjut Usia (Elderly Social Security Programme) (Pilot)</v>
      </c>
      <c r="U56" s="114">
        <f>IF(Original!AD$61="no data", "", Original!AD$61)</f>
        <v>0.11500217124099303</v>
      </c>
      <c r="V56" s="4">
        <f>IF(Original!AD61="no data", "", 1)</f>
        <v>1</v>
      </c>
    </row>
    <row r="57" spans="1:22">
      <c r="A57" s="4">
        <f>Original!A62</f>
        <v>0</v>
      </c>
      <c r="B57" s="4" t="str">
        <f>Original!C62</f>
        <v>Ireland</v>
      </c>
      <c r="C57" s="4" t="s">
        <v>289</v>
      </c>
      <c r="D57" s="4" t="str">
        <f>Original!G62</f>
        <v>Basic pension</v>
      </c>
      <c r="E57" s="61" t="str">
        <f t="shared" si="0"/>
        <v>Ireland  |  Basic pension</v>
      </c>
      <c r="F57" s="62">
        <f>Original!N$62</f>
        <v>0</v>
      </c>
      <c r="G57" s="5"/>
      <c r="H57" s="61" t="str">
        <f t="shared" si="1"/>
        <v>Ireland  |  Basic pension</v>
      </c>
      <c r="I57" s="139">
        <f>Original!T$62</f>
        <v>67.458960328317374</v>
      </c>
      <c r="J57" s="109"/>
      <c r="K57" s="61" t="str">
        <f t="shared" si="2"/>
        <v>Ireland  |  Basic pension</v>
      </c>
      <c r="L57" s="139">
        <f>Original!U$62</f>
        <v>32.262021589793918</v>
      </c>
      <c r="M57" s="109"/>
      <c r="N57" s="61" t="str">
        <f t="shared" si="3"/>
        <v>Ireland  |  Basic pension</v>
      </c>
      <c r="O57" s="140">
        <f>Original!M$62</f>
        <v>0</v>
      </c>
      <c r="Q57" s="162" t="str">
        <f t="shared" si="4"/>
        <v>Ireland  |  Basic pension</v>
      </c>
      <c r="R57" s="163">
        <f>Original!O$62</f>
        <v>0</v>
      </c>
      <c r="T57" s="113" t="str">
        <f t="shared" si="5"/>
        <v>Ireland  |  Basic pension</v>
      </c>
      <c r="U57" s="114" t="str">
        <f>IF(Original!AD$62="no data", "", Original!AD$62)</f>
        <v/>
      </c>
      <c r="V57" s="4" t="str">
        <f>IF(Original!AD62="no data", "", 1)</f>
        <v/>
      </c>
    </row>
    <row r="58" spans="1:22">
      <c r="A58" s="4">
        <f>Original!A63</f>
        <v>1</v>
      </c>
      <c r="B58" s="4" t="str">
        <f>Original!C63</f>
        <v>Ireland</v>
      </c>
      <c r="C58" s="4" t="s">
        <v>289</v>
      </c>
      <c r="D58" s="4" t="str">
        <f>Original!G63</f>
        <v>Targeted pension</v>
      </c>
      <c r="E58" s="61" t="str">
        <f t="shared" si="0"/>
        <v>Ireland  |  Targeted pension</v>
      </c>
      <c r="F58" s="62">
        <f>Original!N$63</f>
        <v>0.32667535792939456</v>
      </c>
      <c r="G58" s="5"/>
      <c r="H58" s="61" t="str">
        <f t="shared" si="1"/>
        <v>Ireland  |  Targeted pension</v>
      </c>
      <c r="I58" s="139">
        <f>Original!T$63</f>
        <v>64.911080711354302</v>
      </c>
      <c r="J58" s="109"/>
      <c r="K58" s="61" t="str">
        <f t="shared" si="2"/>
        <v>Ireland  |  Targeted pension</v>
      </c>
      <c r="L58" s="139">
        <f>Original!U$63</f>
        <v>31.043506705920837</v>
      </c>
      <c r="M58" s="109"/>
      <c r="N58" s="61" t="str">
        <f t="shared" si="3"/>
        <v>Ireland  |  Targeted pension</v>
      </c>
      <c r="O58" s="140">
        <f>Original!M$63</f>
        <v>1254.7432998823265</v>
      </c>
      <c r="Q58" s="162" t="str">
        <f t="shared" si="4"/>
        <v>Ireland  |  Targeted pension</v>
      </c>
      <c r="R58" s="163">
        <f>Original!O$63</f>
        <v>1100.9280742459398</v>
      </c>
      <c r="T58" s="113" t="str">
        <f t="shared" si="5"/>
        <v>Ireland  |  Targeted pension</v>
      </c>
      <c r="U58" s="114">
        <f>IF(Original!AD$63="no data", "", Original!AD$63)</f>
        <v>28</v>
      </c>
      <c r="V58" s="4">
        <f>IF(Original!AD63="no data", "", 1)</f>
        <v>1</v>
      </c>
    </row>
    <row r="59" spans="1:22">
      <c r="A59" s="4">
        <f>Original!A64</f>
        <v>1</v>
      </c>
      <c r="B59" s="4" t="str">
        <f>Original!C64</f>
        <v>Israel</v>
      </c>
      <c r="C59" s="4" t="s">
        <v>289</v>
      </c>
      <c r="D59" s="4" t="str">
        <f>Original!G64</f>
        <v>Income support benefit | Special old age benefit</v>
      </c>
      <c r="E59" s="61" t="str">
        <f t="shared" si="0"/>
        <v>Israel  |  Income support benefit | Special old age benefit</v>
      </c>
      <c r="F59" s="62">
        <f>Original!N$64</f>
        <v>0.15288934669664681</v>
      </c>
      <c r="G59" s="5"/>
      <c r="H59" s="61" t="str">
        <f t="shared" si="1"/>
        <v>Israel  |  Income support benefit | Special old age benefit</v>
      </c>
      <c r="I59" s="139">
        <f>Original!T$64</f>
        <v>38.467532467532465</v>
      </c>
      <c r="J59" s="109"/>
      <c r="K59" s="61" t="str">
        <f t="shared" si="2"/>
        <v>Israel  |  Income support benefit | Special old age benefit</v>
      </c>
      <c r="L59" s="139">
        <f>Original!U$64</f>
        <v>18.57286180085277</v>
      </c>
      <c r="M59" s="109"/>
      <c r="N59" s="61" t="str">
        <f t="shared" si="3"/>
        <v>Israel  |  Income support benefit | Special old age benefit</v>
      </c>
      <c r="O59" s="140">
        <f>Original!M$64</f>
        <v>394.64182457224928</v>
      </c>
      <c r="Q59" s="162" t="str">
        <f t="shared" si="4"/>
        <v>Israel  |  Income support benefit | Special old age benefit</v>
      </c>
      <c r="R59" s="163">
        <f>Original!O$64</f>
        <v>401.57266811279823</v>
      </c>
      <c r="T59" s="113" t="str">
        <f t="shared" si="5"/>
        <v>Israel  |  Income support benefit | Special old age benefit</v>
      </c>
      <c r="U59" s="114" t="str">
        <f>IF(Original!AD$64="no data", "", Original!AD$64)</f>
        <v/>
      </c>
      <c r="V59" s="4" t="str">
        <f>IF(Original!AD64="no data", "", 1)</f>
        <v/>
      </c>
    </row>
    <row r="60" spans="1:22">
      <c r="A60" s="4">
        <f>Original!A65</f>
        <v>1</v>
      </c>
      <c r="B60" s="4" t="str">
        <f>Original!C65</f>
        <v>Italy</v>
      </c>
      <c r="C60" s="4" t="s">
        <v>289</v>
      </c>
      <c r="D60" s="4" t="str">
        <f>Original!G65</f>
        <v>Targeted pension [Social allowance]</v>
      </c>
      <c r="E60" s="61" t="str">
        <f t="shared" si="0"/>
        <v>Italy  |  Targeted pension [Social allowance]</v>
      </c>
      <c r="F60" s="62">
        <f>Original!N$65</f>
        <v>0.20099726939595197</v>
      </c>
      <c r="G60" s="5"/>
      <c r="H60" s="61" t="str">
        <f t="shared" si="1"/>
        <v>Italy  |  Targeted pension [Social allowance]</v>
      </c>
      <c r="I60" s="139" t="str">
        <f>Original!T$65</f>
        <v>no data</v>
      </c>
      <c r="J60" s="109"/>
      <c r="K60" s="61" t="str">
        <f t="shared" si="2"/>
        <v>Italy  |  Targeted pension [Social allowance]</v>
      </c>
      <c r="L60" s="139">
        <f>Original!U$65</f>
        <v>19.170652173913044</v>
      </c>
      <c r="M60" s="109"/>
      <c r="N60" s="61" t="str">
        <f t="shared" si="3"/>
        <v>Italy  |  Targeted pension [Social allowance]</v>
      </c>
      <c r="O60" s="140">
        <f>Original!M$65</f>
        <v>544.11434162336548</v>
      </c>
      <c r="Q60" s="162" t="str">
        <f t="shared" si="4"/>
        <v>Italy  |  Targeted pension [Social allowance]</v>
      </c>
      <c r="R60" s="163">
        <f>Original!O$65</f>
        <v>470.32</v>
      </c>
      <c r="T60" s="113" t="str">
        <f t="shared" si="5"/>
        <v>Italy  |  Targeted pension [Social allowance]</v>
      </c>
      <c r="U60" s="114">
        <f>IF(Original!AD$65="no data", "", Original!AD$65)</f>
        <v>7.1672058277400374</v>
      </c>
      <c r="V60" s="4">
        <f>IF(Original!AD65="no data", "", 1)</f>
        <v>1</v>
      </c>
    </row>
    <row r="61" spans="1:22">
      <c r="A61" s="4">
        <f>Original!A66</f>
        <v>0</v>
      </c>
      <c r="B61" s="4" t="str">
        <f>Original!C66</f>
        <v>Italy</v>
      </c>
      <c r="C61" s="4" t="s">
        <v>289</v>
      </c>
      <c r="D61" s="4" t="str">
        <f>Original!G66</f>
        <v>Minimum pension</v>
      </c>
      <c r="E61" s="61" t="str">
        <f t="shared" si="0"/>
        <v>Italy  |  Minimum pension</v>
      </c>
      <c r="F61" s="62">
        <f>Original!N$66</f>
        <v>0.21303017763354892</v>
      </c>
      <c r="G61" s="5"/>
      <c r="H61" s="61" t="str">
        <f t="shared" si="1"/>
        <v>Italy  |  Minimum pension</v>
      </c>
      <c r="I61" s="139" t="str">
        <f>Original!T$66</f>
        <v>no data</v>
      </c>
      <c r="J61" s="109"/>
      <c r="K61" s="61" t="str">
        <f t="shared" si="2"/>
        <v>Italy  |  Minimum pension</v>
      </c>
      <c r="L61" s="139">
        <f>Original!U$66</f>
        <v>20.318007484355835</v>
      </c>
      <c r="M61" s="109"/>
      <c r="N61" s="61" t="str">
        <f t="shared" si="3"/>
        <v>Italy  |  Minimum pension</v>
      </c>
      <c r="O61" s="140">
        <f>Original!M$66</f>
        <v>576.68830625079886</v>
      </c>
      <c r="Q61" s="162" t="str">
        <f t="shared" si="4"/>
        <v>Italy  |  Minimum pension</v>
      </c>
      <c r="R61" s="163">
        <f>Original!O$66</f>
        <v>498.47619047619054</v>
      </c>
      <c r="T61" s="113" t="str">
        <f t="shared" si="5"/>
        <v>Italy  |  Minimum pension</v>
      </c>
      <c r="U61" s="114">
        <f>IF(Original!AD$66="no data", "", Original!AD$66)</f>
        <v>0</v>
      </c>
      <c r="V61" s="4">
        <f>IF(Original!AD66="no data", "", 1)</f>
        <v>1</v>
      </c>
    </row>
    <row r="62" spans="1:22">
      <c r="A62" s="4">
        <f>Original!A67</f>
        <v>1</v>
      </c>
      <c r="B62" s="4" t="str">
        <f>Original!C67</f>
        <v>Jamaica</v>
      </c>
      <c r="C62" s="4" t="s">
        <v>289</v>
      </c>
      <c r="D62" s="4" t="str">
        <f>Original!G67</f>
        <v>The Programme for Advancement through Health and Education (PATH)</v>
      </c>
      <c r="E62" s="61" t="str">
        <f t="shared" si="0"/>
        <v>Jamaica  |  The Programme for Advancement through Health and Education (PATH)</v>
      </c>
      <c r="F62" s="62">
        <f>Original!N$67</f>
        <v>3.0057890608503383E-2</v>
      </c>
      <c r="G62" s="5"/>
      <c r="H62" s="61" t="str">
        <f t="shared" si="1"/>
        <v>Jamaica  |  The Programme for Advancement through Health and Education (PATH)</v>
      </c>
      <c r="I62" s="139">
        <f>Original!T$67</f>
        <v>5.2730056131995235</v>
      </c>
      <c r="J62" s="109"/>
      <c r="K62" s="61" t="str">
        <f t="shared" si="2"/>
        <v>Jamaica  |  The Programme for Advancement through Health and Education (PATH)</v>
      </c>
      <c r="L62" s="139">
        <f>Original!U$67</f>
        <v>1.3083849184018008</v>
      </c>
      <c r="M62" s="109"/>
      <c r="N62" s="61" t="str">
        <f t="shared" si="3"/>
        <v>Jamaica  |  The Programme for Advancement through Health and Education (PATH)</v>
      </c>
      <c r="O62" s="140">
        <f>Original!M$67</f>
        <v>10.776361529548089</v>
      </c>
      <c r="Q62" s="162" t="str">
        <f t="shared" si="4"/>
        <v>Jamaica  |  The Programme for Advancement through Health and Education (PATH)</v>
      </c>
      <c r="R62" s="163">
        <f>Original!O$67</f>
        <v>22.610133229602258</v>
      </c>
      <c r="T62" s="113" t="str">
        <f t="shared" si="5"/>
        <v>Jamaica  |  The Programme for Advancement through Health and Education (PATH)</v>
      </c>
      <c r="U62" s="114">
        <f>IF(Original!AD$67="no data", "", Original!AD$67)</f>
        <v>19.5</v>
      </c>
      <c r="V62" s="4">
        <f>IF(Original!AD67="no data", "", 1)</f>
        <v>1</v>
      </c>
    </row>
    <row r="63" spans="1:22">
      <c r="A63" s="4">
        <f>Original!A68</f>
        <v>1</v>
      </c>
      <c r="B63" s="4" t="str">
        <f>Original!C68</f>
        <v>Japan</v>
      </c>
      <c r="C63" s="4" t="s">
        <v>289</v>
      </c>
      <c r="D63" s="4" t="str">
        <f>Original!G68</f>
        <v>Basic pension</v>
      </c>
      <c r="E63" s="61" t="str">
        <f t="shared" si="0"/>
        <v>Japan  |  Basic pension</v>
      </c>
      <c r="F63" s="62">
        <f>Original!N$68</f>
        <v>0</v>
      </c>
      <c r="G63" s="5"/>
      <c r="H63" s="61" t="str">
        <f t="shared" si="1"/>
        <v>Japan  |  Basic pension</v>
      </c>
      <c r="I63" s="139">
        <f>Original!T$68</f>
        <v>53.410418032101539</v>
      </c>
      <c r="J63" s="109"/>
      <c r="K63" s="61" t="str">
        <f t="shared" si="2"/>
        <v>Japan  |  Basic pension</v>
      </c>
      <c r="L63" s="139">
        <f>Original!U$68</f>
        <v>20.750812113591113</v>
      </c>
      <c r="M63" s="109"/>
      <c r="N63" s="61" t="str">
        <f t="shared" si="3"/>
        <v>Japan  |  Basic pension</v>
      </c>
      <c r="O63" s="140">
        <f>Original!M$68</f>
        <v>0</v>
      </c>
      <c r="Q63" s="162" t="str">
        <f t="shared" si="4"/>
        <v>Japan  |  Basic pension</v>
      </c>
      <c r="R63" s="163">
        <f>Original!O$68</f>
        <v>0</v>
      </c>
      <c r="T63" s="113" t="str">
        <f t="shared" si="5"/>
        <v>Japan  |  Basic pension</v>
      </c>
      <c r="U63" s="114" t="str">
        <f>IF(Original!AD$68="no data", "", Original!AD$68)</f>
        <v/>
      </c>
      <c r="V63" s="4" t="str">
        <f>IF(Original!AD68="no data", "", 1)</f>
        <v/>
      </c>
    </row>
    <row r="64" spans="1:22">
      <c r="A64" s="4">
        <f>Original!A69</f>
        <v>1</v>
      </c>
      <c r="B64" s="4" t="str">
        <f>Original!C69</f>
        <v>Japan</v>
      </c>
      <c r="C64" s="4" t="s">
        <v>289</v>
      </c>
      <c r="D64" s="4" t="str">
        <f>Original!G69</f>
        <v>Targeted pension</v>
      </c>
      <c r="E64" s="61" t="str">
        <f t="shared" si="0"/>
        <v>Japan  |  Targeted pension</v>
      </c>
      <c r="F64" s="62">
        <f>Original!N$69</f>
        <v>0</v>
      </c>
      <c r="G64" s="5"/>
      <c r="H64" s="61" t="str">
        <f t="shared" si="1"/>
        <v>Japan  |  Targeted pension</v>
      </c>
      <c r="I64" s="139">
        <f>Original!T$69</f>
        <v>65.393204786911241</v>
      </c>
      <c r="J64" s="109"/>
      <c r="K64" s="61" t="str">
        <f t="shared" si="2"/>
        <v>Japan  |  Targeted pension</v>
      </c>
      <c r="L64" s="139">
        <f>Original!U$69</f>
        <v>25.406318767683118</v>
      </c>
      <c r="M64" s="109"/>
      <c r="N64" s="61" t="str">
        <f t="shared" si="3"/>
        <v>Japan  |  Targeted pension</v>
      </c>
      <c r="O64" s="140">
        <f>Original!M$69</f>
        <v>0</v>
      </c>
      <c r="Q64" s="162" t="str">
        <f t="shared" si="4"/>
        <v>Japan  |  Targeted pension</v>
      </c>
      <c r="R64" s="163">
        <f>Original!O$69</f>
        <v>0</v>
      </c>
      <c r="T64" s="113" t="str">
        <f t="shared" si="5"/>
        <v>Japan  |  Targeted pension</v>
      </c>
      <c r="U64" s="114">
        <f>IF(Original!AD$69="no data", "", Original!AD$69)</f>
        <v>2</v>
      </c>
      <c r="V64" s="4">
        <f>IF(Original!AD69="no data", "", 1)</f>
        <v>1</v>
      </c>
    </row>
    <row r="65" spans="1:22">
      <c r="A65" s="4">
        <f>Original!A70</f>
        <v>1</v>
      </c>
      <c r="B65" s="4" t="str">
        <f>Original!C70</f>
        <v>Kazakhstan</v>
      </c>
      <c r="C65" s="4" t="s">
        <v>289</v>
      </c>
      <c r="D65" s="4" t="str">
        <f>Original!G70</f>
        <v>State social benefit</v>
      </c>
      <c r="E65" s="61" t="str">
        <f t="shared" si="0"/>
        <v>Kazakhstan  |  State social benefit</v>
      </c>
      <c r="F65" s="62">
        <f>Original!N$70</f>
        <v>6.0696450994736591E-2</v>
      </c>
      <c r="G65" s="5"/>
      <c r="H65" s="61" t="str">
        <f t="shared" si="1"/>
        <v>Kazakhstan  |  State social benefit</v>
      </c>
      <c r="I65" s="139">
        <f>Original!T$70</f>
        <v>58.321790478967706</v>
      </c>
      <c r="J65" s="109"/>
      <c r="K65" s="61" t="str">
        <f t="shared" si="2"/>
        <v>Kazakhstan  |  State social benefit</v>
      </c>
      <c r="L65" s="139">
        <f>Original!U$70</f>
        <v>11.881246936866024</v>
      </c>
      <c r="M65" s="109"/>
      <c r="N65" s="61" t="str">
        <f t="shared" si="3"/>
        <v>Kazakhstan  |  State social benefit</v>
      </c>
      <c r="O65" s="140">
        <f>Original!M$70</f>
        <v>54.182187605824581</v>
      </c>
      <c r="Q65" s="162" t="str">
        <f t="shared" si="4"/>
        <v>Kazakhstan  |  State social benefit</v>
      </c>
      <c r="R65" s="163">
        <f>Original!O$70</f>
        <v>65.761352053398213</v>
      </c>
      <c r="T65" s="113" t="str">
        <f t="shared" si="5"/>
        <v>Kazakhstan  |  State social benefit</v>
      </c>
      <c r="U65" s="114" t="str">
        <f>IF(Original!AD$70="no data", "", Original!AD$70)</f>
        <v/>
      </c>
      <c r="V65" s="4" t="str">
        <f>IF(Original!AD70="no data", "", 1)</f>
        <v/>
      </c>
    </row>
    <row r="66" spans="1:22">
      <c r="A66" s="4">
        <f>Original!A71</f>
        <v>1</v>
      </c>
      <c r="B66" s="4" t="str">
        <f>Original!C71</f>
        <v>Kenya</v>
      </c>
      <c r="C66" s="4" t="s">
        <v>289</v>
      </c>
      <c r="D66" s="4" t="str">
        <f>Original!G71</f>
        <v>Older Persons Cash Transfer</v>
      </c>
      <c r="E66" s="61" t="str">
        <f t="shared" si="0"/>
        <v>Kenya  |  Older Persons Cash Transfer</v>
      </c>
      <c r="F66" s="62">
        <f>Original!N$71</f>
        <v>0.24544707605375371</v>
      </c>
      <c r="G66" s="5"/>
      <c r="H66" s="61" t="str">
        <f t="shared" si="1"/>
        <v>Kenya  |  Older Persons Cash Transfer</v>
      </c>
      <c r="I66" s="139">
        <f>Original!T$71</f>
        <v>15.558552017425578</v>
      </c>
      <c r="J66" s="109"/>
      <c r="K66" s="61" t="str">
        <f t="shared" si="2"/>
        <v>Kenya  |  Older Persons Cash Transfer</v>
      </c>
      <c r="L66" s="139">
        <f>Original!U$71</f>
        <v>4.5783353172786372</v>
      </c>
      <c r="M66" s="109"/>
      <c r="N66" s="61" t="str">
        <f t="shared" si="3"/>
        <v>Kenya  |  Older Persons Cash Transfer</v>
      </c>
      <c r="O66" s="140">
        <f>Original!M$71</f>
        <v>18.028846153846153</v>
      </c>
      <c r="Q66" s="162" t="str">
        <f t="shared" si="4"/>
        <v>Kenya  |  Older Persons Cash Transfer</v>
      </c>
      <c r="R66" s="163">
        <f>Original!O$71</f>
        <v>35.711734876080278</v>
      </c>
      <c r="T66" s="113" t="str">
        <f t="shared" si="5"/>
        <v>Kenya  |  Older Persons Cash Transfer</v>
      </c>
      <c r="U66" s="114">
        <f>IF(Original!AD$71="no data", "", Original!AD$71)</f>
        <v>3.1451815818166571</v>
      </c>
      <c r="V66" s="4">
        <f>IF(Original!AD71="no data", "", 1)</f>
        <v>1</v>
      </c>
    </row>
    <row r="67" spans="1:22">
      <c r="A67" s="4">
        <f>Original!A72</f>
        <v>1</v>
      </c>
      <c r="B67" s="4" t="str">
        <f>Original!C72</f>
        <v>Kenya</v>
      </c>
      <c r="C67" s="4" t="s">
        <v>289</v>
      </c>
      <c r="D67" s="4" t="str">
        <f>Original!G72</f>
        <v>Hunger Safety Net Programme, Pilot (universal pension)</v>
      </c>
      <c r="E67" s="61" t="str">
        <f t="shared" si="0"/>
        <v>Kenya  |  Hunger Safety Net Programme, Pilot (universal pension)</v>
      </c>
      <c r="F67" s="62">
        <f>Original!N$72</f>
        <v>0.17590373783852348</v>
      </c>
      <c r="G67" s="5"/>
      <c r="H67" s="61" t="str">
        <f t="shared" si="1"/>
        <v>Kenya  |  Hunger Safety Net Programme, Pilot (universal pension)</v>
      </c>
      <c r="I67" s="139">
        <f>Original!T$72</f>
        <v>11.150295612488332</v>
      </c>
      <c r="J67" s="109"/>
      <c r="K67" s="61" t="str">
        <f t="shared" si="2"/>
        <v>Kenya  |  Hunger Safety Net Programme, Pilot (universal pension)</v>
      </c>
      <c r="L67" s="139">
        <f>Original!U$72</f>
        <v>3.2811403107163564</v>
      </c>
      <c r="M67" s="109"/>
      <c r="N67" s="61" t="str">
        <f t="shared" si="3"/>
        <v>Kenya  |  Hunger Safety Net Programme, Pilot (universal pension)</v>
      </c>
      <c r="O67" s="140">
        <f>Original!M$72</f>
        <v>12.920673076923077</v>
      </c>
      <c r="Q67" s="162" t="str">
        <f t="shared" si="4"/>
        <v>Kenya  |  Hunger Safety Net Programme, Pilot (universal pension)</v>
      </c>
      <c r="R67" s="163">
        <f>Original!O$72</f>
        <v>25.593409994524201</v>
      </c>
      <c r="T67" s="113" t="str">
        <f t="shared" si="5"/>
        <v>Kenya  |  Hunger Safety Net Programme, Pilot (universal pension)</v>
      </c>
      <c r="U67" s="114" t="str">
        <f>IF(Original!AD$72="no data", "", Original!AD$72)</f>
        <v/>
      </c>
      <c r="V67" s="4" t="str">
        <f>IF(Original!AD72="no data", "", 1)</f>
        <v/>
      </c>
    </row>
    <row r="68" spans="1:22">
      <c r="A68" s="4">
        <f>Original!A73</f>
        <v>1</v>
      </c>
      <c r="B68" s="4" t="str">
        <f>Original!C73</f>
        <v>Kiribati</v>
      </c>
      <c r="C68" s="4" t="s">
        <v>289</v>
      </c>
      <c r="D68" s="4" t="str">
        <f>Original!G73</f>
        <v>Elderly pension</v>
      </c>
      <c r="E68" s="61" t="str">
        <f t="shared" si="0"/>
        <v>Kiribati  |  Elderly pension</v>
      </c>
      <c r="F68" s="62">
        <f>Original!N$73</f>
        <v>0.46662467044632649</v>
      </c>
      <c r="G68" s="5"/>
      <c r="H68" s="61" t="str">
        <f t="shared" si="1"/>
        <v>Kiribati  |  Elderly pension</v>
      </c>
      <c r="I68" s="139" t="str">
        <f>Original!T$73</f>
        <v>no data</v>
      </c>
      <c r="J68" s="109"/>
      <c r="K68" s="61" t="str">
        <f t="shared" si="2"/>
        <v>Kiribati  |  Elderly pension</v>
      </c>
      <c r="L68" s="139" t="str">
        <f>Original!U$73</f>
        <v>no data</v>
      </c>
      <c r="M68" s="109"/>
      <c r="N68" s="61" t="str">
        <f t="shared" si="3"/>
        <v>Kiribati  |  Elderly pension</v>
      </c>
      <c r="O68" s="140">
        <f>Original!M$73</f>
        <v>62.028646896758488</v>
      </c>
      <c r="Q68" s="162" t="str">
        <f t="shared" si="4"/>
        <v>Kiribati  |  Elderly pension</v>
      </c>
      <c r="R68" s="163">
        <f>Original!O$73</f>
        <v>222.2222222222222</v>
      </c>
      <c r="T68" s="113" t="str">
        <f t="shared" si="5"/>
        <v>Kiribati  |  Elderly pension</v>
      </c>
      <c r="U68" s="114" t="str">
        <f>IF(Original!AD$73="no data", "", Original!AD$73)</f>
        <v/>
      </c>
      <c r="V68" s="4" t="str">
        <f>IF(Original!AD73="no data", "", 1)</f>
        <v/>
      </c>
    </row>
    <row r="69" spans="1:22">
      <c r="A69" s="4">
        <f>Original!A74</f>
        <v>1</v>
      </c>
      <c r="B69" s="4" t="str">
        <f>Original!C74</f>
        <v>Korea, Republic of</v>
      </c>
      <c r="C69" s="4" t="s">
        <v>289</v>
      </c>
      <c r="D69" s="4" t="str">
        <f>Original!G74</f>
        <v>Basic old-age pension</v>
      </c>
      <c r="E69" s="61" t="str">
        <f t="shared" si="0"/>
        <v>Korea, Republic of  |  Basic old-age pension</v>
      </c>
      <c r="F69" s="62">
        <f>Original!N$74</f>
        <v>4.3351839659832095E-2</v>
      </c>
      <c r="G69" s="5"/>
      <c r="H69" s="61" t="str">
        <f t="shared" si="1"/>
        <v>Korea, Republic of  |  Basic old-age pension</v>
      </c>
      <c r="I69" s="139">
        <f>Original!T$74</f>
        <v>13.153852477813691</v>
      </c>
      <c r="J69" s="109"/>
      <c r="K69" s="61" t="str">
        <f t="shared" si="2"/>
        <v>Korea, Republic of  |  Basic old-age pension</v>
      </c>
      <c r="L69" s="139">
        <f>Original!U$74</f>
        <v>3.4782290322285379</v>
      </c>
      <c r="M69" s="109"/>
      <c r="N69" s="61" t="str">
        <f t="shared" si="3"/>
        <v>Korea, Republic of  |  Basic old-age pension</v>
      </c>
      <c r="O69" s="140">
        <f>Original!M$74</f>
        <v>79.957916885849556</v>
      </c>
      <c r="Q69" s="162" t="str">
        <f t="shared" si="4"/>
        <v>Korea, Republic of  |  Basic old-age pension</v>
      </c>
      <c r="R69" s="163">
        <f>Original!O$74</f>
        <v>114.57056139575084</v>
      </c>
      <c r="T69" s="113" t="str">
        <f t="shared" si="5"/>
        <v>Korea, Republic of  |  Basic old-age pension</v>
      </c>
      <c r="U69" s="114">
        <f>IF(Original!AD$74="no data", "", Original!AD$74)</f>
        <v>60</v>
      </c>
      <c r="V69" s="4">
        <f>IF(Original!AD74="no data", "", 1)</f>
        <v>1</v>
      </c>
    </row>
    <row r="70" spans="1:22">
      <c r="A70" s="4">
        <f>Original!A75</f>
        <v>1</v>
      </c>
      <c r="B70" s="4" t="str">
        <f>Original!C75</f>
        <v>Kosovo</v>
      </c>
      <c r="C70" s="4" t="s">
        <v>289</v>
      </c>
      <c r="D70" s="4" t="str">
        <f>Original!G75</f>
        <v>Old age "basic pension"</v>
      </c>
      <c r="E70" s="61" t="str">
        <f t="shared" ref="E70:E133" si="6">CONCATENATE(B70,C70,D70)</f>
        <v>Kosovo  |  Old age "basic pension"</v>
      </c>
      <c r="F70" s="62">
        <f>Original!N$75</f>
        <v>0.375</v>
      </c>
      <c r="G70" s="5"/>
      <c r="H70" s="61" t="str">
        <f t="shared" ref="H70:H133" si="7">CONCATENATE(B70,C70,D70)</f>
        <v>Kosovo  |  Old age "basic pension"</v>
      </c>
      <c r="I70" s="139" t="str">
        <f>Original!T$75</f>
        <v>no data</v>
      </c>
      <c r="J70" s="109"/>
      <c r="K70" s="61" t="str">
        <f t="shared" ref="K70:K133" si="8">CONCATENATE(B70,C70,D70)</f>
        <v>Kosovo  |  Old age "basic pension"</v>
      </c>
      <c r="L70" s="139" t="str">
        <f>Original!U$75</f>
        <v>no data</v>
      </c>
      <c r="M70" s="109"/>
      <c r="N70" s="61" t="str">
        <f t="shared" ref="N70:N133" si="9">CONCATENATE(B70,C70,D70)</f>
        <v>Kosovo  |  Old age "basic pension"</v>
      </c>
      <c r="O70" s="140">
        <f>Original!M$75</f>
        <v>59.497838245210431</v>
      </c>
      <c r="Q70" s="162" t="str">
        <f t="shared" ref="Q70:Q133" si="10">CONCATENATE(B70,C70,D70)</f>
        <v>Kosovo  |  Old age "basic pension"</v>
      </c>
      <c r="R70" s="163">
        <f>Original!O$75</f>
        <v>128.2051282051282</v>
      </c>
      <c r="T70" s="113" t="str">
        <f t="shared" ref="T70:T133" si="11">CONCATENATE(B70,C70,D70)</f>
        <v>Kosovo  |  Old age "basic pension"</v>
      </c>
      <c r="U70" s="114">
        <f>IF(Original!AD$75="no data", "", Original!AD$75)</f>
        <v>60</v>
      </c>
      <c r="V70" s="4">
        <f>IF(Original!AD75="no data", "", 1)</f>
        <v>1</v>
      </c>
    </row>
    <row r="71" spans="1:22">
      <c r="A71" s="4">
        <f>Original!A76</f>
        <v>1</v>
      </c>
      <c r="B71" s="4" t="str">
        <f>Original!C76</f>
        <v>Kyrgyzstan</v>
      </c>
      <c r="C71" s="4" t="s">
        <v>289</v>
      </c>
      <c r="D71" s="4" t="str">
        <f>Original!G76</f>
        <v>Social assistance allowance (old age)</v>
      </c>
      <c r="E71" s="61" t="str">
        <f t="shared" si="6"/>
        <v>Kyrgyzstan  |  Social assistance allowance (old age)</v>
      </c>
      <c r="F71" s="62">
        <f>Original!N$76</f>
        <v>0.2982774848099084</v>
      </c>
      <c r="G71" s="5"/>
      <c r="H71" s="61" t="str">
        <f t="shared" si="7"/>
        <v>Kyrgyzstan  |  Social assistance allowance (old age)</v>
      </c>
      <c r="I71" s="139">
        <f>Original!T$76</f>
        <v>294.11764705882354</v>
      </c>
      <c r="J71" s="109"/>
      <c r="K71" s="61" t="str">
        <f t="shared" si="8"/>
        <v>Kyrgyzstan  |  Social assistance allowance (old age)</v>
      </c>
      <c r="L71" s="139">
        <f>Original!U$76</f>
        <v>16.231131309852298</v>
      </c>
      <c r="M71" s="109"/>
      <c r="N71" s="61" t="str">
        <f t="shared" si="9"/>
        <v>Kyrgyzstan  |  Social assistance allowance (old age)</v>
      </c>
      <c r="O71" s="140">
        <f>Original!M$76</f>
        <v>21.328783192918845</v>
      </c>
      <c r="Q71" s="162" t="str">
        <f t="shared" si="10"/>
        <v>Kyrgyzstan  |  Social assistance allowance (old age)</v>
      </c>
      <c r="R71" s="163">
        <f>Original!O$76</f>
        <v>55.178502455443358</v>
      </c>
      <c r="T71" s="113" t="str">
        <f t="shared" si="11"/>
        <v>Kyrgyzstan  |  Social assistance allowance (old age)</v>
      </c>
      <c r="U71" s="114" t="str">
        <f>IF(Original!AD$76="no data", "", Original!AD$76)</f>
        <v/>
      </c>
      <c r="V71" s="4" t="str">
        <f>IF(Original!AD76="no data", "", 1)</f>
        <v/>
      </c>
    </row>
    <row r="72" spans="1:22">
      <c r="A72" s="4">
        <f>Original!A77</f>
        <v>1</v>
      </c>
      <c r="B72" s="4" t="str">
        <f>Original!C77</f>
        <v>Latvia</v>
      </c>
      <c r="C72" s="4" t="s">
        <v>289</v>
      </c>
      <c r="D72" s="4" t="str">
        <f>Original!G77</f>
        <v>State social security benefit</v>
      </c>
      <c r="E72" s="61" t="str">
        <f t="shared" si="6"/>
        <v>Latvia  |  State social security benefit</v>
      </c>
      <c r="F72" s="62">
        <f>Original!N$77</f>
        <v>8.5022512859261448E-2</v>
      </c>
      <c r="G72" s="5"/>
      <c r="H72" s="61" t="str">
        <f t="shared" si="7"/>
        <v>Latvia  |  State social security benefit</v>
      </c>
      <c r="I72" s="139">
        <f>Original!T$77</f>
        <v>25</v>
      </c>
      <c r="J72" s="109"/>
      <c r="K72" s="61" t="str">
        <f t="shared" si="8"/>
        <v>Latvia  |  State social security benefit</v>
      </c>
      <c r="L72" s="139">
        <f>Original!U$77</f>
        <v>9.7613882863340571</v>
      </c>
      <c r="M72" s="109"/>
      <c r="N72" s="61" t="str">
        <f t="shared" si="9"/>
        <v>Latvia  |  State social security benefit</v>
      </c>
      <c r="O72" s="140">
        <f>Original!M$77</f>
        <v>85.047031008147499</v>
      </c>
      <c r="Q72" s="162" t="str">
        <f t="shared" si="10"/>
        <v>Latvia  |  State social security benefit</v>
      </c>
      <c r="R72" s="163">
        <f>Original!O$77</f>
        <v>110.83743842364531</v>
      </c>
      <c r="T72" s="113" t="str">
        <f t="shared" si="11"/>
        <v>Latvia  |  State social security benefit</v>
      </c>
      <c r="U72" s="114" t="str">
        <f>IF(Original!AD$77="no data", "", Original!AD$77)</f>
        <v/>
      </c>
      <c r="V72" s="4" t="str">
        <f>IF(Original!AD77="no data", "", 1)</f>
        <v/>
      </c>
    </row>
    <row r="73" spans="1:22">
      <c r="A73" s="4">
        <f>Original!A78</f>
        <v>1</v>
      </c>
      <c r="B73" s="4" t="str">
        <f>Original!C78</f>
        <v>Lesotho</v>
      </c>
      <c r="C73" s="4" t="s">
        <v>289</v>
      </c>
      <c r="D73" s="4" t="str">
        <f>Original!G78</f>
        <v>Old Age Pension</v>
      </c>
      <c r="E73" s="61" t="str">
        <f t="shared" si="6"/>
        <v>Lesotho  |  Old Age Pension</v>
      </c>
      <c r="F73" s="62">
        <f>Original!N$78</f>
        <v>0.34230052959596935</v>
      </c>
      <c r="G73" s="5"/>
      <c r="H73" s="61" t="str">
        <f t="shared" si="7"/>
        <v>Lesotho  |  Old Age Pension</v>
      </c>
      <c r="I73" s="139">
        <f>Original!T$78</f>
        <v>36.945812807881772</v>
      </c>
      <c r="J73" s="109"/>
      <c r="K73" s="61" t="str">
        <f t="shared" si="8"/>
        <v>Lesotho  |  Old Age Pension</v>
      </c>
      <c r="L73" s="139" t="str">
        <f>Original!U$78</f>
        <v>no data</v>
      </c>
      <c r="M73" s="109"/>
      <c r="N73" s="61" t="str">
        <f t="shared" si="9"/>
        <v>Lesotho  |  Old Age Pension</v>
      </c>
      <c r="O73" s="140">
        <f>Original!M$78</f>
        <v>38.662982514021778</v>
      </c>
      <c r="Q73" s="162" t="str">
        <f t="shared" si="10"/>
        <v>Lesotho  |  Old Age Pension</v>
      </c>
      <c r="R73" s="163">
        <f>Original!O$78</f>
        <v>59.124950729207725</v>
      </c>
      <c r="T73" s="113" t="str">
        <f t="shared" si="11"/>
        <v>Lesotho  |  Old Age Pension</v>
      </c>
      <c r="U73" s="114">
        <f>IF(Original!AD$78="no data", "", Original!AD$78)</f>
        <v>100</v>
      </c>
      <c r="V73" s="4">
        <f>IF(Original!AD78="no data", "", 1)</f>
        <v>1</v>
      </c>
    </row>
    <row r="74" spans="1:22">
      <c r="A74" s="4">
        <f>Original!A79</f>
        <v>1</v>
      </c>
      <c r="B74" s="4" t="str">
        <f>Original!C79</f>
        <v>Lithuania</v>
      </c>
      <c r="C74" s="4" t="s">
        <v>289</v>
      </c>
      <c r="D74" s="4" t="str">
        <f>Original!G79</f>
        <v>Old age social assistance pension</v>
      </c>
      <c r="E74" s="61" t="str">
        <f t="shared" si="6"/>
        <v>Lithuania  |  Old age social assistance pension</v>
      </c>
      <c r="F74" s="62">
        <f>Original!N$79</f>
        <v>3.1288115247023393E-2</v>
      </c>
      <c r="G74" s="5"/>
      <c r="H74" s="61" t="str">
        <f t="shared" si="7"/>
        <v>Lithuania  |  Old age social assistance pension</v>
      </c>
      <c r="I74" s="139">
        <f>Original!T$79</f>
        <v>10.574999999999999</v>
      </c>
      <c r="J74" s="109"/>
      <c r="K74" s="61" t="str">
        <f t="shared" si="8"/>
        <v>Lithuania  |  Old age social assistance pension</v>
      </c>
      <c r="L74" s="139" t="e">
        <f>Original!U$79</f>
        <v>#DIV/0!</v>
      </c>
      <c r="M74" s="109"/>
      <c r="N74" s="61" t="str">
        <f t="shared" si="9"/>
        <v>Lithuania  |  Old age social assistance pension</v>
      </c>
      <c r="O74" s="140">
        <f>Original!M$79</f>
        <v>32.395423284880607</v>
      </c>
      <c r="Q74" s="162" t="str">
        <f t="shared" si="10"/>
        <v>Lithuania  |  Old age social assistance pension</v>
      </c>
      <c r="R74" s="163">
        <f>Original!O$79</f>
        <v>49.157466589192325</v>
      </c>
      <c r="T74" s="113" t="str">
        <f t="shared" si="11"/>
        <v>Lithuania  |  Old age social assistance pension</v>
      </c>
      <c r="U74" s="114" t="str">
        <f>IF(Original!AD$79="no data", "", Original!AD$79)</f>
        <v/>
      </c>
      <c r="V74" s="4" t="str">
        <f>IF(Original!AD79="no data", "", 1)</f>
        <v/>
      </c>
    </row>
    <row r="75" spans="1:22">
      <c r="A75" s="4">
        <f>Original!A80</f>
        <v>1</v>
      </c>
      <c r="B75" s="4" t="str">
        <f>Original!C80</f>
        <v>Luxembourg</v>
      </c>
      <c r="C75" s="4" t="s">
        <v>289</v>
      </c>
      <c r="D75" s="4" t="str">
        <f>Original!G80</f>
        <v>Basic pension</v>
      </c>
      <c r="E75" s="61" t="str">
        <f t="shared" si="6"/>
        <v>Luxembourg  |  Basic pension</v>
      </c>
      <c r="F75" s="62">
        <f>Original!N$80</f>
        <v>0</v>
      </c>
      <c r="G75" s="5"/>
      <c r="H75" s="61" t="str">
        <f t="shared" si="7"/>
        <v>Luxembourg  |  Basic pension</v>
      </c>
      <c r="I75" s="139">
        <f>Original!T$80</f>
        <v>22.281639928698752</v>
      </c>
      <c r="J75" s="109"/>
      <c r="K75" s="61" t="str">
        <f t="shared" si="8"/>
        <v>Luxembourg  |  Basic pension</v>
      </c>
      <c r="L75" s="139">
        <f>Original!U$80</f>
        <v>9.3586224107811322</v>
      </c>
      <c r="M75" s="109"/>
      <c r="N75" s="61" t="str">
        <f t="shared" si="9"/>
        <v>Luxembourg  |  Basic pension</v>
      </c>
      <c r="O75" s="140">
        <f>Original!M$80</f>
        <v>0</v>
      </c>
      <c r="Q75" s="162" t="str">
        <f t="shared" si="10"/>
        <v>Luxembourg  |  Basic pension</v>
      </c>
      <c r="R75" s="163">
        <f>Original!O$80</f>
        <v>0</v>
      </c>
      <c r="T75" s="113" t="str">
        <f t="shared" si="11"/>
        <v>Luxembourg  |  Basic pension</v>
      </c>
      <c r="U75" s="114" t="str">
        <f>IF(Original!AD$80="no data", "", Original!AD$80)</f>
        <v/>
      </c>
      <c r="V75" s="4" t="str">
        <f>IF(Original!AD80="no data", "", 1)</f>
        <v/>
      </c>
    </row>
    <row r="76" spans="1:22">
      <c r="A76" s="4">
        <f>Original!A81</f>
        <v>1</v>
      </c>
      <c r="B76" s="4" t="str">
        <f>Original!C81</f>
        <v>Luxembourg</v>
      </c>
      <c r="C76" s="4" t="s">
        <v>289</v>
      </c>
      <c r="D76" s="4" t="str">
        <f>Original!G81</f>
        <v>Targeted pension</v>
      </c>
      <c r="E76" s="61" t="str">
        <f t="shared" si="6"/>
        <v>Luxembourg  |  Targeted pension</v>
      </c>
      <c r="F76" s="62">
        <f>Original!N$81</f>
        <v>0</v>
      </c>
      <c r="G76" s="5"/>
      <c r="H76" s="61" t="str">
        <f t="shared" si="7"/>
        <v>Luxembourg  |  Targeted pension</v>
      </c>
      <c r="I76" s="139">
        <f>Original!T$81</f>
        <v>68.152109328579911</v>
      </c>
      <c r="J76" s="109"/>
      <c r="K76" s="61" t="str">
        <f t="shared" si="8"/>
        <v>Luxembourg  |  Targeted pension</v>
      </c>
      <c r="L76" s="139">
        <f>Original!U$81</f>
        <v>28.624906413775893</v>
      </c>
      <c r="M76" s="109"/>
      <c r="N76" s="61" t="str">
        <f t="shared" si="9"/>
        <v>Luxembourg  |  Targeted pension</v>
      </c>
      <c r="O76" s="140">
        <f>Original!M$81</f>
        <v>0</v>
      </c>
      <c r="Q76" s="162" t="str">
        <f t="shared" si="10"/>
        <v>Luxembourg  |  Targeted pension</v>
      </c>
      <c r="R76" s="163">
        <f>Original!O$81</f>
        <v>0</v>
      </c>
      <c r="T76" s="113" t="str">
        <f t="shared" si="11"/>
        <v>Luxembourg  |  Targeted pension</v>
      </c>
      <c r="U76" s="114" t="str">
        <f>IF(Original!AD$81="no data", "", Original!AD$81)</f>
        <v/>
      </c>
      <c r="V76" s="4" t="str">
        <f>IF(Original!AD81="no data", "", 1)</f>
        <v/>
      </c>
    </row>
    <row r="77" spans="1:22">
      <c r="A77" s="4">
        <f>Original!A82</f>
        <v>0</v>
      </c>
      <c r="B77" s="4" t="str">
        <f>Original!C82</f>
        <v>Luxembourg</v>
      </c>
      <c r="C77" s="4" t="s">
        <v>289</v>
      </c>
      <c r="D77" s="4" t="str">
        <f>Original!G82</f>
        <v>Minimum pension</v>
      </c>
      <c r="E77" s="61" t="str">
        <f t="shared" si="6"/>
        <v>Luxembourg  |  Minimum pension</v>
      </c>
      <c r="F77" s="62">
        <f>Original!N$82</f>
        <v>0</v>
      </c>
      <c r="G77" s="5"/>
      <c r="H77" s="61" t="str">
        <f t="shared" si="7"/>
        <v>Luxembourg  |  Minimum pension</v>
      </c>
      <c r="I77" s="139">
        <f>Original!T$82</f>
        <v>85.323826500297088</v>
      </c>
      <c r="J77" s="109"/>
      <c r="K77" s="61" t="str">
        <f t="shared" si="8"/>
        <v>Luxembourg  |  Minimum pension</v>
      </c>
      <c r="L77" s="139">
        <f>Original!U$82</f>
        <v>35.83728475168455</v>
      </c>
      <c r="M77" s="109"/>
      <c r="N77" s="61" t="str">
        <f t="shared" si="9"/>
        <v>Luxembourg  |  Minimum pension</v>
      </c>
      <c r="O77" s="140">
        <f>Original!M$82</f>
        <v>0</v>
      </c>
      <c r="Q77" s="162" t="str">
        <f t="shared" si="10"/>
        <v>Luxembourg  |  Minimum pension</v>
      </c>
      <c r="R77" s="163">
        <f>Original!O$82</f>
        <v>0</v>
      </c>
      <c r="T77" s="113" t="str">
        <f t="shared" si="11"/>
        <v>Luxembourg  |  Minimum pension</v>
      </c>
      <c r="U77" s="114" t="str">
        <f>IF(Original!AD$82="no data", "", Original!AD$82)</f>
        <v/>
      </c>
      <c r="V77" s="4" t="str">
        <f>IF(Original!AD82="no data", "", 1)</f>
        <v/>
      </c>
    </row>
    <row r="78" spans="1:22">
      <c r="A78" s="4">
        <f>Original!A83</f>
        <v>0</v>
      </c>
      <c r="B78" s="4" t="str">
        <f>Original!C83</f>
        <v>Malaysia</v>
      </c>
      <c r="C78" s="4" t="s">
        <v>289</v>
      </c>
      <c r="D78" s="4" t="str">
        <f>Original!G83</f>
        <v xml:space="preserve">Bantuan Orang Tua </v>
      </c>
      <c r="E78" s="61" t="str">
        <f t="shared" si="6"/>
        <v xml:space="preserve">Malaysia  |  Bantuan Orang Tua </v>
      </c>
      <c r="F78" s="62">
        <f>Original!N$83</f>
        <v>0.13277612112929485</v>
      </c>
      <c r="G78" s="5"/>
      <c r="H78" s="61" t="str">
        <f t="shared" si="7"/>
        <v xml:space="preserve">Malaysia  |  Bantuan Orang Tua </v>
      </c>
      <c r="I78" s="139">
        <f>Original!T$83</f>
        <v>0</v>
      </c>
      <c r="J78" s="109"/>
      <c r="K78" s="61" t="str">
        <f t="shared" si="8"/>
        <v xml:space="preserve">Malaysia  |  Bantuan Orang Tua </v>
      </c>
      <c r="L78" s="139">
        <f>Original!U$83</f>
        <v>0</v>
      </c>
      <c r="M78" s="109"/>
      <c r="N78" s="61" t="str">
        <f t="shared" si="9"/>
        <v xml:space="preserve">Malaysia  |  Bantuan Orang Tua </v>
      </c>
      <c r="O78" s="140">
        <f>Original!M$83</f>
        <v>94.409687692753124</v>
      </c>
      <c r="Q78" s="162" t="str">
        <f t="shared" si="10"/>
        <v xml:space="preserve">Malaysia  |  Bantuan Orang Tua </v>
      </c>
      <c r="R78" s="163">
        <f>Original!O$83</f>
        <v>163.1321370309951</v>
      </c>
      <c r="T78" s="113" t="str">
        <f t="shared" si="11"/>
        <v xml:space="preserve">Malaysia  |  Bantuan Orang Tua </v>
      </c>
      <c r="U78" s="114">
        <f>IF(Original!AD$83="no data", "", Original!AD$83)</f>
        <v>5.2177475123941859</v>
      </c>
      <c r="V78" s="4">
        <f>IF(Original!AD83="no data", "", 1)</f>
        <v>1</v>
      </c>
    </row>
    <row r="79" spans="1:22">
      <c r="A79" s="4">
        <f>Original!A84</f>
        <v>1</v>
      </c>
      <c r="B79" s="4" t="str">
        <f>Original!C84</f>
        <v>Maldives</v>
      </c>
      <c r="C79" s="4" t="s">
        <v>289</v>
      </c>
      <c r="D79" s="4" t="str">
        <f>Original!G84</f>
        <v>Old-age Basic Pension</v>
      </c>
      <c r="E79" s="61" t="str">
        <f t="shared" si="6"/>
        <v>Maldives  |  Old-age Basic Pension</v>
      </c>
      <c r="F79" s="62">
        <f>Original!N$84</f>
        <v>0.28913509813365706</v>
      </c>
      <c r="G79" s="5"/>
      <c r="H79" s="61" t="str">
        <f t="shared" si="7"/>
        <v>Maldives  |  Old-age Basic Pension</v>
      </c>
      <c r="I79" s="139" t="str">
        <f>Original!T$84</f>
        <v>no data</v>
      </c>
      <c r="J79" s="109"/>
      <c r="K79" s="61" t="str">
        <f t="shared" si="8"/>
        <v>Maldives  |  Old-age Basic Pension</v>
      </c>
      <c r="L79" s="139" t="str">
        <f>Original!U$84</f>
        <v>no data</v>
      </c>
      <c r="M79" s="109"/>
      <c r="N79" s="61" t="str">
        <f t="shared" si="9"/>
        <v>Maldives  |  Old-age Basic Pension</v>
      </c>
      <c r="O79" s="140">
        <f>Original!M$84</f>
        <v>131.14754098360655</v>
      </c>
      <c r="Q79" s="162" t="str">
        <f t="shared" si="10"/>
        <v>Maldives  |  Old-age Basic Pension</v>
      </c>
      <c r="R79" s="163">
        <f>Original!O$84</f>
        <v>194.96977968414896</v>
      </c>
      <c r="T79" s="113" t="str">
        <f t="shared" si="11"/>
        <v>Maldives  |  Old-age Basic Pension</v>
      </c>
      <c r="U79" s="114">
        <f>IF(Original!AD$84="no data", "", Original!AD$84)</f>
        <v>89.643822734218887</v>
      </c>
      <c r="V79" s="4">
        <f>IF(Original!AD84="no data", "", 1)</f>
        <v>1</v>
      </c>
    </row>
    <row r="80" spans="1:22">
      <c r="A80" s="4">
        <f>Original!A85</f>
        <v>1</v>
      </c>
      <c r="B80" s="4" t="str">
        <f>Original!C85</f>
        <v>Malta</v>
      </c>
      <c r="C80" s="4" t="s">
        <v>289</v>
      </c>
      <c r="D80" s="4" t="str">
        <f>Original!G85</f>
        <v>Old-age noncontributory pension</v>
      </c>
      <c r="E80" s="61" t="str">
        <f t="shared" si="6"/>
        <v>Malta  |  Old-age noncontributory pension</v>
      </c>
      <c r="F80" s="62">
        <f>Original!N$85</f>
        <v>0.34239329373598371</v>
      </c>
      <c r="G80" s="5"/>
      <c r="H80" s="61" t="str">
        <f t="shared" si="7"/>
        <v>Malta  |  Old-age noncontributory pension</v>
      </c>
      <c r="I80" s="139">
        <f>Original!T$85</f>
        <v>67.907086614173224</v>
      </c>
      <c r="J80" s="109"/>
      <c r="K80" s="61" t="str">
        <f t="shared" si="8"/>
        <v>Malta  |  Old-age noncontributory pension</v>
      </c>
      <c r="L80" s="139">
        <f>Original!U$85</f>
        <v>37.269662921348313</v>
      </c>
      <c r="M80" s="109"/>
      <c r="N80" s="61" t="str">
        <f t="shared" si="9"/>
        <v>Malta  |  Old-age noncontributory pension</v>
      </c>
      <c r="O80" s="140">
        <f>Original!M$85</f>
        <v>570.13472954927079</v>
      </c>
      <c r="Q80" s="162" t="str">
        <f t="shared" si="10"/>
        <v>Malta  |  Old-age noncontributory pension</v>
      </c>
      <c r="R80" s="163">
        <f>Original!O$85</f>
        <v>725.94276094276097</v>
      </c>
      <c r="T80" s="113" t="str">
        <f t="shared" si="11"/>
        <v>Malta  |  Old-age noncontributory pension</v>
      </c>
      <c r="U80" s="114" t="str">
        <f>IF(Original!AD$85="no data", "", Original!AD$85)</f>
        <v/>
      </c>
      <c r="V80" s="4" t="str">
        <f>IF(Original!AD85="no data", "", 1)</f>
        <v/>
      </c>
    </row>
    <row r="81" spans="1:22">
      <c r="A81" s="4">
        <f>Original!A86</f>
        <v>1</v>
      </c>
      <c r="B81" s="4" t="str">
        <f>Original!C86</f>
        <v>Mauritius</v>
      </c>
      <c r="C81" s="4" t="s">
        <v>289</v>
      </c>
      <c r="D81" s="4" t="str">
        <f>Original!G86</f>
        <v>Basic Retirement Pension</v>
      </c>
      <c r="E81" s="61" t="str">
        <f t="shared" si="6"/>
        <v>Mauritius  |  Basic Retirement Pension</v>
      </c>
      <c r="F81" s="62">
        <f>Original!N$86</f>
        <v>0.14984172075196539</v>
      </c>
      <c r="G81" s="5"/>
      <c r="H81" s="61" t="str">
        <f t="shared" si="7"/>
        <v>Mauritius  |  Basic Retirement Pension</v>
      </c>
      <c r="I81" s="139">
        <f>Original!T$86</f>
        <v>87.026279391424623</v>
      </c>
      <c r="J81" s="109"/>
      <c r="K81" s="61" t="str">
        <f t="shared" si="8"/>
        <v>Mauritius  |  Basic Retirement Pension</v>
      </c>
      <c r="L81" s="139">
        <f>Original!U$86</f>
        <v>18.671731260015431</v>
      </c>
      <c r="M81" s="109"/>
      <c r="N81" s="61" t="str">
        <f t="shared" si="9"/>
        <v>Mauritius  |  Basic Retirement Pension</v>
      </c>
      <c r="O81" s="140">
        <f>Original!M$86</f>
        <v>109.42608695652174</v>
      </c>
      <c r="Q81" s="162" t="str">
        <f t="shared" si="10"/>
        <v>Mauritius  |  Basic Retirement Pension</v>
      </c>
      <c r="R81" s="163">
        <f>Original!O$86</f>
        <v>186.72839506172841</v>
      </c>
      <c r="T81" s="113" t="str">
        <f t="shared" si="11"/>
        <v>Mauritius  |  Basic Retirement Pension</v>
      </c>
      <c r="U81" s="114">
        <f>IF(Original!AD$86="no data", "", Original!AD$86)</f>
        <v>100</v>
      </c>
      <c r="V81" s="4">
        <f>IF(Original!AD86="no data", "", 1)</f>
        <v>1</v>
      </c>
    </row>
    <row r="82" spans="1:22">
      <c r="A82" s="4">
        <f>Original!A87</f>
        <v>1</v>
      </c>
      <c r="B82" s="4" t="str">
        <f>Original!C87</f>
        <v>Mexico</v>
      </c>
      <c r="C82" s="4" t="s">
        <v>289</v>
      </c>
      <c r="D82" s="4" t="str">
        <f>Original!G87</f>
        <v>Pension Alimentaria Ciudadana</v>
      </c>
      <c r="E82" s="61" t="str">
        <f t="shared" si="6"/>
        <v>Mexico  |  Pension Alimentaria Ciudadana</v>
      </c>
      <c r="F82" s="62">
        <f>Original!N$87</f>
        <v>8.5335306034454772E-2</v>
      </c>
      <c r="G82" s="5"/>
      <c r="H82" s="61" t="str">
        <f t="shared" si="7"/>
        <v>Mexico  |  Pension Alimentaria Ciudadana</v>
      </c>
      <c r="I82" s="139">
        <f>Original!T$87</f>
        <v>64.859002169197396</v>
      </c>
      <c r="J82" s="109"/>
      <c r="K82" s="61" t="str">
        <f t="shared" si="8"/>
        <v>Mexico  |  Pension Alimentaria Ciudadana</v>
      </c>
      <c r="L82" s="139">
        <f>Original!U$87</f>
        <v>15.613577023498696</v>
      </c>
      <c r="M82" s="109"/>
      <c r="N82" s="61" t="str">
        <f t="shared" si="9"/>
        <v>Mexico  |  Pension Alimentaria Ciudadana</v>
      </c>
      <c r="O82" s="140">
        <f>Original!M$87</f>
        <v>68.319953691714773</v>
      </c>
      <c r="Q82" s="162" t="str">
        <f t="shared" si="10"/>
        <v>Mexico  |  Pension Alimentaria Ciudadana</v>
      </c>
      <c r="R82" s="163">
        <f>Original!O$87</f>
        <v>103.89159138290479</v>
      </c>
      <c r="T82" s="113" t="str">
        <f t="shared" si="11"/>
        <v>Mexico  |  Pension Alimentaria Ciudadana</v>
      </c>
      <c r="U82" s="114">
        <f>IF(Original!AD$87="no data", "", Original!AD$87)</f>
        <v>9.5781966008406805</v>
      </c>
      <c r="V82" s="4">
        <f>IF(Original!AD87="no data", "", 1)</f>
        <v>1</v>
      </c>
    </row>
    <row r="83" spans="1:22">
      <c r="A83" s="4">
        <f>Original!A88</f>
        <v>1</v>
      </c>
      <c r="B83" s="4" t="str">
        <f>Original!C88</f>
        <v>Mexico</v>
      </c>
      <c r="C83" s="4" t="s">
        <v>289</v>
      </c>
      <c r="D83" s="4" t="str">
        <f>Original!G88</f>
        <v>70 y mas</v>
      </c>
      <c r="E83" s="61" t="str">
        <f t="shared" si="6"/>
        <v>Mexico  |  70 y mas</v>
      </c>
      <c r="F83" s="62">
        <f>Original!N$88</f>
        <v>4.7567060219874453E-2</v>
      </c>
      <c r="G83" s="5"/>
      <c r="H83" s="61" t="str">
        <f t="shared" si="7"/>
        <v>Mexico  |  70 y mas</v>
      </c>
      <c r="I83" s="139">
        <f>Original!T$88</f>
        <v>36.153289949385389</v>
      </c>
      <c r="J83" s="109"/>
      <c r="K83" s="61" t="str">
        <f t="shared" si="8"/>
        <v>Mexico  |  70 y mas</v>
      </c>
      <c r="L83" s="139">
        <f>Original!U$88</f>
        <v>8.7032201914708445</v>
      </c>
      <c r="M83" s="109"/>
      <c r="N83" s="61" t="str">
        <f t="shared" si="9"/>
        <v>Mexico  |  70 y mas</v>
      </c>
      <c r="O83" s="140">
        <f>Original!M$88</f>
        <v>38.08247140006398</v>
      </c>
      <c r="Q83" s="162" t="str">
        <f t="shared" si="10"/>
        <v>Mexico  |  70 y mas</v>
      </c>
      <c r="R83" s="163">
        <f>Original!O$88</f>
        <v>57.910586055130878</v>
      </c>
      <c r="T83" s="113" t="str">
        <f t="shared" si="11"/>
        <v>Mexico  |  70 y mas</v>
      </c>
      <c r="U83" s="114">
        <f>IF(Original!AD$88="no data", "", Original!AD$88)</f>
        <v>38.444170729927869</v>
      </c>
      <c r="V83" s="4">
        <f>IF(Original!AD88="no data", "", 1)</f>
        <v>1</v>
      </c>
    </row>
    <row r="84" spans="1:22">
      <c r="A84" s="4">
        <f>Original!A89</f>
        <v>0</v>
      </c>
      <c r="B84" s="4" t="str">
        <f>Original!C89</f>
        <v>Mexico</v>
      </c>
      <c r="C84" s="4" t="s">
        <v>289</v>
      </c>
      <c r="D84" s="4" t="str">
        <f>Original!G89</f>
        <v>Amanecer</v>
      </c>
      <c r="E84" s="61" t="str">
        <f t="shared" si="6"/>
        <v>Mexico  |  Amanecer</v>
      </c>
      <c r="F84" s="62">
        <f>Original!N$89</f>
        <v>5.2323766241861899E-2</v>
      </c>
      <c r="G84" s="5"/>
      <c r="H84" s="61" t="str">
        <f t="shared" si="7"/>
        <v>Mexico  |  Amanecer</v>
      </c>
      <c r="I84" s="139">
        <f>Original!T$89</f>
        <v>0</v>
      </c>
      <c r="J84" s="109"/>
      <c r="K84" s="61" t="str">
        <f t="shared" si="8"/>
        <v>Mexico  |  Amanecer</v>
      </c>
      <c r="L84" s="139">
        <f>Original!U$89</f>
        <v>0</v>
      </c>
      <c r="M84" s="109"/>
      <c r="N84" s="61" t="str">
        <f t="shared" si="9"/>
        <v>Mexico  |  Amanecer</v>
      </c>
      <c r="O84" s="140">
        <f>Original!M$89</f>
        <v>38.925927498690669</v>
      </c>
      <c r="Q84" s="162" t="str">
        <f t="shared" si="10"/>
        <v>Mexico  |  Amanecer</v>
      </c>
      <c r="R84" s="163">
        <f>Original!O$89</f>
        <v>63.701644660643964</v>
      </c>
      <c r="T84" s="113" t="str">
        <f t="shared" si="11"/>
        <v>Mexico  |  Amanecer</v>
      </c>
      <c r="U84" s="114">
        <f>IF(Original!AD$89="no data", "", Original!AD$89)</f>
        <v>3.2071611866658101</v>
      </c>
      <c r="V84" s="4">
        <f>IF(Original!AD89="no data", "", 1)</f>
        <v>1</v>
      </c>
    </row>
    <row r="85" spans="1:22">
      <c r="A85" s="4">
        <f>Original!A90</f>
        <v>0</v>
      </c>
      <c r="B85" s="4" t="str">
        <f>Original!C90</f>
        <v>Mexico</v>
      </c>
      <c r="C85" s="4" t="s">
        <v>289</v>
      </c>
      <c r="D85" s="4" t="str">
        <f>Original!G90</f>
        <v>Minimum pension</v>
      </c>
      <c r="E85" s="61" t="str">
        <f t="shared" si="6"/>
        <v>Mexico  |  Minimum pension</v>
      </c>
      <c r="F85" s="62">
        <f>Original!N$90</f>
        <v>0</v>
      </c>
      <c r="G85" s="5"/>
      <c r="H85" s="61" t="str">
        <f t="shared" si="7"/>
        <v>Mexico  |  Minimum pension</v>
      </c>
      <c r="I85" s="139">
        <f>Original!T$90</f>
        <v>131.57387322246325</v>
      </c>
      <c r="J85" s="109"/>
      <c r="K85" s="61" t="str">
        <f t="shared" si="8"/>
        <v>Mexico  |  Minimum pension</v>
      </c>
      <c r="L85" s="139">
        <f>Original!U$90</f>
        <v>31.673919350159562</v>
      </c>
      <c r="M85" s="109"/>
      <c r="N85" s="61" t="str">
        <f t="shared" si="9"/>
        <v>Mexico  |  Minimum pension</v>
      </c>
      <c r="O85" s="140">
        <f>Original!M$90</f>
        <v>0</v>
      </c>
      <c r="Q85" s="162" t="str">
        <f t="shared" si="10"/>
        <v>Mexico  |  Minimum pension</v>
      </c>
      <c r="R85" s="163">
        <f>Original!O$90</f>
        <v>0</v>
      </c>
      <c r="T85" s="113" t="str">
        <f t="shared" si="11"/>
        <v>Mexico  |  Minimum pension</v>
      </c>
      <c r="U85" s="114" t="str">
        <f>IF(Original!AD$90="no data", "", Original!AD$90)</f>
        <v/>
      </c>
      <c r="V85" s="4" t="str">
        <f>IF(Original!AD90="no data", "", 1)</f>
        <v/>
      </c>
    </row>
    <row r="86" spans="1:22">
      <c r="A86" s="4">
        <f>Original!A91</f>
        <v>1</v>
      </c>
      <c r="B86" s="4" t="str">
        <f>Original!C91</f>
        <v>Moldova, Republic of</v>
      </c>
      <c r="C86" s="4" t="s">
        <v>289</v>
      </c>
      <c r="D86" s="4" t="str">
        <f>Original!G91</f>
        <v>State Social Allocation for Older Persons</v>
      </c>
      <c r="E86" s="61" t="str">
        <f t="shared" si="6"/>
        <v>Moldova, Republic of  |  State Social Allocation for Older Persons</v>
      </c>
      <c r="F86" s="62">
        <f>Original!N$91</f>
        <v>5.3262306369880316E-2</v>
      </c>
      <c r="G86" s="5"/>
      <c r="H86" s="61" t="str">
        <f t="shared" si="7"/>
        <v>Moldova, Republic of  |  State Social Allocation for Older Persons</v>
      </c>
      <c r="I86" s="139" t="str">
        <f>Original!T$91</f>
        <v>no data</v>
      </c>
      <c r="J86" s="109"/>
      <c r="K86" s="61" t="str">
        <f t="shared" si="8"/>
        <v>Moldova, Republic of  |  State Social Allocation for Older Persons</v>
      </c>
      <c r="L86" s="139">
        <f>Original!U$91</f>
        <v>3.2645560407569141</v>
      </c>
      <c r="M86" s="109"/>
      <c r="N86" s="61" t="str">
        <f t="shared" si="9"/>
        <v>Moldova, Republic of  |  State Social Allocation for Older Persons</v>
      </c>
      <c r="O86" s="140">
        <f>Original!M$91</f>
        <v>7.6642460486971373</v>
      </c>
      <c r="Q86" s="162" t="str">
        <f t="shared" si="10"/>
        <v>Moldova, Republic of  |  State Social Allocation for Older Persons</v>
      </c>
      <c r="R86" s="163">
        <f>Original!O$91</f>
        <v>13.776105651105651</v>
      </c>
      <c r="T86" s="113" t="str">
        <f t="shared" si="11"/>
        <v>Moldova, Republic of  |  State Social Allocation for Older Persons</v>
      </c>
      <c r="U86" s="114">
        <f>IF(Original!AD$91="no data", "", Original!AD$91)</f>
        <v>0.52306198413982841</v>
      </c>
      <c r="V86" s="4">
        <f>IF(Original!AD91="no data", "", 1)</f>
        <v>1</v>
      </c>
    </row>
    <row r="87" spans="1:22">
      <c r="A87" s="4">
        <f>Original!A92</f>
        <v>1</v>
      </c>
      <c r="B87" s="4" t="str">
        <f>Original!C92</f>
        <v>Mongolia</v>
      </c>
      <c r="C87" s="4" t="s">
        <v>289</v>
      </c>
      <c r="D87" s="4" t="str">
        <f>Original!G92</f>
        <v>Social welfare pension</v>
      </c>
      <c r="E87" s="61" t="str">
        <f t="shared" si="6"/>
        <v>Mongolia  |  Social welfare pension</v>
      </c>
      <c r="F87" s="62">
        <f>Original!N$92</f>
        <v>0.14393399197140991</v>
      </c>
      <c r="G87" s="5"/>
      <c r="H87" s="61" t="str">
        <f t="shared" si="7"/>
        <v>Mongolia  |  Social welfare pension</v>
      </c>
      <c r="I87" s="139">
        <f>Original!T$92</f>
        <v>31.944444444444443</v>
      </c>
      <c r="J87" s="109"/>
      <c r="K87" s="61" t="str">
        <f t="shared" si="8"/>
        <v>Mongolia  |  Social welfare pension</v>
      </c>
      <c r="L87" s="139">
        <f>Original!U$92</f>
        <v>11.480865224625623</v>
      </c>
      <c r="M87" s="109"/>
      <c r="N87" s="61" t="str">
        <f t="shared" si="9"/>
        <v>Mongolia  |  Social welfare pension</v>
      </c>
      <c r="O87" s="140">
        <f>Original!M$92</f>
        <v>27.802401482794743</v>
      </c>
      <c r="Q87" s="162" t="str">
        <f t="shared" si="10"/>
        <v>Mongolia  |  Social welfare pension</v>
      </c>
      <c r="R87" s="163">
        <f>Original!O$92</f>
        <v>44.707824646840578</v>
      </c>
      <c r="T87" s="113" t="str">
        <f t="shared" si="11"/>
        <v>Mongolia  |  Social welfare pension</v>
      </c>
      <c r="U87" s="114">
        <f>IF(Original!AD$92="no data", "", Original!AD$92)</f>
        <v>1.2744169149881444</v>
      </c>
      <c r="V87" s="4">
        <f>IF(Original!AD92="no data", "", 1)</f>
        <v>1</v>
      </c>
    </row>
    <row r="88" spans="1:22">
      <c r="A88" s="4">
        <f>Original!A93</f>
        <v>1</v>
      </c>
      <c r="B88" s="4" t="str">
        <f>Original!C93</f>
        <v>Namibia</v>
      </c>
      <c r="C88" s="4" t="s">
        <v>289</v>
      </c>
      <c r="D88" s="4" t="str">
        <f>Original!G93</f>
        <v>Old Age Pension (OAP)</v>
      </c>
      <c r="E88" s="61" t="str">
        <f t="shared" si="6"/>
        <v>Namibia  |  Old Age Pension (OAP)</v>
      </c>
      <c r="F88" s="62">
        <f>Original!N$93</f>
        <v>0.15608766070330291</v>
      </c>
      <c r="G88" s="5"/>
      <c r="H88" s="61" t="str">
        <f t="shared" si="7"/>
        <v>Namibia  |  Old Age Pension (OAP)</v>
      </c>
      <c r="I88" s="139" t="str">
        <f>Original!T$93</f>
        <v>no data</v>
      </c>
      <c r="J88" s="109"/>
      <c r="K88" s="61" t="str">
        <f t="shared" si="8"/>
        <v>Namibia  |  Old Age Pension (OAP)</v>
      </c>
      <c r="L88" s="139" t="str">
        <f>Original!U$93</f>
        <v>no data</v>
      </c>
      <c r="M88" s="109"/>
      <c r="N88" s="61" t="str">
        <f t="shared" si="9"/>
        <v>Namibia  |  Old Age Pension (OAP)</v>
      </c>
      <c r="O88" s="140">
        <f>Original!M$93</f>
        <v>64.451012718762854</v>
      </c>
      <c r="Q88" s="162" t="str">
        <f t="shared" si="10"/>
        <v>Namibia  |  Old Age Pension (OAP)</v>
      </c>
      <c r="R88" s="163">
        <f>Original!O$93</f>
        <v>91.257528746121551</v>
      </c>
      <c r="T88" s="113" t="str">
        <f t="shared" si="11"/>
        <v>Namibia  |  Old Age Pension (OAP)</v>
      </c>
      <c r="U88" s="114">
        <f>IF(Original!AD$93="no data", "", Original!AD$93)</f>
        <v>98.376560425957138</v>
      </c>
      <c r="V88" s="4">
        <f>IF(Original!AD93="no data", "", 1)</f>
        <v>1</v>
      </c>
    </row>
    <row r="89" spans="1:22">
      <c r="A89" s="4">
        <f>Original!A94</f>
        <v>1</v>
      </c>
      <c r="B89" s="4" t="str">
        <f>Original!C94</f>
        <v>Nepal</v>
      </c>
      <c r="C89" s="4" t="s">
        <v>289</v>
      </c>
      <c r="D89" s="4" t="str">
        <f>Original!G94</f>
        <v>Old Age Allowance</v>
      </c>
      <c r="E89" s="61" t="str">
        <f t="shared" si="6"/>
        <v>Nepal  |  Old Age Allowance</v>
      </c>
      <c r="F89" s="62">
        <f>Original!N$94</f>
        <v>0.17347742908300526</v>
      </c>
      <c r="G89" s="5"/>
      <c r="H89" s="61" t="str">
        <f t="shared" si="7"/>
        <v>Nepal  |  Old Age Allowance</v>
      </c>
      <c r="I89" s="139">
        <f>Original!T$94</f>
        <v>10.869565217391305</v>
      </c>
      <c r="J89" s="109"/>
      <c r="K89" s="61" t="str">
        <f t="shared" si="8"/>
        <v>Nepal  |  Old Age Allowance</v>
      </c>
      <c r="L89" s="139">
        <f>Original!U$94</f>
        <v>9.7713504006253675</v>
      </c>
      <c r="M89" s="109"/>
      <c r="N89" s="61" t="str">
        <f t="shared" si="9"/>
        <v>Nepal  |  Old Age Allowance</v>
      </c>
      <c r="O89" s="140">
        <f>Original!M$94</f>
        <v>6.7385444743935308</v>
      </c>
      <c r="Q89" s="162" t="str">
        <f t="shared" si="10"/>
        <v>Nepal  |  Old Age Allowance</v>
      </c>
      <c r="R89" s="163">
        <f>Original!O$94</f>
        <v>17.303433001107418</v>
      </c>
      <c r="T89" s="113" t="str">
        <f t="shared" si="11"/>
        <v>Nepal  |  Old Age Allowance</v>
      </c>
      <c r="U89" s="114">
        <f>IF(Original!AD$94="no data", "", Original!AD$94)</f>
        <v>69.099199210671884</v>
      </c>
      <c r="V89" s="4">
        <f>IF(Original!AD94="no data", "", 1)</f>
        <v>1</v>
      </c>
    </row>
    <row r="90" spans="1:22">
      <c r="A90" s="4">
        <f>Original!A95</f>
        <v>1</v>
      </c>
      <c r="B90" s="4" t="str">
        <f>Original!C95</f>
        <v>Netherlands</v>
      </c>
      <c r="C90" s="4" t="s">
        <v>289</v>
      </c>
      <c r="D90" s="4" t="str">
        <f>Original!G95</f>
        <v>Old-age pension</v>
      </c>
      <c r="E90" s="61" t="str">
        <f t="shared" si="6"/>
        <v>Netherlands  |  Old-age pension</v>
      </c>
      <c r="F90" s="62">
        <f>Original!N$95</f>
        <v>0.34410048999427073</v>
      </c>
      <c r="G90" s="5"/>
      <c r="H90" s="61" t="str">
        <f t="shared" si="7"/>
        <v>Netherlands  |  Old-age pension</v>
      </c>
      <c r="I90" s="139">
        <f>Original!T$95</f>
        <v>75.756492732904448</v>
      </c>
      <c r="J90" s="109"/>
      <c r="K90" s="61" t="str">
        <f t="shared" si="8"/>
        <v>Netherlands  |  Old-age pension</v>
      </c>
      <c r="L90" s="139" t="str">
        <f>Original!U$95</f>
        <v>no data</v>
      </c>
      <c r="M90" s="109"/>
      <c r="N90" s="61" t="str">
        <f t="shared" si="9"/>
        <v>Netherlands  |  Old-age pension</v>
      </c>
      <c r="O90" s="140">
        <f>Original!M$95</f>
        <v>1392.5718194254446</v>
      </c>
      <c r="Q90" s="162" t="str">
        <f t="shared" si="10"/>
        <v>Netherlands  |  Old-age pension</v>
      </c>
      <c r="R90" s="163">
        <f>Original!O$95</f>
        <v>1168.7370838117108</v>
      </c>
      <c r="T90" s="113" t="str">
        <f t="shared" si="11"/>
        <v>Netherlands  |  Old-age pension</v>
      </c>
      <c r="U90" s="114">
        <f>IF(Original!AD$95="no data", "", Original!AD$95)</f>
        <v>100</v>
      </c>
      <c r="V90" s="4">
        <f>IF(Original!AD95="no data", "", 1)</f>
        <v>1</v>
      </c>
    </row>
    <row r="91" spans="1:22">
      <c r="A91" s="4">
        <f>Original!A96</f>
        <v>1</v>
      </c>
      <c r="B91" s="4" t="str">
        <f>Original!C96</f>
        <v>New Zealand</v>
      </c>
      <c r="C91" s="4" t="s">
        <v>289</v>
      </c>
      <c r="D91" s="4" t="str">
        <f>Original!G96</f>
        <v>Superannuation</v>
      </c>
      <c r="E91" s="61" t="str">
        <f t="shared" si="6"/>
        <v>New Zealand  |  Superannuation</v>
      </c>
      <c r="F91" s="62">
        <f>Original!N$96</f>
        <v>0.34653765159135153</v>
      </c>
      <c r="G91" s="5"/>
      <c r="H91" s="61" t="str">
        <f t="shared" si="7"/>
        <v>New Zealand  |  Superannuation</v>
      </c>
      <c r="I91" s="139">
        <f>Original!T$96</f>
        <v>69.543147208121823</v>
      </c>
      <c r="J91" s="109"/>
      <c r="K91" s="61" t="str">
        <f t="shared" si="8"/>
        <v>New Zealand  |  Superannuation</v>
      </c>
      <c r="L91" s="139">
        <f>Original!U$96</f>
        <v>41.253764029564742</v>
      </c>
      <c r="M91" s="109"/>
      <c r="N91" s="61" t="str">
        <f t="shared" si="9"/>
        <v>New Zealand  |  Superannuation</v>
      </c>
      <c r="O91" s="140">
        <f>Original!M$96</f>
        <v>869.42813758325678</v>
      </c>
      <c r="Q91" s="162" t="str">
        <f t="shared" si="10"/>
        <v>New Zealand  |  Superannuation</v>
      </c>
      <c r="R91" s="163">
        <f>Original!O$96</f>
        <v>782.54573891977259</v>
      </c>
      <c r="T91" s="113" t="str">
        <f t="shared" si="11"/>
        <v>New Zealand  |  Superannuation</v>
      </c>
      <c r="U91" s="114">
        <f>IF(Original!AD$96="no data", "", Original!AD$96)</f>
        <v>93.650535675923081</v>
      </c>
      <c r="V91" s="4">
        <f>IF(Original!AD96="no data", "", 1)</f>
        <v>1</v>
      </c>
    </row>
    <row r="92" spans="1:22">
      <c r="A92" s="4">
        <f>Original!A97</f>
        <v>1</v>
      </c>
      <c r="B92" s="4" t="str">
        <f>Original!C97</f>
        <v>Nigeria</v>
      </c>
      <c r="C92" s="4" t="s">
        <v>289</v>
      </c>
      <c r="D92" s="4" t="str">
        <f>Original!G97</f>
        <v>Ekiti State Social Security Scheme (Ekiti State only)</v>
      </c>
      <c r="E92" s="61" t="str">
        <f t="shared" si="6"/>
        <v>Nigeria  |  Ekiti State Social Security Scheme (Ekiti State only)</v>
      </c>
      <c r="F92" s="62">
        <f>Original!N$97</f>
        <v>0.22652678230111364</v>
      </c>
      <c r="G92" s="5"/>
      <c r="H92" s="61" t="str">
        <f t="shared" si="7"/>
        <v>Nigeria  |  Ekiti State Social Security Scheme (Ekiti State only)</v>
      </c>
      <c r="I92" s="139">
        <f>Original!T$97</f>
        <v>0</v>
      </c>
      <c r="J92" s="109"/>
      <c r="K92" s="61" t="str">
        <f t="shared" si="8"/>
        <v>Nigeria  |  Ekiti State Social Security Scheme (Ekiti State only)</v>
      </c>
      <c r="L92" s="139">
        <f>Original!U$97</f>
        <v>0</v>
      </c>
      <c r="M92" s="109"/>
      <c r="N92" s="61" t="str">
        <f t="shared" si="9"/>
        <v>Nigeria  |  Ekiti State Social Security Scheme (Ekiti State only)</v>
      </c>
      <c r="O92" s="140">
        <f>Original!M$97</f>
        <v>31.685678073510772</v>
      </c>
      <c r="Q92" s="162" t="str">
        <f t="shared" si="10"/>
        <v>Nigeria  |  Ekiti State Social Security Scheme (Ekiti State only)</v>
      </c>
      <c r="R92" s="163">
        <f>Original!O$97</f>
        <v>51.38851774959403</v>
      </c>
      <c r="T92" s="113" t="str">
        <f t="shared" si="11"/>
        <v>Nigeria  |  Ekiti State Social Security Scheme (Ekiti State only)</v>
      </c>
      <c r="U92" s="114">
        <f>IF(Original!AD$97="no data", "", Original!AD$97)</f>
        <v>0.36114779269177716</v>
      </c>
      <c r="V92" s="4">
        <f>IF(Original!AD97="no data", "", 1)</f>
        <v>1</v>
      </c>
    </row>
    <row r="93" spans="1:22">
      <c r="A93" s="4">
        <f>Original!A98</f>
        <v>1</v>
      </c>
      <c r="B93" s="4" t="str">
        <f>Original!C98</f>
        <v>Norway</v>
      </c>
      <c r="C93" s="4" t="s">
        <v>289</v>
      </c>
      <c r="D93" s="4" t="str">
        <f>Original!G98</f>
        <v>Grunnpensjon (Basic Pension)</v>
      </c>
      <c r="E93" s="61" t="str">
        <f t="shared" si="6"/>
        <v>Norway  |  Grunnpensjon (Basic Pension)</v>
      </c>
      <c r="F93" s="62">
        <f>Original!N$98</f>
        <v>0.14176719859516865</v>
      </c>
      <c r="G93" s="5"/>
      <c r="H93" s="61" t="str">
        <f t="shared" si="7"/>
        <v>Norway  |  Grunnpensjon (Basic Pension)</v>
      </c>
      <c r="I93" s="139" t="str">
        <f>Original!T$98</f>
        <v>no data</v>
      </c>
      <c r="J93" s="109"/>
      <c r="K93" s="61" t="str">
        <f t="shared" si="8"/>
        <v>Norway  |  Grunnpensjon (Basic Pension)</v>
      </c>
      <c r="L93" s="139">
        <f>Original!U$98</f>
        <v>17.25402556818182</v>
      </c>
      <c r="M93" s="109"/>
      <c r="N93" s="61" t="str">
        <f t="shared" si="9"/>
        <v>Norway  |  Grunnpensjon (Basic Pension)</v>
      </c>
      <c r="O93" s="140">
        <f>Original!M$98</f>
        <v>1061.4595858616931</v>
      </c>
      <c r="Q93" s="162" t="str">
        <f t="shared" si="10"/>
        <v>Norway  |  Grunnpensjon (Basic Pension)</v>
      </c>
      <c r="R93" s="163">
        <f>Original!O$98</f>
        <v>616.27772704211066</v>
      </c>
      <c r="T93" s="113" t="str">
        <f t="shared" si="11"/>
        <v>Norway  |  Grunnpensjon (Basic Pension)</v>
      </c>
      <c r="U93" s="114">
        <f>IF(Original!AD$98="no data", "", Original!AD$98)</f>
        <v>21.558703888045386</v>
      </c>
      <c r="V93" s="4">
        <f>IF(Original!AD98="no data", "", 1)</f>
        <v>1</v>
      </c>
    </row>
    <row r="94" spans="1:22">
      <c r="A94" s="4">
        <f>Original!A99</f>
        <v>0</v>
      </c>
      <c r="B94" s="4" t="str">
        <f>Original!C99</f>
        <v>Norway</v>
      </c>
      <c r="C94" s="4" t="s">
        <v>289</v>
      </c>
      <c r="D94" s="4" t="str">
        <f>Original!G99</f>
        <v>Minimum pension</v>
      </c>
      <c r="E94" s="61" t="str">
        <f t="shared" si="6"/>
        <v>Norway  |  Minimum pension</v>
      </c>
      <c r="F94" s="62">
        <f>Original!N$99</f>
        <v>0.2688559987597019</v>
      </c>
      <c r="G94" s="5"/>
      <c r="H94" s="61" t="str">
        <f t="shared" si="7"/>
        <v>Norway  |  Minimum pension</v>
      </c>
      <c r="I94" s="139" t="str">
        <f>Original!T$99</f>
        <v>no data</v>
      </c>
      <c r="J94" s="109"/>
      <c r="K94" s="61" t="str">
        <f t="shared" si="8"/>
        <v>Norway  |  Minimum pension</v>
      </c>
      <c r="L94" s="139">
        <f>Original!U$99</f>
        <v>32.721590909090907</v>
      </c>
      <c r="M94" s="109"/>
      <c r="N94" s="61" t="str">
        <f t="shared" si="9"/>
        <v>Norway  |  Minimum pension</v>
      </c>
      <c r="O94" s="140">
        <f>Original!M$99</f>
        <v>2013.0169737982721</v>
      </c>
      <c r="Q94" s="162" t="str">
        <f t="shared" si="10"/>
        <v>Norway  |  Minimum pension</v>
      </c>
      <c r="R94" s="163">
        <f>Original!O$99</f>
        <v>1168.7468290208017</v>
      </c>
      <c r="T94" s="113" t="str">
        <f t="shared" si="11"/>
        <v>Norway  |  Minimum pension</v>
      </c>
      <c r="U94" s="114" t="str">
        <f>IF(Original!AD$99="no data", "", Original!AD$99)</f>
        <v/>
      </c>
      <c r="V94" s="4" t="str">
        <f>IF(Original!AD99="no data", "", 1)</f>
        <v/>
      </c>
    </row>
    <row r="95" spans="1:22">
      <c r="A95" s="4">
        <f>Original!A100</f>
        <v>1</v>
      </c>
      <c r="B95" s="4" t="str">
        <f>Original!C100</f>
        <v>Panama</v>
      </c>
      <c r="C95" s="4" t="s">
        <v>289</v>
      </c>
      <c r="D95" s="4" t="str">
        <f>Original!G100</f>
        <v>100 a los 70</v>
      </c>
      <c r="E95" s="61" t="str">
        <f t="shared" si="6"/>
        <v>Panama  |  100 a los 70</v>
      </c>
      <c r="F95" s="62">
        <f>Original!N$100</f>
        <v>0.14094076788053861</v>
      </c>
      <c r="G95" s="5"/>
      <c r="H95" s="61" t="str">
        <f t="shared" si="7"/>
        <v>Panama  |  100 a los 70</v>
      </c>
      <c r="I95" s="139">
        <f>Original!T$100</f>
        <v>34.602076124567475</v>
      </c>
      <c r="J95" s="109"/>
      <c r="K95" s="61" t="str">
        <f t="shared" si="8"/>
        <v>Panama  |  100 a los 70</v>
      </c>
      <c r="L95" s="139">
        <f>Original!U$100</f>
        <v>18.248175182481752</v>
      </c>
      <c r="M95" s="109"/>
      <c r="N95" s="61" t="str">
        <f t="shared" si="9"/>
        <v>Panama  |  100 a los 70</v>
      </c>
      <c r="O95" s="140">
        <f>Original!M$100</f>
        <v>100</v>
      </c>
      <c r="Q95" s="162" t="str">
        <f t="shared" si="10"/>
        <v>Panama  |  100 a los 70</v>
      </c>
      <c r="R95" s="163">
        <f>Original!O$100</f>
        <v>165.56291390728478</v>
      </c>
      <c r="T95" s="113" t="str">
        <f t="shared" si="11"/>
        <v>Panama  |  100 a los 70</v>
      </c>
      <c r="U95" s="114">
        <f>IF(Original!AD$100="no data", "", Original!AD$100)</f>
        <v>55.580647906316074</v>
      </c>
      <c r="V95" s="4">
        <f>IF(Original!AD100="no data", "", 1)</f>
        <v>1</v>
      </c>
    </row>
    <row r="96" spans="1:22">
      <c r="A96" s="4">
        <f>Original!A101</f>
        <v>1</v>
      </c>
      <c r="B96" s="4" t="str">
        <f>Original!C101</f>
        <v>Paraguay</v>
      </c>
      <c r="C96" s="4" t="s">
        <v>289</v>
      </c>
      <c r="D96" s="4" t="str">
        <f>Original!G101</f>
        <v>Pension alimentaria</v>
      </c>
      <c r="E96" s="61" t="str">
        <f t="shared" si="6"/>
        <v>Paraguay  |  Pension alimentaria</v>
      </c>
      <c r="F96" s="62">
        <f>Original!N$101</f>
        <v>0.3071030802542406</v>
      </c>
      <c r="G96" s="5"/>
      <c r="H96" s="61" t="str">
        <f t="shared" si="7"/>
        <v>Paraguay  |  Pension alimentaria</v>
      </c>
      <c r="I96" s="139">
        <f>Original!T$101</f>
        <v>26.688187566853554</v>
      </c>
      <c r="J96" s="109"/>
      <c r="K96" s="61" t="str">
        <f t="shared" si="8"/>
        <v>Paraguay  |  Pension alimentaria</v>
      </c>
      <c r="L96" s="139">
        <f>Original!U$101</f>
        <v>26.81825638538405</v>
      </c>
      <c r="M96" s="109"/>
      <c r="N96" s="61" t="str">
        <f t="shared" si="9"/>
        <v>Paraguay  |  Pension alimentaria</v>
      </c>
      <c r="O96" s="140">
        <f>Original!M$101</f>
        <v>87.441860465116278</v>
      </c>
      <c r="Q96" s="162" t="str">
        <f t="shared" si="10"/>
        <v>Paraguay  |  Pension alimentaria</v>
      </c>
      <c r="R96" s="163">
        <f>Original!O$101</f>
        <v>138.52140192500539</v>
      </c>
      <c r="T96" s="113" t="str">
        <f t="shared" si="11"/>
        <v>Paraguay  |  Pension alimentaria</v>
      </c>
      <c r="U96" s="114">
        <f>IF(Original!AD$101="no data", "", Original!AD$101)</f>
        <v>7.3196796908167299</v>
      </c>
      <c r="V96" s="4">
        <f>IF(Original!AD101="no data", "", 1)</f>
        <v>1</v>
      </c>
    </row>
    <row r="97" spans="1:22">
      <c r="A97" s="4">
        <f>Original!A102</f>
        <v>1</v>
      </c>
      <c r="B97" s="4" t="str">
        <f>Original!C102</f>
        <v>Peru</v>
      </c>
      <c r="C97" s="4" t="s">
        <v>289</v>
      </c>
      <c r="D97" s="4" t="str">
        <f>Original!G102</f>
        <v>Pension 65</v>
      </c>
      <c r="E97" s="61" t="str">
        <f t="shared" si="6"/>
        <v>Peru  |  Pension 65</v>
      </c>
      <c r="F97" s="62">
        <f>Original!N$102</f>
        <v>9.2534855412437722E-2</v>
      </c>
      <c r="G97" s="5"/>
      <c r="H97" s="61" t="str">
        <f t="shared" si="7"/>
        <v>Peru  |  Pension 65</v>
      </c>
      <c r="I97" s="139">
        <f>Original!T$102</f>
        <v>0</v>
      </c>
      <c r="J97" s="109"/>
      <c r="K97" s="61" t="str">
        <f t="shared" si="8"/>
        <v>Peru  |  Pension 65</v>
      </c>
      <c r="L97" s="139">
        <f>Original!U$102</f>
        <v>0</v>
      </c>
      <c r="M97" s="109"/>
      <c r="N97" s="61" t="str">
        <f t="shared" si="9"/>
        <v>Peru  |  Pension 65</v>
      </c>
      <c r="O97" s="140">
        <f>Original!M$102</f>
        <v>47.169811320754718</v>
      </c>
      <c r="Q97" s="162" t="str">
        <f t="shared" si="10"/>
        <v>Peru  |  Pension 65</v>
      </c>
      <c r="R97" s="163">
        <f>Original!O$102</f>
        <v>77.591558038485417</v>
      </c>
      <c r="T97" s="113" t="str">
        <f t="shared" si="11"/>
        <v>Peru  |  Pension 65</v>
      </c>
      <c r="U97" s="114">
        <f>IF(Original!AD$102="no data", "", Original!AD$102)</f>
        <v>2.2285239672065762</v>
      </c>
      <c r="V97" s="4">
        <f>IF(Original!AD102="no data", "", 1)</f>
        <v>1</v>
      </c>
    </row>
    <row r="98" spans="1:22">
      <c r="A98" s="4">
        <f>Original!A103</f>
        <v>1</v>
      </c>
      <c r="B98" s="4" t="str">
        <f>Original!C103</f>
        <v>Philippines</v>
      </c>
      <c r="C98" s="4" t="s">
        <v>289</v>
      </c>
      <c r="D98" s="4" t="str">
        <f>Original!G103</f>
        <v>Old Age Grant</v>
      </c>
      <c r="E98" s="61" t="str">
        <f t="shared" si="6"/>
        <v>Philippines  |  Old Age Grant</v>
      </c>
      <c r="F98" s="62">
        <f>Original!N$103</f>
        <v>5.9080227788544652E-2</v>
      </c>
      <c r="G98" s="5"/>
      <c r="H98" s="61" t="str">
        <f t="shared" si="7"/>
        <v>Philippines  |  Old Age Grant</v>
      </c>
      <c r="I98" s="139">
        <f>Original!T$103</f>
        <v>5.0342327829238824</v>
      </c>
      <c r="J98" s="109"/>
      <c r="K98" s="61" t="str">
        <f t="shared" si="8"/>
        <v>Philippines  |  Old Age Grant</v>
      </c>
      <c r="L98" s="139">
        <f>Original!U$103</f>
        <v>6.6146315650218277</v>
      </c>
      <c r="M98" s="109"/>
      <c r="N98" s="61" t="str">
        <f t="shared" si="9"/>
        <v>Philippines  |  Old Age Grant</v>
      </c>
      <c r="O98" s="140">
        <f>Original!M$103</f>
        <v>11.725748806318773</v>
      </c>
      <c r="Q98" s="162" t="str">
        <f t="shared" si="10"/>
        <v>Philippines  |  Old Age Grant</v>
      </c>
      <c r="R98" s="163">
        <f>Original!O$103</f>
        <v>20.052135552436336</v>
      </c>
      <c r="T98" s="113" t="str">
        <f t="shared" si="11"/>
        <v>Philippines  |  Old Age Grant</v>
      </c>
      <c r="U98" s="114">
        <f>IF(Original!AD$103="no data", "", Original!AD$103)</f>
        <v>8.3156517515077084</v>
      </c>
      <c r="V98" s="4">
        <f>IF(Original!AD103="no data", "", 1)</f>
        <v>1</v>
      </c>
    </row>
    <row r="99" spans="1:22">
      <c r="A99" s="4">
        <f>Original!A104</f>
        <v>1</v>
      </c>
      <c r="B99" s="4" t="str">
        <f>Original!C104</f>
        <v>Poland</v>
      </c>
      <c r="C99" s="4" t="s">
        <v>289</v>
      </c>
      <c r="D99" s="4" t="str">
        <f>Original!G104</f>
        <v>Targeted pension</v>
      </c>
      <c r="E99" s="61" t="str">
        <f t="shared" si="6"/>
        <v>Poland  |  Targeted pension</v>
      </c>
      <c r="F99" s="62">
        <f>Original!N$104</f>
        <v>0</v>
      </c>
      <c r="G99" s="5"/>
      <c r="H99" s="61" t="str">
        <f t="shared" si="7"/>
        <v>Poland  |  Targeted pension</v>
      </c>
      <c r="I99" s="139">
        <f>Original!T$104</f>
        <v>37.38244514106583</v>
      </c>
      <c r="J99" s="109"/>
      <c r="K99" s="61" t="str">
        <f t="shared" si="8"/>
        <v>Poland  |  Targeted pension</v>
      </c>
      <c r="L99" s="139">
        <f>Original!U$104</f>
        <v>15.372220431840155</v>
      </c>
      <c r="M99" s="109"/>
      <c r="N99" s="61" t="str">
        <f t="shared" si="9"/>
        <v>Poland  |  Targeted pension</v>
      </c>
      <c r="O99" s="140">
        <f>Original!M$104</f>
        <v>0</v>
      </c>
      <c r="Q99" s="162" t="str">
        <f t="shared" si="10"/>
        <v>Poland  |  Targeted pension</v>
      </c>
      <c r="R99" s="163">
        <f>Original!O$104</f>
        <v>0</v>
      </c>
      <c r="T99" s="113" t="str">
        <f t="shared" si="11"/>
        <v>Poland  |  Targeted pension</v>
      </c>
      <c r="U99" s="114">
        <f>IF(Original!AD$104="no data", "", Original!AD$104)</f>
        <v>0.12</v>
      </c>
      <c r="V99" s="4">
        <f>IF(Original!AD104="no data", "", 1)</f>
        <v>1</v>
      </c>
    </row>
    <row r="100" spans="1:22">
      <c r="A100" s="4">
        <f>Original!A105</f>
        <v>0</v>
      </c>
      <c r="B100" s="4" t="str">
        <f>Original!C105</f>
        <v>Poland</v>
      </c>
      <c r="C100" s="4" t="s">
        <v>289</v>
      </c>
      <c r="D100" s="4" t="str">
        <f>Original!G105</f>
        <v>Minimum pension</v>
      </c>
      <c r="E100" s="61" t="str">
        <f t="shared" si="6"/>
        <v>Poland  |  Minimum pension</v>
      </c>
      <c r="F100" s="62">
        <f>Original!N$105</f>
        <v>0</v>
      </c>
      <c r="G100" s="5"/>
      <c r="H100" s="61" t="str">
        <f t="shared" si="7"/>
        <v>Poland  |  Minimum pension</v>
      </c>
      <c r="I100" s="139">
        <f>Original!T$105</f>
        <v>49.862852664576799</v>
      </c>
      <c r="J100" s="109"/>
      <c r="K100" s="61" t="str">
        <f t="shared" si="8"/>
        <v>Poland  |  Minimum pension</v>
      </c>
      <c r="L100" s="139">
        <f>Original!U$105</f>
        <v>20.504350628424106</v>
      </c>
      <c r="M100" s="109"/>
      <c r="N100" s="61" t="str">
        <f t="shared" si="9"/>
        <v>Poland  |  Minimum pension</v>
      </c>
      <c r="O100" s="140">
        <f>Original!M$105</f>
        <v>0</v>
      </c>
      <c r="Q100" s="162" t="str">
        <f t="shared" si="10"/>
        <v>Poland  |  Minimum pension</v>
      </c>
      <c r="R100" s="163">
        <f>Original!O$105</f>
        <v>0</v>
      </c>
      <c r="T100" s="113" t="str">
        <f t="shared" si="11"/>
        <v>Poland  |  Minimum pension</v>
      </c>
      <c r="U100" s="114" t="str">
        <f>IF(Original!AD$105="no data", "", Original!AD$105)</f>
        <v/>
      </c>
      <c r="V100" s="4" t="str">
        <f>IF(Original!AD105="no data", "", 1)</f>
        <v/>
      </c>
    </row>
    <row r="101" spans="1:22">
      <c r="A101" s="4">
        <f>Original!A106</f>
        <v>1</v>
      </c>
      <c r="B101" s="4" t="str">
        <f>Original!C106</f>
        <v>Portugal</v>
      </c>
      <c r="C101" s="4" t="s">
        <v>289</v>
      </c>
      <c r="D101" s="4" t="str">
        <f>Original!G106</f>
        <v>Pensao Social de Velhice (Old Age Social Pension)</v>
      </c>
      <c r="E101" s="61" t="str">
        <f t="shared" si="6"/>
        <v>Portugal  |  Pensao Social de Velhice (Old Age Social Pension)</v>
      </c>
      <c r="F101" s="62">
        <f>Original!N$106</f>
        <v>0.14475893390058159</v>
      </c>
      <c r="G101" s="5"/>
      <c r="H101" s="61" t="str">
        <f t="shared" si="7"/>
        <v>Portugal  |  Pensao Social de Velhice (Old Age Social Pension)</v>
      </c>
      <c r="I101" s="139">
        <f>Original!T$106</f>
        <v>43.422222222222224</v>
      </c>
      <c r="J101" s="109"/>
      <c r="K101" s="61" t="str">
        <f t="shared" si="8"/>
        <v>Portugal  |  Pensao Social de Velhice (Old Age Social Pension)</v>
      </c>
      <c r="L101" s="139">
        <f>Original!U$106</f>
        <v>19.384920634920636</v>
      </c>
      <c r="M101" s="109"/>
      <c r="N101" s="61" t="str">
        <f t="shared" si="9"/>
        <v>Portugal  |  Pensao Social de Velhice (Old Age Social Pension)</v>
      </c>
      <c r="O101" s="140">
        <f>Original!M$106</f>
        <v>258.35283540253596</v>
      </c>
      <c r="Q101" s="162" t="str">
        <f t="shared" si="10"/>
        <v>Portugal  |  Pensao Social de Velhice (Old Age Social Pension)</v>
      </c>
      <c r="R101" s="163">
        <f>Original!O$106</f>
        <v>279.5422031473534</v>
      </c>
      <c r="T101" s="113" t="str">
        <f t="shared" si="11"/>
        <v>Portugal  |  Pensao Social de Velhice (Old Age Social Pension)</v>
      </c>
      <c r="U101" s="114">
        <f>IF(Original!AD$106="no data", "", Original!AD$106)</f>
        <v>2.6356131570151606</v>
      </c>
      <c r="V101" s="4">
        <f>IF(Original!AD106="no data", "", 1)</f>
        <v>1</v>
      </c>
    </row>
    <row r="102" spans="1:22">
      <c r="A102" s="4">
        <f>Original!A107</f>
        <v>0</v>
      </c>
      <c r="B102" s="4" t="str">
        <f>Original!C107</f>
        <v>Portugal</v>
      </c>
      <c r="C102" s="4" t="s">
        <v>289</v>
      </c>
      <c r="D102" s="4" t="str">
        <f>Original!G107</f>
        <v>Minimum pension</v>
      </c>
      <c r="E102" s="61" t="str">
        <f t="shared" si="6"/>
        <v>Portugal  |  Minimum pension</v>
      </c>
      <c r="F102" s="62">
        <f>Original!N$107</f>
        <v>0</v>
      </c>
      <c r="G102" s="5"/>
      <c r="H102" s="61" t="str">
        <f t="shared" si="7"/>
        <v>Portugal  |  Minimum pension</v>
      </c>
      <c r="I102" s="139">
        <f>Original!T$107</f>
        <v>80.851851851851848</v>
      </c>
      <c r="J102" s="109"/>
      <c r="K102" s="61" t="str">
        <f t="shared" si="8"/>
        <v>Portugal  |  Minimum pension</v>
      </c>
      <c r="L102" s="139">
        <f>Original!U$107</f>
        <v>36.094576719576715</v>
      </c>
      <c r="M102" s="109"/>
      <c r="N102" s="61" t="str">
        <f t="shared" si="9"/>
        <v>Portugal  |  Minimum pension</v>
      </c>
      <c r="O102" s="140">
        <f>Original!M$107</f>
        <v>0</v>
      </c>
      <c r="Q102" s="162" t="str">
        <f t="shared" si="10"/>
        <v>Portugal  |  Minimum pension</v>
      </c>
      <c r="R102" s="163">
        <f>Original!O$107</f>
        <v>0</v>
      </c>
      <c r="T102" s="113" t="str">
        <f t="shared" si="11"/>
        <v>Portugal  |  Minimum pension</v>
      </c>
      <c r="U102" s="114">
        <f>IF(Original!AD$107="no data", "", Original!AD$107)</f>
        <v>59</v>
      </c>
      <c r="V102" s="4">
        <f>IF(Original!AD107="no data", "", 1)</f>
        <v>1</v>
      </c>
    </row>
    <row r="103" spans="1:22">
      <c r="A103" s="4">
        <f>Original!A108</f>
        <v>0</v>
      </c>
      <c r="B103" s="4" t="str">
        <f>Original!C108</f>
        <v>Saint Kitts and Nevis</v>
      </c>
      <c r="C103" s="4" t="s">
        <v>289</v>
      </c>
      <c r="D103" s="4" t="str">
        <f>Original!G108</f>
        <v>Old age social assistance pension</v>
      </c>
      <c r="E103" s="61" t="str">
        <f t="shared" si="6"/>
        <v>Saint Kitts and Nevis  |  Old age social assistance pension</v>
      </c>
      <c r="F103" s="62">
        <f>Original!N$108</f>
        <v>0</v>
      </c>
      <c r="G103" s="5"/>
      <c r="H103" s="61" t="str">
        <f t="shared" si="7"/>
        <v>Saint Kitts and Nevis  |  Old age social assistance pension</v>
      </c>
      <c r="I103" s="139">
        <f>Original!T$108</f>
        <v>0</v>
      </c>
      <c r="J103" s="109"/>
      <c r="K103" s="61" t="str">
        <f t="shared" si="8"/>
        <v>Saint Kitts and Nevis  |  Old age social assistance pension</v>
      </c>
      <c r="L103" s="139">
        <f>Original!U$108</f>
        <v>0</v>
      </c>
      <c r="M103" s="109"/>
      <c r="N103" s="61" t="str">
        <f t="shared" si="9"/>
        <v>Saint Kitts and Nevis  |  Old age social assistance pension</v>
      </c>
      <c r="O103" s="140">
        <f>Original!M$108</f>
        <v>0</v>
      </c>
      <c r="Q103" s="162" t="str">
        <f t="shared" si="10"/>
        <v>Saint Kitts and Nevis  |  Old age social assistance pension</v>
      </c>
      <c r="R103" s="163">
        <f>Original!O$108</f>
        <v>0</v>
      </c>
      <c r="T103" s="113" t="str">
        <f t="shared" si="11"/>
        <v>Saint Kitts and Nevis  |  Old age social assistance pension</v>
      </c>
      <c r="U103" s="114">
        <f>IF(Original!AD$108="no data", "", Original!AD$108)</f>
        <v>8.2608695652173907</v>
      </c>
      <c r="V103" s="4">
        <f>IF(Original!AD108="no data", "", 1)</f>
        <v>1</v>
      </c>
    </row>
    <row r="104" spans="1:22">
      <c r="A104" s="4">
        <f>Original!A109</f>
        <v>1</v>
      </c>
      <c r="B104" s="4" t="str">
        <f>Original!C109</f>
        <v>Saint Vincent and the Grenadines</v>
      </c>
      <c r="C104" s="4" t="s">
        <v>289</v>
      </c>
      <c r="D104" s="4" t="str">
        <f>Original!G109</f>
        <v>Elderly Assistance Benefit</v>
      </c>
      <c r="E104" s="61" t="str">
        <f t="shared" si="6"/>
        <v>Saint Vincent and the Grenadines  |  Elderly Assistance Benefit</v>
      </c>
      <c r="F104" s="62">
        <f>Original!N$109</f>
        <v>0.11745640033478086</v>
      </c>
      <c r="G104" s="5"/>
      <c r="H104" s="61" t="str">
        <f t="shared" si="7"/>
        <v>Saint Vincent and the Grenadines  |  Elderly Assistance Benefit</v>
      </c>
      <c r="I104" s="139">
        <f>Original!T$109</f>
        <v>0</v>
      </c>
      <c r="J104" s="109"/>
      <c r="K104" s="61" t="str">
        <f t="shared" si="8"/>
        <v>Saint Vincent and the Grenadines  |  Elderly Assistance Benefit</v>
      </c>
      <c r="L104" s="139">
        <f>Original!U$109</f>
        <v>0</v>
      </c>
      <c r="M104" s="109"/>
      <c r="N104" s="61" t="str">
        <f t="shared" si="9"/>
        <v>Saint Vincent and the Grenadines  |  Elderly Assistance Benefit</v>
      </c>
      <c r="O104" s="140">
        <f>Original!M$109</f>
        <v>60.185185185185183</v>
      </c>
      <c r="Q104" s="162" t="str">
        <f t="shared" si="10"/>
        <v>Saint Vincent and the Grenadines  |  Elderly Assistance Benefit</v>
      </c>
      <c r="R104" s="163">
        <f>Original!O$109</f>
        <v>111.53054221002058</v>
      </c>
      <c r="T104" s="113" t="str">
        <f t="shared" si="11"/>
        <v>Saint Vincent and the Grenadines  |  Elderly Assistance Benefit</v>
      </c>
      <c r="U104" s="114" t="str">
        <f>IF(Original!AD$109="no data", "", Original!AD$109)</f>
        <v/>
      </c>
      <c r="V104" s="4" t="str">
        <f>IF(Original!AD109="no data", "", 1)</f>
        <v/>
      </c>
    </row>
    <row r="105" spans="1:22">
      <c r="A105" s="4">
        <f>Original!A110</f>
        <v>0</v>
      </c>
      <c r="B105" s="4" t="str">
        <f>Original!C110</f>
        <v>Saint Vincent and the Grenadines</v>
      </c>
      <c r="C105" s="4" t="s">
        <v>289</v>
      </c>
      <c r="D105" s="4" t="str">
        <f>Original!G110</f>
        <v xml:space="preserve">The Non-Contributory Assistance Age Pension (NAAP) </v>
      </c>
      <c r="E105" s="61" t="str">
        <f t="shared" si="6"/>
        <v xml:space="preserve">Saint Vincent and the Grenadines  |  The Non-Contributory Assistance Age Pension (NAAP) </v>
      </c>
      <c r="F105" s="62">
        <f>Original!N$110</f>
        <v>0</v>
      </c>
      <c r="G105" s="5"/>
      <c r="H105" s="61" t="str">
        <f t="shared" si="7"/>
        <v xml:space="preserve">Saint Vincent and the Grenadines  |  The Non-Contributory Assistance Age Pension (NAAP) </v>
      </c>
      <c r="I105" s="139">
        <f>Original!T$110</f>
        <v>0</v>
      </c>
      <c r="J105" s="109"/>
      <c r="K105" s="61" t="str">
        <f t="shared" si="8"/>
        <v xml:space="preserve">Saint Vincent and the Grenadines  |  The Non-Contributory Assistance Age Pension (NAAP) </v>
      </c>
      <c r="L105" s="139">
        <f>Original!U$110</f>
        <v>0</v>
      </c>
      <c r="M105" s="109"/>
      <c r="N105" s="61" t="str">
        <f t="shared" si="9"/>
        <v xml:space="preserve">Saint Vincent and the Grenadines  |  The Non-Contributory Assistance Age Pension (NAAP) </v>
      </c>
      <c r="O105" s="140">
        <f>Original!M$110</f>
        <v>0</v>
      </c>
      <c r="Q105" s="162" t="str">
        <f t="shared" si="10"/>
        <v xml:space="preserve">Saint Vincent and the Grenadines  |  The Non-Contributory Assistance Age Pension (NAAP) </v>
      </c>
      <c r="R105" s="163">
        <f>Original!O$110</f>
        <v>0</v>
      </c>
      <c r="T105" s="113" t="str">
        <f t="shared" si="11"/>
        <v xml:space="preserve">Saint Vincent and the Grenadines  |  The Non-Contributory Assistance Age Pension (NAAP) </v>
      </c>
      <c r="U105" s="114">
        <f>IF(Original!AD$110="no data", "", Original!AD$110)</f>
        <v>16.202020202020201</v>
      </c>
      <c r="V105" s="4">
        <f>IF(Original!AD110="no data", "", 1)</f>
        <v>1</v>
      </c>
    </row>
    <row r="106" spans="1:22">
      <c r="A106" s="4">
        <f>Original!A111</f>
        <v>1</v>
      </c>
      <c r="B106" s="4" t="str">
        <f>Original!C111</f>
        <v>Samoa</v>
      </c>
      <c r="C106" s="4" t="s">
        <v>289</v>
      </c>
      <c r="D106" s="4" t="str">
        <f>Original!G111</f>
        <v>Senior Citizens Benefit</v>
      </c>
      <c r="E106" s="61" t="str">
        <f t="shared" si="6"/>
        <v>Samoa  |  Senior Citizens Benefit</v>
      </c>
      <c r="F106" s="62">
        <f>Original!N$111</f>
        <v>0.19610889776239745</v>
      </c>
      <c r="G106" s="5"/>
      <c r="H106" s="61" t="str">
        <f t="shared" si="7"/>
        <v>Samoa  |  Senior Citizens Benefit</v>
      </c>
      <c r="I106" s="139" t="str">
        <f>Original!T$111</f>
        <v>no data</v>
      </c>
      <c r="J106" s="109"/>
      <c r="K106" s="61" t="str">
        <f t="shared" si="8"/>
        <v>Samoa  |  Senior Citizens Benefit</v>
      </c>
      <c r="L106" s="139" t="str">
        <f>Original!U$111</f>
        <v>no data</v>
      </c>
      <c r="M106" s="109"/>
      <c r="N106" s="61" t="str">
        <f t="shared" si="9"/>
        <v>Samoa  |  Senior Citizens Benefit</v>
      </c>
      <c r="O106" s="140">
        <f>Original!M$111</f>
        <v>56.745018442130991</v>
      </c>
      <c r="Q106" s="162" t="str">
        <f t="shared" si="10"/>
        <v>Samoa  |  Senior Citizens Benefit</v>
      </c>
      <c r="R106" s="163">
        <f>Original!O$111</f>
        <v>93.795093795093806</v>
      </c>
      <c r="T106" s="113" t="str">
        <f t="shared" si="11"/>
        <v>Samoa  |  Senior Citizens Benefit</v>
      </c>
      <c r="U106" s="114">
        <f>IF(Original!AD$111="no data", "", Original!AD$111)</f>
        <v>93.107876712328761</v>
      </c>
      <c r="V106" s="4">
        <f>IF(Original!AD111="no data", "", 1)</f>
        <v>1</v>
      </c>
    </row>
    <row r="107" spans="1:22">
      <c r="A107" s="4">
        <f>Original!A112</f>
        <v>1</v>
      </c>
      <c r="B107" s="4" t="str">
        <f>Original!C112</f>
        <v>Seychelles</v>
      </c>
      <c r="C107" s="4" t="s">
        <v>289</v>
      </c>
      <c r="D107" s="4" t="str">
        <f>Original!G112</f>
        <v>Old-age pension (social security fund)</v>
      </c>
      <c r="E107" s="61" t="str">
        <f t="shared" si="6"/>
        <v>Seychelles  |  Old-age pension (social security fund)</v>
      </c>
      <c r="F107" s="62">
        <f>Original!N$112</f>
        <v>0.22246819033173326</v>
      </c>
      <c r="G107" s="5"/>
      <c r="H107" s="61" t="str">
        <f t="shared" si="7"/>
        <v>Seychelles  |  Old-age pension (social security fund)</v>
      </c>
      <c r="I107" s="139" t="str">
        <f>Original!T$112</f>
        <v>no data</v>
      </c>
      <c r="J107" s="109"/>
      <c r="K107" s="61" t="str">
        <f t="shared" si="8"/>
        <v>Seychelles  |  Old-age pension (social security fund)</v>
      </c>
      <c r="L107" s="139" t="str">
        <f>Original!U$112</f>
        <v>no data</v>
      </c>
      <c r="M107" s="109"/>
      <c r="N107" s="61" t="str">
        <f t="shared" si="9"/>
        <v>Seychelles  |  Old-age pension (social security fund)</v>
      </c>
      <c r="O107" s="140">
        <f>Original!M$112</f>
        <v>172.92312126233878</v>
      </c>
      <c r="Q107" s="162" t="str">
        <f t="shared" si="10"/>
        <v>Seychelles  |  Old-age pension (social security fund)</v>
      </c>
      <c r="R107" s="163">
        <f>Original!O$112</f>
        <v>432.66630611141159</v>
      </c>
      <c r="T107" s="113" t="str">
        <f t="shared" si="11"/>
        <v>Seychelles  |  Old-age pension (social security fund)</v>
      </c>
      <c r="U107" s="114">
        <f>IF(Original!AD$112="no data", "", Original!AD$112)</f>
        <v>100</v>
      </c>
      <c r="V107" s="4">
        <f>IF(Original!AD112="no data", "", 1)</f>
        <v>1</v>
      </c>
    </row>
    <row r="108" spans="1:22">
      <c r="A108" s="4">
        <f>Original!A113</f>
        <v>1</v>
      </c>
      <c r="B108" s="4" t="str">
        <f>Original!C113</f>
        <v>Slovakia</v>
      </c>
      <c r="C108" s="4" t="s">
        <v>289</v>
      </c>
      <c r="D108" s="4" t="str">
        <f>Original!G113</f>
        <v>Targeted pension</v>
      </c>
      <c r="E108" s="61" t="str">
        <f t="shared" si="6"/>
        <v>Slovakia  |  Targeted pension</v>
      </c>
      <c r="F108" s="62">
        <f>Original!N$113</f>
        <v>0</v>
      </c>
      <c r="G108" s="5"/>
      <c r="H108" s="61" t="str">
        <f t="shared" si="7"/>
        <v>Slovakia  |  Targeted pension</v>
      </c>
      <c r="I108" s="139">
        <f>Original!T$113</f>
        <v>1838.2038288288288</v>
      </c>
      <c r="J108" s="109"/>
      <c r="K108" s="61" t="str">
        <f t="shared" si="8"/>
        <v>Slovakia  |  Targeted pension</v>
      </c>
      <c r="L108" s="139">
        <f>Original!U$113</f>
        <v>677.59443752594427</v>
      </c>
      <c r="M108" s="109"/>
      <c r="N108" s="61" t="str">
        <f t="shared" si="9"/>
        <v>Slovakia  |  Targeted pension</v>
      </c>
      <c r="O108" s="140">
        <f>Original!M$113</f>
        <v>0</v>
      </c>
      <c r="Q108" s="162" t="str">
        <f t="shared" si="10"/>
        <v>Slovakia  |  Targeted pension</v>
      </c>
      <c r="R108" s="163">
        <f>Original!O$113</f>
        <v>0</v>
      </c>
      <c r="T108" s="113" t="str">
        <f t="shared" si="11"/>
        <v>Slovakia  |  Targeted pension</v>
      </c>
      <c r="U108" s="114">
        <f>IF(Original!AD$113="no data", "", Original!AD$113)</f>
        <v>0.47516832923001134</v>
      </c>
      <c r="V108" s="4">
        <f>IF(Original!AD113="no data", "", 1)</f>
        <v>1</v>
      </c>
    </row>
    <row r="109" spans="1:22">
      <c r="A109" s="4">
        <f>Original!A114</f>
        <v>1</v>
      </c>
      <c r="B109" s="4" t="str">
        <f>Original!C114</f>
        <v>Slovenia</v>
      </c>
      <c r="C109" s="4" t="s">
        <v>289</v>
      </c>
      <c r="D109" s="4" t="str">
        <f>Original!G114</f>
        <v>State pension</v>
      </c>
      <c r="E109" s="61" t="str">
        <f t="shared" si="6"/>
        <v>Slovenia  |  State pension</v>
      </c>
      <c r="F109" s="62">
        <f>Original!N$114</f>
        <v>0.12403578635788731</v>
      </c>
      <c r="G109" s="5"/>
      <c r="H109" s="61" t="str">
        <f t="shared" si="7"/>
        <v>Slovenia  |  State pension</v>
      </c>
      <c r="I109" s="139">
        <f>Original!T$114</f>
        <v>30.7911714770798</v>
      </c>
      <c r="J109" s="109"/>
      <c r="K109" s="61" t="str">
        <f t="shared" si="8"/>
        <v>Slovenia  |  State pension</v>
      </c>
      <c r="L109" s="139">
        <f>Original!U$114</f>
        <v>12.603196664350245</v>
      </c>
      <c r="M109" s="109"/>
      <c r="N109" s="61" t="str">
        <f t="shared" si="9"/>
        <v>Slovenia  |  State pension</v>
      </c>
      <c r="O109" s="140">
        <f>Original!M$114</f>
        <v>239.78950987003032</v>
      </c>
      <c r="Q109" s="162" t="str">
        <f t="shared" si="10"/>
        <v>Slovenia  |  State pension</v>
      </c>
      <c r="R109" s="163">
        <f>Original!O$114</f>
        <v>290.64102564102564</v>
      </c>
      <c r="T109" s="113" t="str">
        <f t="shared" si="11"/>
        <v>Slovenia  |  State pension</v>
      </c>
      <c r="U109" s="114">
        <f>IF(Original!AD$114="no data", "", Original!AD$114)</f>
        <v>6.1480719128294448</v>
      </c>
      <c r="V109" s="4">
        <f>IF(Original!AD114="no data", "", 1)</f>
        <v>1</v>
      </c>
    </row>
    <row r="110" spans="1:22">
      <c r="A110" s="4">
        <f>Original!A115</f>
        <v>0</v>
      </c>
      <c r="B110" s="4" t="str">
        <f>Original!C115</f>
        <v>Slovenia</v>
      </c>
      <c r="C110" s="4" t="s">
        <v>289</v>
      </c>
      <c r="D110" s="4" t="str">
        <f>Original!G115</f>
        <v>Minimum pension</v>
      </c>
      <c r="E110" s="61" t="str">
        <f t="shared" si="6"/>
        <v>Slovenia  |  Minimum pension</v>
      </c>
      <c r="F110" s="62">
        <f>Original!N$115</f>
        <v>0.28872835506224137</v>
      </c>
      <c r="G110" s="5"/>
      <c r="H110" s="61" t="str">
        <f t="shared" si="7"/>
        <v>Slovenia  |  Minimum pension</v>
      </c>
      <c r="I110" s="139">
        <f>Original!T$115</f>
        <v>71.675155631013027</v>
      </c>
      <c r="J110" s="109"/>
      <c r="K110" s="61" t="str">
        <f t="shared" si="8"/>
        <v>Slovenia  |  Minimum pension</v>
      </c>
      <c r="L110" s="139">
        <f>Original!U$115</f>
        <v>29.337502895529305</v>
      </c>
      <c r="M110" s="109"/>
      <c r="N110" s="61" t="str">
        <f t="shared" si="9"/>
        <v>Slovenia  |  Minimum pension</v>
      </c>
      <c r="O110" s="140">
        <f>Original!M$115</f>
        <v>558.17786768562235</v>
      </c>
      <c r="Q110" s="162" t="str">
        <f t="shared" si="10"/>
        <v>Slovenia  |  Minimum pension</v>
      </c>
      <c r="R110" s="163">
        <f>Original!O$115</f>
        <v>676.54914529914527</v>
      </c>
      <c r="T110" s="113" t="str">
        <f t="shared" si="11"/>
        <v>Slovenia  |  Minimum pension</v>
      </c>
      <c r="U110" s="114">
        <f>IF(Original!AD$115="no data", "", Original!AD$115)</f>
        <v>22</v>
      </c>
      <c r="V110" s="4">
        <f>IF(Original!AD115="no data", "", 1)</f>
        <v>1</v>
      </c>
    </row>
    <row r="111" spans="1:22">
      <c r="A111" s="4">
        <f>Original!A116</f>
        <v>1</v>
      </c>
      <c r="B111" s="4" t="str">
        <f>Original!C116</f>
        <v>South Africa</v>
      </c>
      <c r="C111" s="4" t="s">
        <v>289</v>
      </c>
      <c r="D111" s="4" t="str">
        <f>Original!G116</f>
        <v>Grant for Older Persons</v>
      </c>
      <c r="E111" s="61" t="str">
        <f t="shared" si="6"/>
        <v>South Africa  |  Grant for Older Persons</v>
      </c>
      <c r="F111" s="62">
        <f>Original!N$116</f>
        <v>0.24613456771642259</v>
      </c>
      <c r="G111" s="5"/>
      <c r="H111" s="61" t="str">
        <f t="shared" si="7"/>
        <v>South Africa  |  Grant for Older Persons</v>
      </c>
      <c r="I111" s="139">
        <f>Original!T$116</f>
        <v>61.633281972265017</v>
      </c>
      <c r="J111" s="109"/>
      <c r="K111" s="61" t="str">
        <f t="shared" si="8"/>
        <v>South Africa  |  Grant for Older Persons</v>
      </c>
      <c r="L111" s="139">
        <f>Original!U$116</f>
        <v>11.722184233662206</v>
      </c>
      <c r="M111" s="109"/>
      <c r="N111" s="61" t="str">
        <f t="shared" si="9"/>
        <v>South Africa  |  Grant for Older Persons</v>
      </c>
      <c r="O111" s="140">
        <f>Original!M$116</f>
        <v>154.70915323812704</v>
      </c>
      <c r="Q111" s="162" t="str">
        <f t="shared" si="10"/>
        <v>South Africa  |  Grant for Older Persons</v>
      </c>
      <c r="R111" s="163">
        <f>Original!O$116</f>
        <v>225.05626406601652</v>
      </c>
      <c r="T111" s="113" t="str">
        <f t="shared" si="11"/>
        <v>South Africa  |  Grant for Older Persons</v>
      </c>
      <c r="U111" s="114">
        <f>IF(Original!AD$116="no data", "", Original!AD$116)</f>
        <v>70.634410911389537</v>
      </c>
      <c r="V111" s="4">
        <f>IF(Original!AD116="no data", "", 1)</f>
        <v>1</v>
      </c>
    </row>
    <row r="112" spans="1:22">
      <c r="A112" s="4">
        <f>Original!A117</f>
        <v>1</v>
      </c>
      <c r="B112" s="4" t="str">
        <f>Original!C117</f>
        <v>Spain</v>
      </c>
      <c r="C112" s="4" t="s">
        <v>289</v>
      </c>
      <c r="D112" s="4" t="str">
        <f>Original!G117</f>
        <v>Non Contributory Pension for retirement ( Pension no Contributiva de Jubilacion)</v>
      </c>
      <c r="E112" s="61" t="str">
        <f t="shared" si="6"/>
        <v>Spain  |  Non Contributory Pension for retirement ( Pension no Contributiva de Jubilacion)</v>
      </c>
      <c r="F112" s="62">
        <f>Original!N$117</f>
        <v>0.18726092592073118</v>
      </c>
      <c r="G112" s="5"/>
      <c r="H112" s="61" t="str">
        <f t="shared" si="7"/>
        <v>Spain  |  Non Contributory Pension for retirement ( Pension no Contributiva de Jubilacion)</v>
      </c>
      <c r="I112" s="139">
        <f>Original!T$117</f>
        <v>49.13461538461538</v>
      </c>
      <c r="J112" s="109"/>
      <c r="K112" s="61" t="str">
        <f t="shared" si="8"/>
        <v>Spain  |  Non Contributory Pension for retirement ( Pension no Contributiva de Jubilacion)</v>
      </c>
      <c r="L112" s="139">
        <f>Original!U$117</f>
        <v>19.251883745963401</v>
      </c>
      <c r="M112" s="109"/>
      <c r="N112" s="61" t="str">
        <f t="shared" si="9"/>
        <v>Spain  |  Non Contributory Pension for retirement ( Pension no Contributiva de Jubilacion)</v>
      </c>
      <c r="O112" s="140">
        <f>Original!M$117</f>
        <v>472.94170534026154</v>
      </c>
      <c r="Q112" s="162" t="str">
        <f t="shared" si="10"/>
        <v>Spain  |  Non Contributory Pension for retirement ( Pension no Contributiva de Jubilacion)</v>
      </c>
      <c r="R112" s="163">
        <f>Original!O$117</f>
        <v>473.14814814814815</v>
      </c>
      <c r="T112" s="113" t="str">
        <f t="shared" si="11"/>
        <v>Spain  |  Non Contributory Pension for retirement ( Pension no Contributiva de Jubilacion)</v>
      </c>
      <c r="U112" s="114">
        <f>IF(Original!AD$117="no data", "", Original!AD$117)</f>
        <v>3.2538145810983807</v>
      </c>
      <c r="V112" s="4">
        <f>IF(Original!AD117="no data", "", 1)</f>
        <v>1</v>
      </c>
    </row>
    <row r="113" spans="1:22">
      <c r="A113" s="4">
        <f>Original!A118</f>
        <v>0</v>
      </c>
      <c r="B113" s="4" t="str">
        <f>Original!C118</f>
        <v>Spain</v>
      </c>
      <c r="C113" s="4" t="s">
        <v>289</v>
      </c>
      <c r="D113" s="4" t="str">
        <f>Original!G118</f>
        <v>Minimum pension</v>
      </c>
      <c r="E113" s="61" t="str">
        <f t="shared" si="6"/>
        <v>Spain  |  Minimum pension</v>
      </c>
      <c r="F113" s="62">
        <f>Original!N$118</f>
        <v>0.27781138203876993</v>
      </c>
      <c r="G113" s="5"/>
      <c r="H113" s="61" t="str">
        <f t="shared" si="7"/>
        <v>Spain  |  Minimum pension</v>
      </c>
      <c r="I113" s="139">
        <f>Original!T$118</f>
        <v>72.893772893772891</v>
      </c>
      <c r="J113" s="109"/>
      <c r="K113" s="61" t="str">
        <f t="shared" si="8"/>
        <v>Spain  |  Minimum pension</v>
      </c>
      <c r="L113" s="139">
        <f>Original!U$118</f>
        <v>28.561176892716176</v>
      </c>
      <c r="M113" s="109"/>
      <c r="N113" s="61" t="str">
        <f t="shared" si="9"/>
        <v>Spain  |  Minimum pension</v>
      </c>
      <c r="O113" s="140">
        <f>Original!M$118</f>
        <v>701.63376656574064</v>
      </c>
      <c r="Q113" s="162" t="str">
        <f t="shared" si="10"/>
        <v>Spain  |  Minimum pension</v>
      </c>
      <c r="R113" s="163">
        <f>Original!O$118</f>
        <v>701.94003527336861</v>
      </c>
      <c r="T113" s="113" t="str">
        <f t="shared" si="11"/>
        <v>Spain  |  Minimum pension</v>
      </c>
      <c r="U113" s="114">
        <f>IF(Original!AD$118="no data", "", Original!AD$118)</f>
        <v>28</v>
      </c>
      <c r="V113" s="4">
        <f>IF(Original!AD118="no data", "", 1)</f>
        <v>1</v>
      </c>
    </row>
    <row r="114" spans="1:22">
      <c r="A114" s="4">
        <f>Original!A119</f>
        <v>1</v>
      </c>
      <c r="B114" s="4" t="str">
        <f>Original!C119</f>
        <v>Suriname</v>
      </c>
      <c r="C114" s="4" t="s">
        <v>289</v>
      </c>
      <c r="D114" s="4" t="str">
        <f>Original!G119</f>
        <v>State Old Age Pension (Algemene Oudedags Voorzieningsfonds (AOV))</v>
      </c>
      <c r="E114" s="61" t="str">
        <f t="shared" si="6"/>
        <v>Suriname  |  State Old Age Pension (Algemene Oudedags Voorzieningsfonds (AOV))</v>
      </c>
      <c r="F114" s="62">
        <f>Original!N$119</f>
        <v>0.35074399231075637</v>
      </c>
      <c r="G114" s="5"/>
      <c r="H114" s="61" t="str">
        <f t="shared" si="7"/>
        <v>Suriname  |  State Old Age Pension (Algemene Oudedags Voorzieningsfonds (AOV))</v>
      </c>
      <c r="I114" s="139">
        <f>Original!T$119</f>
        <v>0</v>
      </c>
      <c r="J114" s="109"/>
      <c r="K114" s="61" t="str">
        <f t="shared" si="8"/>
        <v>Suriname  |  State Old Age Pension (Algemene Oudedags Voorzieningsfonds (AOV))</v>
      </c>
      <c r="L114" s="139">
        <f>Original!U$119</f>
        <v>0</v>
      </c>
      <c r="M114" s="109"/>
      <c r="N114" s="61" t="str">
        <f t="shared" si="9"/>
        <v>Suriname  |  State Old Age Pension (Algemene Oudedags Voorzieningsfonds (AOV))</v>
      </c>
      <c r="O114" s="140">
        <f>Original!M$119</f>
        <v>153.84615384615384</v>
      </c>
      <c r="Q114" s="162" t="str">
        <f t="shared" si="10"/>
        <v>Suriname  |  State Old Age Pension (Algemene Oudedags Voorzieningsfonds (AOV))</v>
      </c>
      <c r="R114" s="163">
        <f>Original!O$119</f>
        <v>251.13008538422901</v>
      </c>
      <c r="T114" s="113" t="str">
        <f t="shared" si="11"/>
        <v>Suriname  |  State Old Age Pension (Algemene Oudedags Voorzieningsfonds (AOV))</v>
      </c>
      <c r="U114" s="114">
        <f>IF(Original!AD$119="no data", "", Original!AD$119)</f>
        <v>91.710226923313456</v>
      </c>
      <c r="V114" s="4">
        <f>IF(Original!AD119="no data", "", 1)</f>
        <v>1</v>
      </c>
    </row>
    <row r="115" spans="1:22">
      <c r="A115" s="4">
        <f>Original!A120</f>
        <v>1</v>
      </c>
      <c r="B115" s="4" t="str">
        <f>Original!C120</f>
        <v>Swaziland</v>
      </c>
      <c r="C115" s="4" t="s">
        <v>289</v>
      </c>
      <c r="D115" s="4" t="str">
        <f>Original!G120</f>
        <v>Old Age Grant</v>
      </c>
      <c r="E115" s="61" t="str">
        <f t="shared" si="6"/>
        <v>Swaziland  |  Old Age Grant</v>
      </c>
      <c r="F115" s="62">
        <f>Original!N$120</f>
        <v>9.7904497018706085E-2</v>
      </c>
      <c r="G115" s="5"/>
      <c r="H115" s="61" t="str">
        <f t="shared" si="7"/>
        <v>Swaziland  |  Old Age Grant</v>
      </c>
      <c r="I115" s="139" t="str">
        <f>Original!T$120</f>
        <v>no data</v>
      </c>
      <c r="J115" s="109"/>
      <c r="K115" s="61" t="str">
        <f t="shared" si="8"/>
        <v>Swaziland  |  Old Age Grant</v>
      </c>
      <c r="L115" s="139" t="str">
        <f>Original!U$120</f>
        <v>no data</v>
      </c>
      <c r="M115" s="109"/>
      <c r="N115" s="61" t="str">
        <f t="shared" si="9"/>
        <v>Swaziland  |  Old Age Grant</v>
      </c>
      <c r="O115" s="140">
        <f>Original!M$120</f>
        <v>25.784858873021172</v>
      </c>
      <c r="Q115" s="162" t="str">
        <f t="shared" si="10"/>
        <v>Swaziland  |  Old Age Grant</v>
      </c>
      <c r="R115" s="163">
        <f>Original!O$120</f>
        <v>43.252595155709344</v>
      </c>
      <c r="T115" s="113" t="str">
        <f t="shared" si="11"/>
        <v>Swaziland  |  Old Age Grant</v>
      </c>
      <c r="U115" s="114">
        <f>IF(Original!AD$120="no data", "", Original!AD$120)</f>
        <v>93.660729617083717</v>
      </c>
      <c r="V115" s="4">
        <f>IF(Original!AD120="no data", "", 1)</f>
        <v>1</v>
      </c>
    </row>
    <row r="116" spans="1:22">
      <c r="A116" s="4">
        <f>Original!A121</f>
        <v>1</v>
      </c>
      <c r="B116" s="4" t="str">
        <f>Original!C121</f>
        <v>Sweden</v>
      </c>
      <c r="C116" s="4" t="s">
        <v>289</v>
      </c>
      <c r="D116" s="4" t="str">
        <f>Original!G121</f>
        <v>Garantipension (Guaranteed pension)</v>
      </c>
      <c r="E116" s="61" t="str">
        <f t="shared" si="6"/>
        <v>Sweden  |  Garantipension (Guaranteed pension)</v>
      </c>
      <c r="F116" s="62">
        <f>Original!N$121</f>
        <v>0.26717943941950356</v>
      </c>
      <c r="G116" s="5"/>
      <c r="H116" s="61" t="str">
        <f t="shared" si="7"/>
        <v>Sweden  |  Garantipension (Guaranteed pension)</v>
      </c>
      <c r="I116" s="139" t="str">
        <f>Original!T$121</f>
        <v>no data</v>
      </c>
      <c r="J116" s="109"/>
      <c r="K116" s="61" t="str">
        <f t="shared" si="8"/>
        <v>Sweden  |  Garantipension (Guaranteed pension)</v>
      </c>
      <c r="L116" s="139">
        <f>Original!U$121</f>
        <v>23.981269446172991</v>
      </c>
      <c r="M116" s="109"/>
      <c r="N116" s="61" t="str">
        <f t="shared" si="9"/>
        <v>Sweden  |  Garantipension (Guaranteed pension)</v>
      </c>
      <c r="O116" s="140">
        <f>Original!M$121</f>
        <v>1145.0545891588263</v>
      </c>
      <c r="Q116" s="162" t="str">
        <f t="shared" si="10"/>
        <v>Sweden  |  Garantipension (Guaranteed pension)</v>
      </c>
      <c r="R116" s="163">
        <f>Original!O$121</f>
        <v>839.69713476413551</v>
      </c>
      <c r="T116" s="113" t="str">
        <f t="shared" si="11"/>
        <v>Sweden  |  Garantipension (Guaranteed pension)</v>
      </c>
      <c r="U116" s="114">
        <f>IF(Original!AD$121="no data", "", Original!AD$121)</f>
        <v>47.878538424615044</v>
      </c>
      <c r="V116" s="4">
        <f>IF(Original!AD121="no data", "", 1)</f>
        <v>1</v>
      </c>
    </row>
    <row r="117" spans="1:22">
      <c r="A117" s="4">
        <f>Original!A122</f>
        <v>1</v>
      </c>
      <c r="B117" s="4" t="str">
        <f>Original!C122</f>
        <v>Switzerland</v>
      </c>
      <c r="C117" s="4" t="s">
        <v>289</v>
      </c>
      <c r="D117" s="4" t="str">
        <f>Original!G122</f>
        <v>Targeted pension</v>
      </c>
      <c r="E117" s="61" t="str">
        <f t="shared" si="6"/>
        <v>Switzerland  |  Targeted pension</v>
      </c>
      <c r="F117" s="62">
        <f>Original!N$122</f>
        <v>0.25782322495681909</v>
      </c>
      <c r="G117" s="5"/>
      <c r="H117" s="61" t="str">
        <f t="shared" si="7"/>
        <v>Switzerland  |  Targeted pension</v>
      </c>
      <c r="I117" s="139" t="str">
        <f>Original!T$122</f>
        <v>no data</v>
      </c>
      <c r="J117" s="109"/>
      <c r="K117" s="61" t="str">
        <f t="shared" si="8"/>
        <v>Switzerland  |  Targeted pension</v>
      </c>
      <c r="L117" s="139">
        <f>Original!U$122</f>
        <v>21.97509327906188</v>
      </c>
      <c r="M117" s="109"/>
      <c r="N117" s="61" t="str">
        <f t="shared" si="9"/>
        <v>Switzerland  |  Targeted pension</v>
      </c>
      <c r="O117" s="140">
        <f>Original!M$122</f>
        <v>1449.4759644838564</v>
      </c>
      <c r="Q117" s="162" t="str">
        <f t="shared" si="10"/>
        <v>Switzerland  |  Targeted pension</v>
      </c>
      <c r="R117" s="163">
        <f>Original!O$122</f>
        <v>1000.8033705752837</v>
      </c>
      <c r="T117" s="113" t="str">
        <f t="shared" si="11"/>
        <v>Switzerland  |  Targeted pension</v>
      </c>
      <c r="U117" s="114">
        <f>IF(Original!AD$122="no data", "", Original!AD$122)</f>
        <v>12</v>
      </c>
      <c r="V117" s="4">
        <f>IF(Original!AD122="no data", "", 1)</f>
        <v>1</v>
      </c>
    </row>
    <row r="118" spans="1:22">
      <c r="A118" s="4">
        <f>Original!A123</f>
        <v>0</v>
      </c>
      <c r="B118" s="4" t="str">
        <f>Original!C123</f>
        <v>Switzerland</v>
      </c>
      <c r="C118" s="4" t="s">
        <v>289</v>
      </c>
      <c r="D118" s="4" t="str">
        <f>Original!G123</f>
        <v>Minimum pension</v>
      </c>
      <c r="E118" s="61" t="str">
        <f t="shared" si="6"/>
        <v>Switzerland  |  Minimum pension</v>
      </c>
      <c r="F118" s="62">
        <f>Original!N$123</f>
        <v>0.18846394503458766</v>
      </c>
      <c r="G118" s="5"/>
      <c r="H118" s="61" t="str">
        <f t="shared" si="7"/>
        <v>Switzerland  |  Minimum pension</v>
      </c>
      <c r="I118" s="139" t="str">
        <f>Original!T$123</f>
        <v>no data</v>
      </c>
      <c r="J118" s="109"/>
      <c r="K118" s="61" t="str">
        <f t="shared" si="8"/>
        <v>Switzerland  |  Minimum pension</v>
      </c>
      <c r="L118" s="139">
        <f>Original!U$123</f>
        <v>16.0633813054223</v>
      </c>
      <c r="M118" s="109"/>
      <c r="N118" s="61" t="str">
        <f t="shared" si="9"/>
        <v>Switzerland  |  Minimum pension</v>
      </c>
      <c r="O118" s="140">
        <f>Original!M$123</f>
        <v>1059.5397623514848</v>
      </c>
      <c r="Q118" s="162" t="str">
        <f t="shared" si="10"/>
        <v>Switzerland  |  Minimum pension</v>
      </c>
      <c r="R118" s="163">
        <f>Original!O$123</f>
        <v>731.56850572371889</v>
      </c>
      <c r="T118" s="113" t="str">
        <f t="shared" si="11"/>
        <v>Switzerland  |  Minimum pension</v>
      </c>
      <c r="U118" s="114" t="str">
        <f>IF(Original!AD$123="no data", "", Original!AD$123)</f>
        <v/>
      </c>
      <c r="V118" s="4" t="str">
        <f>IF(Original!AD123="no data", "", 1)</f>
        <v/>
      </c>
    </row>
    <row r="119" spans="1:22">
      <c r="A119" s="4">
        <f>Original!A124</f>
        <v>1</v>
      </c>
      <c r="B119" s="4" t="str">
        <f>Original!C124</f>
        <v>Tajikistan</v>
      </c>
      <c r="C119" s="4" t="s">
        <v>289</v>
      </c>
      <c r="D119" s="4" t="str">
        <f>Original!G124</f>
        <v>Old age pension</v>
      </c>
      <c r="E119" s="61" t="str">
        <f t="shared" si="6"/>
        <v>Tajikistan  |  Old age pension</v>
      </c>
      <c r="F119" s="62">
        <f>Original!N$124</f>
        <v>0.12529718927080169</v>
      </c>
      <c r="G119" s="5"/>
      <c r="H119" s="61" t="str">
        <f t="shared" si="7"/>
        <v>Tajikistan  |  Old age pension</v>
      </c>
      <c r="I119" s="139">
        <f>Original!T$124</f>
        <v>66.666666666666657</v>
      </c>
      <c r="J119" s="109"/>
      <c r="K119" s="61" t="str">
        <f t="shared" si="8"/>
        <v>Tajikistan  |  Old age pension</v>
      </c>
      <c r="L119" s="139">
        <f>Original!U$124</f>
        <v>13.071895424836603</v>
      </c>
      <c r="M119" s="109"/>
      <c r="N119" s="61" t="str">
        <f t="shared" si="9"/>
        <v>Tajikistan  |  Old age pension</v>
      </c>
      <c r="O119" s="140">
        <f>Original!M$124</f>
        <v>8.4067169668565196</v>
      </c>
      <c r="Q119" s="162" t="str">
        <f t="shared" si="10"/>
        <v>Tajikistan  |  Old age pension</v>
      </c>
      <c r="R119" s="163">
        <f>Original!O$124</f>
        <v>21.574973031283712</v>
      </c>
      <c r="T119" s="113" t="str">
        <f t="shared" si="11"/>
        <v>Tajikistan  |  Old age pension</v>
      </c>
      <c r="U119" s="114" t="str">
        <f>IF(Original!AD$124="no data", "", Original!AD$124)</f>
        <v/>
      </c>
      <c r="V119" s="4" t="str">
        <f>IF(Original!AD124="no data", "", 1)</f>
        <v/>
      </c>
    </row>
    <row r="120" spans="1:22">
      <c r="A120" s="4">
        <f>Original!A125</f>
        <v>1</v>
      </c>
      <c r="B120" s="4" t="str">
        <f>Original!C125</f>
        <v>Thailand</v>
      </c>
      <c r="C120" s="4" t="s">
        <v>289</v>
      </c>
      <c r="D120" s="4" t="str">
        <f>Original!G125</f>
        <v>Old Age Allowance (THA)</v>
      </c>
      <c r="E120" s="61" t="str">
        <f t="shared" si="6"/>
        <v>Thailand  |  Old Age Allowance (THA)</v>
      </c>
      <c r="F120" s="62">
        <f>Original!N$125</f>
        <v>4.0539336686589607E-2</v>
      </c>
      <c r="G120" s="5"/>
      <c r="H120" s="61" t="str">
        <f t="shared" si="7"/>
        <v>Thailand  |  Old Age Allowance (THA)</v>
      </c>
      <c r="I120" s="139">
        <f>Original!T$125</f>
        <v>11.367942402425161</v>
      </c>
      <c r="J120" s="109"/>
      <c r="K120" s="61" t="str">
        <f t="shared" si="8"/>
        <v>Thailand  |  Old Age Allowance (THA)</v>
      </c>
      <c r="L120" s="139">
        <f>Original!U$125</f>
        <v>6.9013112491373363</v>
      </c>
      <c r="M120" s="109"/>
      <c r="N120" s="61" t="str">
        <f t="shared" si="9"/>
        <v>Thailand  |  Old Age Allowance (THA)</v>
      </c>
      <c r="O120" s="140">
        <f>Original!M$125</f>
        <v>19.389238972370336</v>
      </c>
      <c r="Q120" s="162" t="str">
        <f t="shared" si="10"/>
        <v>Thailand  |  Old Age Allowance (THA)</v>
      </c>
      <c r="R120" s="163">
        <f>Original!O$125</f>
        <v>33.713547227060737</v>
      </c>
      <c r="T120" s="113" t="str">
        <f t="shared" si="11"/>
        <v>Thailand  |  Old Age Allowance (THA)</v>
      </c>
      <c r="U120" s="114">
        <f>IF(Original!AD$125="no data", "", Original!AD$125)</f>
        <v>81.732667719776884</v>
      </c>
      <c r="V120" s="4">
        <f>IF(Original!AD125="no data", "", 1)</f>
        <v>1</v>
      </c>
    </row>
    <row r="121" spans="1:22">
      <c r="A121" s="4">
        <f>Original!A126</f>
        <v>1</v>
      </c>
      <c r="B121" s="4" t="str">
        <f>Original!C126</f>
        <v>Timor-Leste</v>
      </c>
      <c r="C121" s="4" t="s">
        <v>289</v>
      </c>
      <c r="D121" s="4" t="str">
        <f>Original!G126</f>
        <v>Support allowance for the elderly</v>
      </c>
      <c r="E121" s="61" t="str">
        <f t="shared" si="6"/>
        <v>Timor-Leste  |  Support allowance for the elderly</v>
      </c>
      <c r="F121" s="62">
        <f>Original!N$126</f>
        <v>9.4877560508164219E-2</v>
      </c>
      <c r="G121" s="5"/>
      <c r="H121" s="61" t="str">
        <f t="shared" si="7"/>
        <v>Timor-Leste  |  Support allowance for the elderly</v>
      </c>
      <c r="I121" s="139" t="str">
        <f>Original!T$126</f>
        <v>no data</v>
      </c>
      <c r="J121" s="109"/>
      <c r="K121" s="61" t="str">
        <f t="shared" si="8"/>
        <v>Timor-Leste  |  Support allowance for the elderly</v>
      </c>
      <c r="L121" s="139" t="str">
        <f>Original!U$126</f>
        <v>no data</v>
      </c>
      <c r="M121" s="109"/>
      <c r="N121" s="61" t="str">
        <f t="shared" si="9"/>
        <v>Timor-Leste  |  Support allowance for the elderly</v>
      </c>
      <c r="O121" s="140">
        <f>Original!M$126</f>
        <v>20</v>
      </c>
      <c r="Q121" s="162" t="str">
        <f t="shared" si="10"/>
        <v>Timor-Leste  |  Support allowance for the elderly</v>
      </c>
      <c r="R121" s="163">
        <f>Original!O$126</f>
        <v>57.636887608069166</v>
      </c>
      <c r="T121" s="113" t="str">
        <f t="shared" si="11"/>
        <v>Timor-Leste  |  Support allowance for the elderly</v>
      </c>
      <c r="U121" s="114">
        <f>IF(Original!AD$126="no data", "", Original!AD$126)</f>
        <v>100</v>
      </c>
      <c r="V121" s="4">
        <f>IF(Original!AD126="no data", "", 1)</f>
        <v>1</v>
      </c>
    </row>
    <row r="122" spans="1:22">
      <c r="A122" s="4">
        <f>Original!A127</f>
        <v>1</v>
      </c>
      <c r="B122" s="4" t="str">
        <f>Original!C127</f>
        <v>Trinidad and Tobago</v>
      </c>
      <c r="C122" s="4" t="s">
        <v>289</v>
      </c>
      <c r="D122" s="4" t="str">
        <f>Original!G127</f>
        <v>Senior Citizens' Pension</v>
      </c>
      <c r="E122" s="61" t="str">
        <f t="shared" si="6"/>
        <v>Trinidad and Tobago  |  Senior Citizens' Pension</v>
      </c>
      <c r="F122" s="62">
        <f>Original!N$127</f>
        <v>0.35677962150914927</v>
      </c>
      <c r="G122" s="5"/>
      <c r="H122" s="61" t="str">
        <f t="shared" si="7"/>
        <v>Trinidad and Tobago  |  Senior Citizens' Pension</v>
      </c>
      <c r="I122" s="139">
        <f>Original!T$127</f>
        <v>192.30769230769232</v>
      </c>
      <c r="J122" s="109"/>
      <c r="K122" s="61" t="str">
        <f t="shared" si="8"/>
        <v>Trinidad and Tobago  |  Senior Citizens' Pension</v>
      </c>
      <c r="L122" s="139" t="str">
        <f>Original!U$127</f>
        <v>no data</v>
      </c>
      <c r="M122" s="109"/>
      <c r="N122" s="61" t="str">
        <f t="shared" si="9"/>
        <v>Trinidad and Tobago  |  Senior Citizens' Pension</v>
      </c>
      <c r="O122" s="140">
        <f>Original!M$127</f>
        <v>472.44094488188978</v>
      </c>
      <c r="Q122" s="162" t="str">
        <f t="shared" si="10"/>
        <v>Trinidad and Tobago  |  Senior Citizens' Pension</v>
      </c>
      <c r="R122" s="163">
        <f>Original!O$127</f>
        <v>594.05940594059405</v>
      </c>
      <c r="T122" s="113" t="str">
        <f t="shared" si="11"/>
        <v>Trinidad and Tobago  |  Senior Citizens' Pension</v>
      </c>
      <c r="U122" s="114">
        <f>IF(Original!AD$127="no data", "", Original!AD$127)</f>
        <v>77.94435583909268</v>
      </c>
      <c r="V122" s="4">
        <f>IF(Original!AD127="no data", "", 1)</f>
        <v>1</v>
      </c>
    </row>
    <row r="123" spans="1:22">
      <c r="A123" s="4">
        <f>Original!A128</f>
        <v>1</v>
      </c>
      <c r="B123" s="4" t="str">
        <f>Original!C128</f>
        <v>Turkey</v>
      </c>
      <c r="C123" s="4" t="s">
        <v>289</v>
      </c>
      <c r="D123" s="4" t="str">
        <f>Original!G128</f>
        <v>Means-tested Old Age Pension</v>
      </c>
      <c r="E123" s="61" t="str">
        <f t="shared" si="6"/>
        <v>Turkey  |  Means-tested Old Age Pension</v>
      </c>
      <c r="F123" s="62">
        <f>Original!N$128</f>
        <v>8.6046236691140976E-2</v>
      </c>
      <c r="G123" s="5"/>
      <c r="H123" s="61" t="str">
        <f t="shared" si="7"/>
        <v>Turkey  |  Means-tested Old Age Pension</v>
      </c>
      <c r="I123" s="139">
        <f>Original!T$128</f>
        <v>13.679653679653681</v>
      </c>
      <c r="J123" s="109"/>
      <c r="K123" s="61" t="str">
        <f t="shared" si="8"/>
        <v>Turkey  |  Means-tested Old Age Pension</v>
      </c>
      <c r="L123" s="139">
        <f>Original!U$128</f>
        <v>4.8916408668730647</v>
      </c>
      <c r="M123" s="109"/>
      <c r="N123" s="61" t="str">
        <f t="shared" si="9"/>
        <v>Turkey  |  Means-tested Old Age Pension</v>
      </c>
      <c r="O123" s="140">
        <f>Original!M$128</f>
        <v>87.453874538745382</v>
      </c>
      <c r="Q123" s="162" t="str">
        <f t="shared" si="10"/>
        <v>Turkey  |  Means-tested Old Age Pension</v>
      </c>
      <c r="R123" s="163">
        <f>Original!O$128</f>
        <v>87.453874538745382</v>
      </c>
      <c r="T123" s="113" t="str">
        <f t="shared" si="11"/>
        <v>Turkey  |  Means-tested Old Age Pension</v>
      </c>
      <c r="U123" s="114" t="str">
        <f>IF(Original!AD$128="no data", "", Original!AD$128)</f>
        <v/>
      </c>
      <c r="V123" s="4" t="str">
        <f>IF(Original!AD128="no data", "", 1)</f>
        <v/>
      </c>
    </row>
    <row r="124" spans="1:22">
      <c r="A124" s="4">
        <f>Original!A129</f>
        <v>1</v>
      </c>
      <c r="B124" s="4" t="str">
        <f>Original!C129</f>
        <v>Turkmenistan</v>
      </c>
      <c r="C124" s="4" t="s">
        <v>289</v>
      </c>
      <c r="D124" s="4" t="str">
        <f>Original!G129</f>
        <v xml:space="preserve">Social Allowance </v>
      </c>
      <c r="E124" s="61" t="str">
        <f t="shared" si="6"/>
        <v xml:space="preserve">Turkmenistan  |  Social Allowance </v>
      </c>
      <c r="F124" s="62">
        <f>Original!N$129</f>
        <v>6.7887512144238923E-2</v>
      </c>
      <c r="G124" s="5"/>
      <c r="H124" s="61" t="str">
        <f t="shared" si="7"/>
        <v xml:space="preserve">Turkmenistan  |  Social Allowance </v>
      </c>
      <c r="I124" s="139" t="str">
        <f>Original!T$129</f>
        <v>no data</v>
      </c>
      <c r="J124" s="109"/>
      <c r="K124" s="61" t="str">
        <f t="shared" si="8"/>
        <v xml:space="preserve">Turkmenistan  |  Social Allowance </v>
      </c>
      <c r="L124" s="139">
        <f>Original!U$129</f>
        <v>9.3961965134706809</v>
      </c>
      <c r="M124" s="109"/>
      <c r="N124" s="61" t="str">
        <f t="shared" si="9"/>
        <v xml:space="preserve">Turkmenistan  |  Social Allowance </v>
      </c>
      <c r="O124" s="140">
        <f>Original!M$129</f>
        <v>20.803508771929824</v>
      </c>
      <c r="Q124" s="162" t="str">
        <f t="shared" si="10"/>
        <v xml:space="preserve">Turkmenistan  |  Social Allowance </v>
      </c>
      <c r="R124" s="163">
        <f>Original!O$129</f>
        <v>38.5</v>
      </c>
      <c r="T124" s="113" t="str">
        <f t="shared" si="11"/>
        <v xml:space="preserve">Turkmenistan  |  Social Allowance </v>
      </c>
      <c r="U124" s="114" t="str">
        <f>IF(Original!AD$129="no data", "", Original!AD$129)</f>
        <v/>
      </c>
      <c r="V124" s="4" t="str">
        <f>IF(Original!AD129="no data", "", 1)</f>
        <v/>
      </c>
    </row>
    <row r="125" spans="1:22">
      <c r="A125" s="4">
        <f>Original!A130</f>
        <v>1</v>
      </c>
      <c r="B125" s="4" t="str">
        <f>Original!C130</f>
        <v>Uganda</v>
      </c>
      <c r="C125" s="4" t="s">
        <v>289</v>
      </c>
      <c r="D125" s="4" t="str">
        <f>Original!G130</f>
        <v>Senior Citizens Grant (Pilot in 14 districts)</v>
      </c>
      <c r="E125" s="61" t="str">
        <f t="shared" si="6"/>
        <v>Uganda  |  Senior Citizens Grant (Pilot in 14 districts)</v>
      </c>
      <c r="F125" s="62">
        <f>Original!N$130</f>
        <v>0.26331630630876102</v>
      </c>
      <c r="G125" s="5"/>
      <c r="H125" s="61" t="str">
        <f t="shared" si="7"/>
        <v>Uganda  |  Senior Citizens Grant (Pilot in 14 districts)</v>
      </c>
      <c r="I125" s="139">
        <f>Original!T$130</f>
        <v>0</v>
      </c>
      <c r="J125" s="109"/>
      <c r="K125" s="61" t="str">
        <f t="shared" si="8"/>
        <v>Uganda  |  Senior Citizens Grant (Pilot in 14 districts)</v>
      </c>
      <c r="L125" s="139">
        <f>Original!U$130</f>
        <v>0</v>
      </c>
      <c r="M125" s="109"/>
      <c r="N125" s="61" t="str">
        <f t="shared" si="9"/>
        <v>Uganda  |  Senior Citizens Grant (Pilot in 14 districts)</v>
      </c>
      <c r="O125" s="140">
        <f>Original!M$130</f>
        <v>9.1669988043045034</v>
      </c>
      <c r="Q125" s="162" t="str">
        <f t="shared" si="10"/>
        <v>Uganda  |  Senior Citizens Grant (Pilot in 14 districts)</v>
      </c>
      <c r="R125" s="163">
        <f>Original!O$130</f>
        <v>27.402384960618008</v>
      </c>
      <c r="T125" s="113" t="str">
        <f t="shared" si="11"/>
        <v>Uganda  |  Senior Citizens Grant (Pilot in 14 districts)</v>
      </c>
      <c r="U125" s="114">
        <f>IF(Original!AD$130="no data", "", Original!AD$130)</f>
        <v>3.1504887195626221</v>
      </c>
      <c r="V125" s="4">
        <f>IF(Original!AD130="no data", "", 1)</f>
        <v>1</v>
      </c>
    </row>
    <row r="126" spans="1:22">
      <c r="A126" s="4">
        <f>Original!A131</f>
        <v>1</v>
      </c>
      <c r="B126" s="4" t="str">
        <f>Original!C131</f>
        <v>Ukraine</v>
      </c>
      <c r="C126" s="4" t="s">
        <v>289</v>
      </c>
      <c r="D126" s="4" t="str">
        <f>Original!G131</f>
        <v>Social pension + social pension supplement</v>
      </c>
      <c r="E126" s="61" t="str">
        <f t="shared" si="6"/>
        <v>Ukraine  |  Social pension + social pension supplement</v>
      </c>
      <c r="F126" s="62">
        <f>Original!N$131</f>
        <v>0.34882555163059425</v>
      </c>
      <c r="G126" s="5"/>
      <c r="H126" s="61" t="str">
        <f t="shared" si="7"/>
        <v>Ukraine  |  Social pension + social pension supplement</v>
      </c>
      <c r="I126" s="139">
        <f>Original!T$131</f>
        <v>93.413978494623649</v>
      </c>
      <c r="J126" s="109"/>
      <c r="K126" s="61" t="str">
        <f t="shared" si="8"/>
        <v>Ukraine  |  Social pension + social pension supplement</v>
      </c>
      <c r="L126" s="139">
        <f>Original!U$131</f>
        <v>36.463798530954875</v>
      </c>
      <c r="M126" s="109"/>
      <c r="N126" s="61" t="str">
        <f t="shared" si="9"/>
        <v>Ukraine  |  Social pension + social pension supplement</v>
      </c>
      <c r="O126" s="140">
        <f>Original!M$131</f>
        <v>86.518112784762863</v>
      </c>
      <c r="Q126" s="162" t="str">
        <f t="shared" si="10"/>
        <v>Ukraine  |  Social pension + social pension supplement</v>
      </c>
      <c r="R126" s="163">
        <f>Original!O$131</f>
        <v>194.67787114845939</v>
      </c>
      <c r="T126" s="113" t="str">
        <f t="shared" si="11"/>
        <v>Ukraine  |  Social pension + social pension supplement</v>
      </c>
      <c r="U126" s="114">
        <f>IF(Original!AD$131="no data", "", Original!AD$131)</f>
        <v>2.8660504882377555</v>
      </c>
      <c r="V126" s="4">
        <f>IF(Original!AD131="no data", "", 1)</f>
        <v>1</v>
      </c>
    </row>
    <row r="127" spans="1:22">
      <c r="A127" s="4">
        <f>Original!A132</f>
        <v>1</v>
      </c>
      <c r="B127" s="4" t="str">
        <f>Original!C132</f>
        <v>United Kingdom</v>
      </c>
      <c r="C127" s="4" t="s">
        <v>289</v>
      </c>
      <c r="D127" s="4" t="str">
        <f>Original!G132</f>
        <v>Pension credit (Guarantee Credit)</v>
      </c>
      <c r="E127" s="61" t="str">
        <f t="shared" si="6"/>
        <v>United Kingdom  |  Pension credit (Guarantee Credit)</v>
      </c>
      <c r="F127" s="62">
        <f>Original!N$132</f>
        <v>0.29677731616454556</v>
      </c>
      <c r="G127" s="5"/>
      <c r="H127" s="61" t="str">
        <f t="shared" si="7"/>
        <v>United Kingdom  |  Pension credit (Guarantee Credit)</v>
      </c>
      <c r="I127" s="139">
        <f>Original!T$132</f>
        <v>59.222189054726371</v>
      </c>
      <c r="J127" s="109"/>
      <c r="K127" s="61" t="str">
        <f t="shared" si="8"/>
        <v>United Kingdom  |  Pension credit (Guarantee Credit)</v>
      </c>
      <c r="L127" s="139">
        <f>Original!U$132</f>
        <v>28.55964491362764</v>
      </c>
      <c r="M127" s="109"/>
      <c r="N127" s="61" t="str">
        <f t="shared" si="9"/>
        <v>United Kingdom  |  Pension credit (Guarantee Credit)</v>
      </c>
      <c r="O127" s="140">
        <f>Original!M$132</f>
        <v>958.12587029837641</v>
      </c>
      <c r="Q127" s="162" t="str">
        <f t="shared" si="10"/>
        <v>United Kingdom  |  Pension credit (Guarantee Credit)</v>
      </c>
      <c r="R127" s="163">
        <f>Original!O$132</f>
        <v>892.32833583208389</v>
      </c>
      <c r="T127" s="113" t="str">
        <f t="shared" si="11"/>
        <v>United Kingdom  |  Pension credit (Guarantee Credit)</v>
      </c>
      <c r="U127" s="114">
        <f>IF(Original!AD$132="no data", "", Original!AD$132)</f>
        <v>19.477563084802355</v>
      </c>
      <c r="V127" s="4">
        <f>IF(Original!AD132="no data", "", 1)</f>
        <v>1</v>
      </c>
    </row>
    <row r="128" spans="1:22">
      <c r="A128" s="4">
        <f>Original!A133</f>
        <v>1</v>
      </c>
      <c r="B128" s="4" t="str">
        <f>Original!C133</f>
        <v>United States of America</v>
      </c>
      <c r="C128" s="4" t="s">
        <v>289</v>
      </c>
      <c r="D128" s="4" t="str">
        <f>Original!G133</f>
        <v>Old age supplemental income benefit</v>
      </c>
      <c r="E128" s="61" t="str">
        <f t="shared" si="6"/>
        <v>United States of America  |  Old age supplemental income benefit</v>
      </c>
      <c r="F128" s="62">
        <f>Original!N$133</f>
        <v>0.16715341902109188</v>
      </c>
      <c r="G128" s="5"/>
      <c r="H128" s="61" t="str">
        <f t="shared" si="7"/>
        <v>United States of America  |  Old age supplemental income benefit</v>
      </c>
      <c r="I128" s="139">
        <f>Original!T$133</f>
        <v>53.619729514717584</v>
      </c>
      <c r="J128" s="109"/>
      <c r="K128" s="61" t="str">
        <f t="shared" si="8"/>
        <v>United States of America  |  Old age supplemental income benefit</v>
      </c>
      <c r="L128" s="139">
        <f>Original!U$133</f>
        <v>20.655838185718665</v>
      </c>
      <c r="M128" s="109"/>
      <c r="N128" s="61" t="str">
        <f t="shared" si="9"/>
        <v>United States of America  |  Old age supplemental income benefit</v>
      </c>
      <c r="O128" s="140">
        <f>Original!M$133</f>
        <v>674</v>
      </c>
      <c r="Q128" s="162" t="str">
        <f t="shared" si="10"/>
        <v>United States of America  |  Old age supplemental income benefit</v>
      </c>
      <c r="R128" s="163">
        <f>Original!O$133</f>
        <v>674</v>
      </c>
      <c r="T128" s="113" t="str">
        <f t="shared" si="11"/>
        <v>United States of America  |  Old age supplemental income benefit</v>
      </c>
      <c r="U128" s="114">
        <f>IF(Original!AD$133="no data", "", Original!AD$133)</f>
        <v>4.9435903770628888</v>
      </c>
      <c r="V128" s="4">
        <f>IF(Original!AD133="no data", "", 1)</f>
        <v>1</v>
      </c>
    </row>
    <row r="129" spans="1:22">
      <c r="A129" s="4">
        <f>Original!A134</f>
        <v>1</v>
      </c>
      <c r="B129" s="4" t="str">
        <f>Original!C134</f>
        <v>Uruguay</v>
      </c>
      <c r="C129" s="4" t="s">
        <v>289</v>
      </c>
      <c r="D129" s="4" t="str">
        <f>Original!G134</f>
        <v>Pensión por Vejez (Programa de Pensiones No-Contributivas)</v>
      </c>
      <c r="E129" s="61" t="str">
        <f t="shared" si="6"/>
        <v>Uruguay  |  Pensión por Vejez (Programa de Pensiones No-Contributivas)</v>
      </c>
      <c r="F129" s="62">
        <f>Original!N$134</f>
        <v>0.27801238292347863</v>
      </c>
      <c r="G129" s="5"/>
      <c r="H129" s="61" t="str">
        <f t="shared" si="7"/>
        <v>Uruguay  |  Pensión por Vejez (Programa de Pensiones No-Contributivas)</v>
      </c>
      <c r="I129" s="139">
        <f>Original!T$134</f>
        <v>107.34068903400136</v>
      </c>
      <c r="J129" s="109"/>
      <c r="K129" s="61" t="str">
        <f t="shared" si="8"/>
        <v>Uruguay  |  Pensión por Vejez (Programa de Pensiones No-Contributivas)</v>
      </c>
      <c r="L129" s="139">
        <f>Original!U$134</f>
        <v>46.625586854460096</v>
      </c>
      <c r="M129" s="109"/>
      <c r="N129" s="61" t="str">
        <f t="shared" si="9"/>
        <v>Uruguay  |  Pensión por Vejez (Programa de Pensiones No-Contributivas)</v>
      </c>
      <c r="O129" s="140">
        <f>Original!M$134</f>
        <v>240.75757575757575</v>
      </c>
      <c r="Q129" s="162" t="str">
        <f t="shared" si="10"/>
        <v>Uruguay  |  Pensión por Vejez (Programa de Pensiones No-Contributivas)</v>
      </c>
      <c r="R129" s="163">
        <f>Original!O$134</f>
        <v>296.52898731027619</v>
      </c>
      <c r="T129" s="113" t="str">
        <f t="shared" si="11"/>
        <v>Uruguay  |  Pensión por Vejez (Programa de Pensiones No-Contributivas)</v>
      </c>
      <c r="U129" s="114">
        <f>IF(Original!AD$134="no data", "", Original!AD$134)</f>
        <v>19.347563869633696</v>
      </c>
      <c r="V129" s="4">
        <f>IF(Original!AD134="no data", "", 1)</f>
        <v>1</v>
      </c>
    </row>
    <row r="130" spans="1:22">
      <c r="A130" s="4">
        <f>Original!A135</f>
        <v>1</v>
      </c>
      <c r="B130" s="4" t="str">
        <f>Original!C135</f>
        <v>Uzbekestan</v>
      </c>
      <c r="C130" s="4" t="s">
        <v>289</v>
      </c>
      <c r="D130" s="4" t="str">
        <f>Original!G135</f>
        <v>Social pension</v>
      </c>
      <c r="E130" s="61" t="str">
        <f t="shared" si="6"/>
        <v>Uzbekestan  |  Social pension</v>
      </c>
      <c r="F130" s="62" t="str">
        <f>Original!N$135</f>
        <v>no data</v>
      </c>
      <c r="G130" s="5"/>
      <c r="H130" s="61" t="str">
        <f t="shared" si="7"/>
        <v>Uzbekestan  |  Social pension</v>
      </c>
      <c r="I130" s="139">
        <f>Original!T$135</f>
        <v>158.41295116772824</v>
      </c>
      <c r="J130" s="109"/>
      <c r="K130" s="61" t="str">
        <f t="shared" si="8"/>
        <v>Uzbekestan  |  Social pension</v>
      </c>
      <c r="L130" s="139" t="str">
        <f>Original!U$135</f>
        <v>no data</v>
      </c>
      <c r="M130" s="109"/>
      <c r="N130" s="61" t="str">
        <f t="shared" si="9"/>
        <v>Uzbekestan  |  Social pension</v>
      </c>
      <c r="O130" s="140">
        <f>Original!M$135</f>
        <v>31.75</v>
      </c>
      <c r="Q130" s="162" t="str">
        <f t="shared" si="10"/>
        <v>Uzbekestan  |  Social pension</v>
      </c>
      <c r="R130" s="163">
        <f>Original!O$135</f>
        <v>83.171004266537366</v>
      </c>
      <c r="T130" s="113" t="str">
        <f t="shared" si="11"/>
        <v>Uzbekestan  |  Social pension</v>
      </c>
      <c r="U130" s="114">
        <f>IF(Original!AD$135="no data", "", Original!AD$135)</f>
        <v>0.25478071426208798</v>
      </c>
      <c r="V130" s="4">
        <f>IF(Original!AD135="no data", "", 1)</f>
        <v>1</v>
      </c>
    </row>
    <row r="131" spans="1:22">
      <c r="A131" s="4">
        <f>Original!A136</f>
        <v>1</v>
      </c>
      <c r="B131" s="4" t="str">
        <f>Original!C136</f>
        <v>Venezuela</v>
      </c>
      <c r="C131" s="4" t="s">
        <v>289</v>
      </c>
      <c r="D131" s="4" t="str">
        <f>Original!G136</f>
        <v>Gran Mision Amor Mayor</v>
      </c>
      <c r="E131" s="61" t="str">
        <f t="shared" si="6"/>
        <v>Venezuela  |  Gran Mision Amor Mayor</v>
      </c>
      <c r="F131" s="62">
        <f>Original!N$136</f>
        <v>0.40809299194971987</v>
      </c>
      <c r="G131" s="5"/>
      <c r="H131" s="61" t="str">
        <f t="shared" si="7"/>
        <v>Venezuela  |  Gran Mision Amor Mayor</v>
      </c>
      <c r="I131" s="139">
        <f>Original!T$136</f>
        <v>159.91735537190081</v>
      </c>
      <c r="J131" s="109"/>
      <c r="K131" s="61" t="str">
        <f t="shared" si="8"/>
        <v>Venezuela  |  Gran Mision Amor Mayor</v>
      </c>
      <c r="L131" s="139">
        <f>Original!U$136</f>
        <v>0</v>
      </c>
      <c r="M131" s="109"/>
      <c r="N131" s="61" t="str">
        <f t="shared" si="9"/>
        <v>Venezuela  |  Gran Mision Amor Mayor</v>
      </c>
      <c r="O131" s="140">
        <f>Original!M$136</f>
        <v>360</v>
      </c>
      <c r="Q131" s="162" t="str">
        <f t="shared" si="10"/>
        <v>Venezuela  |  Gran Mision Amor Mayor</v>
      </c>
      <c r="R131" s="163">
        <f>Original!O$136</f>
        <v>427.38818332413035</v>
      </c>
      <c r="T131" s="113" t="str">
        <f t="shared" si="11"/>
        <v>Venezuela  |  Gran Mision Amor Mayor</v>
      </c>
      <c r="U131" s="114">
        <f>IF(Original!AD$136="no data", "", Original!AD$136)</f>
        <v>20.234783442850976</v>
      </c>
      <c r="V131" s="4">
        <f>IF(Original!AD136="no data", "", 1)</f>
        <v>1</v>
      </c>
    </row>
    <row r="132" spans="1:22">
      <c r="A132" s="4">
        <f>Original!A137</f>
        <v>1</v>
      </c>
      <c r="B132" s="4" t="str">
        <f>Original!C137</f>
        <v>Viet Nam  [80 years old and over]</v>
      </c>
      <c r="C132" s="4" t="s">
        <v>289</v>
      </c>
      <c r="D132" s="4" t="str">
        <f>Original!G137</f>
        <v>Social assistance benefit (clause 3)</v>
      </c>
      <c r="E132" s="61" t="str">
        <f t="shared" si="6"/>
        <v>Viet Nam  [80 years old and over]  |  Social assistance benefit (clause 3)</v>
      </c>
      <c r="F132" s="62">
        <f>Original!N$137</f>
        <v>7.6103758770645902E-2</v>
      </c>
      <c r="G132" s="5"/>
      <c r="H132" s="61" t="str">
        <f t="shared" si="7"/>
        <v>Viet Nam  [80 years old and over]  |  Social assistance benefit (clause 3)</v>
      </c>
      <c r="I132" s="139">
        <f>Original!T$137</f>
        <v>27.692307692307693</v>
      </c>
      <c r="J132" s="109"/>
      <c r="K132" s="61" t="str">
        <f t="shared" si="8"/>
        <v>Viet Nam  [80 years old and over]  |  Social assistance benefit (clause 3)</v>
      </c>
      <c r="L132" s="139">
        <f>Original!U$137</f>
        <v>12.612284364971483</v>
      </c>
      <c r="M132" s="109"/>
      <c r="N132" s="61" t="str">
        <f t="shared" si="9"/>
        <v>Viet Nam  [80 years old and over]  |  Social assistance benefit (clause 3)</v>
      </c>
      <c r="O132" s="140">
        <f>Original!M$137</f>
        <v>8.6538461538461533</v>
      </c>
      <c r="Q132" s="162" t="str">
        <f t="shared" si="10"/>
        <v>Viet Nam  [80 years old and over]  |  Social assistance benefit (clause 3)</v>
      </c>
      <c r="R132" s="163">
        <f>Original!O$137</f>
        <v>21.300623149730246</v>
      </c>
      <c r="T132" s="113" t="str">
        <f t="shared" si="11"/>
        <v>Viet Nam  [80 years old and over]  |  Social assistance benefit (clause 3)</v>
      </c>
      <c r="U132" s="114">
        <f>IF(Original!AD$137="no data", "", Original!AD$137)</f>
        <v>37.554000000000002</v>
      </c>
      <c r="V132" s="4">
        <f>IF(Original!AD137="no data", "", 1)</f>
        <v>1</v>
      </c>
    </row>
    <row r="133" spans="1:22">
      <c r="A133" s="4">
        <f>Original!A138</f>
        <v>1</v>
      </c>
      <c r="B133" s="4" t="str">
        <f>Original!C138</f>
        <v>Viet Nam [60-79 years old]</v>
      </c>
      <c r="C133" s="4" t="s">
        <v>289</v>
      </c>
      <c r="D133" s="4" t="str">
        <f>Original!G138</f>
        <v>Social assistance benefit (clause 2)</v>
      </c>
      <c r="E133" s="61" t="str">
        <f t="shared" si="6"/>
        <v>Viet Nam [60-79 years old]  |  Social assistance benefit (clause 2)</v>
      </c>
      <c r="F133" s="62">
        <f>Original!N$138</f>
        <v>5.0735839180430606E-2</v>
      </c>
      <c r="G133" s="5"/>
      <c r="H133" s="61" t="str">
        <f t="shared" si="7"/>
        <v>Viet Nam [60-79 years old]  |  Social assistance benefit (clause 2)</v>
      </c>
      <c r="I133" s="139">
        <f>Original!T$138</f>
        <v>18.461538461538463</v>
      </c>
      <c r="J133" s="109"/>
      <c r="K133" s="61" t="str">
        <f t="shared" si="8"/>
        <v>Viet Nam [60-79 years old]  |  Social assistance benefit (clause 2)</v>
      </c>
      <c r="L133" s="139">
        <f>Original!U$138</f>
        <v>8.408189576647656</v>
      </c>
      <c r="M133" s="109"/>
      <c r="N133" s="61" t="str">
        <f t="shared" si="9"/>
        <v>Viet Nam [60-79 years old]  |  Social assistance benefit (clause 2)</v>
      </c>
      <c r="O133" s="140">
        <f>Original!M$138</f>
        <v>5.7692307692307692</v>
      </c>
      <c r="Q133" s="162" t="str">
        <f t="shared" si="10"/>
        <v>Viet Nam [60-79 years old]  |  Social assistance benefit (clause 2)</v>
      </c>
      <c r="R133" s="163">
        <f>Original!O$138</f>
        <v>14.200415433153497</v>
      </c>
      <c r="T133" s="113" t="str">
        <f t="shared" si="11"/>
        <v>Viet Nam [60-79 years old]  |  Social assistance benefit (clause 2)</v>
      </c>
      <c r="U133" s="114">
        <f>IF(Original!AD$138="no data", "", Original!AD$138)</f>
        <v>1.4876238769939658</v>
      </c>
      <c r="V133" s="4">
        <f>IF(Original!AD138="no data", "", 1)</f>
        <v>1</v>
      </c>
    </row>
    <row r="134" spans="1:22">
      <c r="A134" s="4">
        <f>Original!A139</f>
        <v>1</v>
      </c>
      <c r="B134" s="4" t="str">
        <f>Original!C139</f>
        <v>Zambia</v>
      </c>
      <c r="C134" s="4" t="s">
        <v>289</v>
      </c>
      <c r="D134" s="4" t="str">
        <f>Original!G139</f>
        <v>Social Cash Transfer Programme, Katete (Pilot)</v>
      </c>
      <c r="E134" s="61" t="str">
        <f t="shared" ref="E134" si="12">CONCATENATE(B134,C134,D134)</f>
        <v>Zambia  |  Social Cash Transfer Programme, Katete (Pilot)</v>
      </c>
      <c r="F134" s="62">
        <f>Original!N$139</f>
        <v>0.10477519091026416</v>
      </c>
      <c r="G134" s="5"/>
      <c r="H134" s="61" t="str">
        <f t="shared" ref="H134" si="13">CONCATENATE(B134,C134,D134)</f>
        <v>Zambia  |  Social Cash Transfer Programme, Katete (Pilot)</v>
      </c>
      <c r="I134" s="139">
        <f>Original!T$139</f>
        <v>22.388059701492537</v>
      </c>
      <c r="J134" s="109"/>
      <c r="K134" s="61" t="str">
        <f t="shared" ref="K134" si="14">CONCATENATE(B134,C134,D134)</f>
        <v>Zambia  |  Social Cash Transfer Programme, Katete (Pilot)</v>
      </c>
      <c r="L134" s="139" t="str">
        <f>Original!U$139</f>
        <v>no data</v>
      </c>
      <c r="M134" s="109"/>
      <c r="N134" s="61" t="str">
        <f t="shared" ref="N134" si="15">CONCATENATE(B134,C134,D134)</f>
        <v>Zambia  |  Social Cash Transfer Programme, Katete (Pilot)</v>
      </c>
      <c r="O134" s="140">
        <f>Original!M$139</f>
        <v>11.551790527531768</v>
      </c>
      <c r="Q134" s="162" t="str">
        <f t="shared" ref="Q134" si="16">CONCATENATE(B134,C134,D134)</f>
        <v>Zambia  |  Social Cash Transfer Programme, Katete (Pilot)</v>
      </c>
      <c r="R134" s="163">
        <f>Original!O$139</f>
        <v>14.063642670967017</v>
      </c>
      <c r="T134" s="113" t="str">
        <f t="shared" ref="T134" si="17">CONCATENATE(B134,C134,D134)</f>
        <v>Zambia  |  Social Cash Transfer Programme, Katete (Pilot)</v>
      </c>
      <c r="U134" s="114">
        <f>IF(Original!AD$139="no data", "", Original!AD$139)</f>
        <v>0.76569808694586838</v>
      </c>
      <c r="V134" s="4">
        <f>IF(Original!AD139="no data", "", 1)</f>
        <v>1</v>
      </c>
    </row>
    <row r="135" spans="1:22">
      <c r="E135" s="61"/>
      <c r="F135" s="62"/>
      <c r="G135" s="5"/>
      <c r="H135" s="61"/>
      <c r="I135" s="139"/>
      <c r="J135" s="109"/>
      <c r="K135" s="61"/>
      <c r="L135" s="139"/>
      <c r="M135" s="109"/>
      <c r="N135" s="61"/>
      <c r="O135" s="140"/>
      <c r="Q135" s="162"/>
      <c r="R135" s="163"/>
      <c r="T135" s="113"/>
      <c r="U135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135"/>
  <sheetViews>
    <sheetView topLeftCell="F69" workbookViewId="0">
      <selection activeCell="B7" sqref="B7"/>
    </sheetView>
  </sheetViews>
  <sheetFormatPr baseColWidth="10" defaultColWidth="9" defaultRowHeight="10.5"/>
  <cols>
    <col min="1" max="3" width="9" style="4"/>
    <col min="4" max="4" width="47.25" style="4" customWidth="1"/>
    <col min="5" max="5" width="2" style="4" customWidth="1"/>
    <col min="6" max="6" width="36.625" style="4" customWidth="1"/>
    <col min="7" max="7" width="9" style="4"/>
    <col min="8" max="8" width="2.75" style="4" customWidth="1"/>
    <col min="9" max="16384" width="9" style="4"/>
  </cols>
  <sheetData>
    <row r="1" spans="1:9">
      <c r="B1" s="4" t="s">
        <v>568</v>
      </c>
    </row>
    <row r="3" spans="1:9" ht="15">
      <c r="B3" s="4" t="s">
        <v>288</v>
      </c>
      <c r="F3" s="115" t="s">
        <v>570</v>
      </c>
    </row>
    <row r="4" spans="1:9">
      <c r="G4" s="4" t="s">
        <v>291</v>
      </c>
    </row>
    <row r="5" spans="1:9" hidden="1">
      <c r="A5" s="4">
        <f>Original!A83</f>
        <v>0</v>
      </c>
      <c r="B5" s="4" t="str">
        <f>Original!C83</f>
        <v>Malaysia</v>
      </c>
      <c r="C5" s="4" t="s">
        <v>289</v>
      </c>
      <c r="D5" s="4" t="str">
        <f>Original!G83</f>
        <v xml:space="preserve">Bantuan Orang Tua </v>
      </c>
      <c r="E5" s="5"/>
      <c r="F5" s="61" t="str">
        <f t="shared" ref="F5:F36" si="0">CONCATENATE(B5,C5,D5)</f>
        <v xml:space="preserve">Malaysia  |  Bantuan Orang Tua </v>
      </c>
      <c r="G5" s="139">
        <f>Original!T$83</f>
        <v>0</v>
      </c>
      <c r="H5" s="109"/>
      <c r="I5" s="4">
        <f>IF(Original!AD83="no data", "", 1)</f>
        <v>1</v>
      </c>
    </row>
    <row r="6" spans="1:9" hidden="1">
      <c r="A6" s="4">
        <f>Original!A89</f>
        <v>0</v>
      </c>
      <c r="B6" s="4" t="str">
        <f>Original!C89</f>
        <v>Mexico</v>
      </c>
      <c r="C6" s="4" t="s">
        <v>289</v>
      </c>
      <c r="D6" s="4" t="str">
        <f>Original!G89</f>
        <v>Amanecer</v>
      </c>
      <c r="E6" s="5"/>
      <c r="F6" s="61" t="str">
        <f t="shared" si="0"/>
        <v>Mexico  |  Amanecer</v>
      </c>
      <c r="G6" s="139">
        <f>Original!T$89</f>
        <v>0</v>
      </c>
      <c r="H6" s="109"/>
      <c r="I6" s="4">
        <f>IF(Original!AD89="no data", "", 1)</f>
        <v>1</v>
      </c>
    </row>
    <row r="7" spans="1:9" hidden="1">
      <c r="A7" s="4">
        <v>0</v>
      </c>
      <c r="B7" s="4" t="str">
        <f>Original!C97</f>
        <v>Nigeria</v>
      </c>
      <c r="C7" s="4" t="s">
        <v>289</v>
      </c>
      <c r="D7" s="4" t="str">
        <f>Original!G97</f>
        <v>Ekiti State Social Security Scheme (Ekiti State only)</v>
      </c>
      <c r="E7" s="5"/>
      <c r="F7" s="61" t="str">
        <f t="shared" si="0"/>
        <v>Nigeria  |  Ekiti State Social Security Scheme (Ekiti State only)</v>
      </c>
      <c r="G7" s="139">
        <f>Original!T$97</f>
        <v>0</v>
      </c>
      <c r="H7" s="109"/>
      <c r="I7" s="4">
        <f>IF(Original!AD97="no data", "", 1)</f>
        <v>1</v>
      </c>
    </row>
    <row r="8" spans="1:9" hidden="1">
      <c r="A8" s="4">
        <v>0</v>
      </c>
      <c r="B8" s="4" t="str">
        <f>Original!C102</f>
        <v>Peru</v>
      </c>
      <c r="C8" s="4" t="s">
        <v>289</v>
      </c>
      <c r="D8" s="4" t="str">
        <f>Original!G102</f>
        <v>Pension 65</v>
      </c>
      <c r="E8" s="5"/>
      <c r="F8" s="61" t="str">
        <f t="shared" si="0"/>
        <v>Peru  |  Pension 65</v>
      </c>
      <c r="G8" s="139">
        <f>Original!T$102</f>
        <v>0</v>
      </c>
      <c r="H8" s="109"/>
      <c r="I8" s="4">
        <f>IF(Original!AD102="no data", "", 1)</f>
        <v>1</v>
      </c>
    </row>
    <row r="9" spans="1:9" hidden="1">
      <c r="A9" s="4">
        <f>Original!A108</f>
        <v>0</v>
      </c>
      <c r="B9" s="4" t="str">
        <f>Original!C108</f>
        <v>Saint Kitts and Nevis</v>
      </c>
      <c r="C9" s="4" t="s">
        <v>289</v>
      </c>
      <c r="D9" s="4" t="str">
        <f>Original!G108</f>
        <v>Old age social assistance pension</v>
      </c>
      <c r="E9" s="5"/>
      <c r="F9" s="61" t="str">
        <f t="shared" si="0"/>
        <v>Saint Kitts and Nevis  |  Old age social assistance pension</v>
      </c>
      <c r="G9" s="139">
        <f>Original!T$108</f>
        <v>0</v>
      </c>
      <c r="H9" s="109"/>
      <c r="I9" s="4">
        <f>IF(Original!AD108="no data", "", 1)</f>
        <v>1</v>
      </c>
    </row>
    <row r="10" spans="1:9" hidden="1">
      <c r="A10" s="4">
        <v>0</v>
      </c>
      <c r="B10" s="4" t="str">
        <f>Original!C109</f>
        <v>Saint Vincent and the Grenadines</v>
      </c>
      <c r="C10" s="4" t="s">
        <v>289</v>
      </c>
      <c r="D10" s="4" t="str">
        <f>Original!G109</f>
        <v>Elderly Assistance Benefit</v>
      </c>
      <c r="E10" s="5"/>
      <c r="F10" s="61" t="str">
        <f t="shared" si="0"/>
        <v>Saint Vincent and the Grenadines  |  Elderly Assistance Benefit</v>
      </c>
      <c r="G10" s="139">
        <f>Original!T$109</f>
        <v>0</v>
      </c>
      <c r="H10" s="109"/>
      <c r="I10" s="4" t="str">
        <f>IF(Original!AD109="no data", "", 1)</f>
        <v/>
      </c>
    </row>
    <row r="11" spans="1:9" hidden="1">
      <c r="A11" s="4">
        <f>Original!A110</f>
        <v>0</v>
      </c>
      <c r="B11" s="4" t="str">
        <f>Original!C110</f>
        <v>Saint Vincent and the Grenadines</v>
      </c>
      <c r="C11" s="4" t="s">
        <v>289</v>
      </c>
      <c r="D11" s="4" t="str">
        <f>Original!G110</f>
        <v xml:space="preserve">The Non-Contributory Assistance Age Pension (NAAP) </v>
      </c>
      <c r="E11" s="5"/>
      <c r="F11" s="61" t="str">
        <f t="shared" si="0"/>
        <v xml:space="preserve">Saint Vincent and the Grenadines  |  The Non-Contributory Assistance Age Pension (NAAP) </v>
      </c>
      <c r="G11" s="139">
        <f>Original!T$110</f>
        <v>0</v>
      </c>
      <c r="H11" s="109"/>
      <c r="I11" s="4">
        <f>IF(Original!AD110="no data", "", 1)</f>
        <v>1</v>
      </c>
    </row>
    <row r="12" spans="1:9" hidden="1">
      <c r="A12" s="4">
        <v>0</v>
      </c>
      <c r="B12" s="4" t="str">
        <f>Original!C119</f>
        <v>Suriname</v>
      </c>
      <c r="C12" s="4" t="s">
        <v>289</v>
      </c>
      <c r="D12" s="4" t="str">
        <f>Original!G119</f>
        <v>State Old Age Pension (Algemene Oudedags Voorzieningsfonds (AOV))</v>
      </c>
      <c r="E12" s="5"/>
      <c r="F12" s="61" t="str">
        <f t="shared" si="0"/>
        <v>Suriname  |  State Old Age Pension (Algemene Oudedags Voorzieningsfonds (AOV))</v>
      </c>
      <c r="G12" s="139">
        <f>Original!T$119</f>
        <v>0</v>
      </c>
      <c r="H12" s="109"/>
      <c r="I12" s="4">
        <f>IF(Original!AD119="no data", "", 1)</f>
        <v>1</v>
      </c>
    </row>
    <row r="13" spans="1:9" hidden="1">
      <c r="A13" s="4">
        <v>0</v>
      </c>
      <c r="B13" s="4" t="str">
        <f>Original!C130</f>
        <v>Uganda</v>
      </c>
      <c r="C13" s="4" t="s">
        <v>289</v>
      </c>
      <c r="D13" s="4" t="str">
        <f>Original!G130</f>
        <v>Senior Citizens Grant (Pilot in 14 districts)</v>
      </c>
      <c r="E13" s="5"/>
      <c r="F13" s="61" t="str">
        <f t="shared" si="0"/>
        <v>Uganda  |  Senior Citizens Grant (Pilot in 14 districts)</v>
      </c>
      <c r="G13" s="139">
        <f>Original!T$130</f>
        <v>0</v>
      </c>
      <c r="H13" s="109"/>
      <c r="I13" s="4">
        <f>IF(Original!AD130="no data", "", 1)</f>
        <v>1</v>
      </c>
    </row>
    <row r="14" spans="1:9">
      <c r="A14" s="4">
        <f>Original!A45</f>
        <v>1</v>
      </c>
      <c r="B14" s="4" t="str">
        <f>Original!C45</f>
        <v>Estonia</v>
      </c>
      <c r="C14" s="4" t="s">
        <v>289</v>
      </c>
      <c r="D14" s="4" t="str">
        <f>Original!G45</f>
        <v>National Pension</v>
      </c>
      <c r="E14" s="5"/>
      <c r="F14" s="61" t="str">
        <f t="shared" si="0"/>
        <v>Estonia  |  National Pension</v>
      </c>
      <c r="G14" s="139">
        <f>Original!T$45</f>
        <v>2.9528735632183905</v>
      </c>
      <c r="H14" s="109"/>
      <c r="I14" s="4">
        <f>IF(Original!AD45="no data", "", 1)</f>
        <v>1</v>
      </c>
    </row>
    <row r="15" spans="1:9">
      <c r="A15" s="4">
        <f>Original!A103</f>
        <v>1</v>
      </c>
      <c r="B15" s="4" t="str">
        <f>Original!C103</f>
        <v>Philippines</v>
      </c>
      <c r="C15" s="4" t="s">
        <v>289</v>
      </c>
      <c r="D15" s="4" t="str">
        <f>Original!G103</f>
        <v>Old Age Grant</v>
      </c>
      <c r="E15" s="5"/>
      <c r="F15" s="61" t="str">
        <f t="shared" si="0"/>
        <v>Philippines  |  Old Age Grant</v>
      </c>
      <c r="G15" s="139">
        <f>Original!T$103</f>
        <v>5.0342327829238824</v>
      </c>
      <c r="H15" s="109"/>
      <c r="I15" s="4">
        <f>IF(Original!AD103="no data", "", 1)</f>
        <v>1</v>
      </c>
    </row>
    <row r="16" spans="1:9">
      <c r="A16" s="4">
        <f>Original!A67</f>
        <v>1</v>
      </c>
      <c r="B16" s="4" t="str">
        <f>Original!C67</f>
        <v>Jamaica</v>
      </c>
      <c r="C16" s="4" t="s">
        <v>289</v>
      </c>
      <c r="D16" s="4" t="str">
        <f>Original!G67</f>
        <v>The Programme for Advancement through Health and Education (PATH)</v>
      </c>
      <c r="E16" s="5"/>
      <c r="F16" s="61" t="str">
        <f t="shared" si="0"/>
        <v>Jamaica  |  The Programme for Advancement through Health and Education (PATH)</v>
      </c>
      <c r="G16" s="139">
        <f>Original!T$67</f>
        <v>5.2730056131995235</v>
      </c>
      <c r="H16" s="109"/>
      <c r="I16" s="4">
        <f>IF(Original!AD67="no data", "", 1)</f>
        <v>1</v>
      </c>
    </row>
    <row r="17" spans="1:9">
      <c r="A17" s="4">
        <f>Original!A60</f>
        <v>1</v>
      </c>
      <c r="B17" s="4" t="str">
        <f>Original!C60</f>
        <v>India</v>
      </c>
      <c r="C17" s="4" t="s">
        <v>289</v>
      </c>
      <c r="D17" s="4" t="str">
        <f>Original!G60</f>
        <v>Indira Gandhi National Old Age Pension Scheme</v>
      </c>
      <c r="E17" s="5"/>
      <c r="F17" s="61" t="str">
        <f t="shared" si="0"/>
        <v>India  |  Indira Gandhi National Old Age Pension Scheme</v>
      </c>
      <c r="G17" s="139">
        <f>Original!T$60</f>
        <v>9.6153846153846168</v>
      </c>
      <c r="H17" s="109"/>
      <c r="I17" s="4">
        <f>IF(Original!AD60="no data", "", 1)</f>
        <v>1</v>
      </c>
    </row>
    <row r="18" spans="1:9">
      <c r="A18" s="4">
        <f>Original!A79</f>
        <v>1</v>
      </c>
      <c r="B18" s="4" t="str">
        <f>Original!C79</f>
        <v>Lithuania</v>
      </c>
      <c r="C18" s="4" t="s">
        <v>289</v>
      </c>
      <c r="D18" s="4" t="str">
        <f>Original!G79</f>
        <v>Old age social assistance pension</v>
      </c>
      <c r="E18" s="5"/>
      <c r="F18" s="61" t="str">
        <f t="shared" si="0"/>
        <v>Lithuania  |  Old age social assistance pension</v>
      </c>
      <c r="G18" s="139">
        <f>Original!T$79</f>
        <v>10.574999999999999</v>
      </c>
      <c r="H18" s="109"/>
      <c r="I18" s="4" t="str">
        <f>IF(Original!AD79="no data", "", 1)</f>
        <v/>
      </c>
    </row>
    <row r="19" spans="1:9">
      <c r="A19" s="4">
        <f>Original!A94</f>
        <v>1</v>
      </c>
      <c r="B19" s="4" t="str">
        <f>Original!C94</f>
        <v>Nepal</v>
      </c>
      <c r="C19" s="4" t="s">
        <v>289</v>
      </c>
      <c r="D19" s="4" t="str">
        <f>Original!G94</f>
        <v>Old Age Allowance</v>
      </c>
      <c r="E19" s="5"/>
      <c r="F19" s="61" t="str">
        <f t="shared" si="0"/>
        <v>Nepal  |  Old Age Allowance</v>
      </c>
      <c r="G19" s="139">
        <f>Original!T$94</f>
        <v>10.869565217391305</v>
      </c>
      <c r="H19" s="109"/>
      <c r="I19" s="4">
        <f>IF(Original!AD94="no data", "", 1)</f>
        <v>1</v>
      </c>
    </row>
    <row r="20" spans="1:9">
      <c r="A20" s="4">
        <f>Original!A72</f>
        <v>1</v>
      </c>
      <c r="B20" s="4" t="str">
        <f>Original!C72</f>
        <v>Kenya</v>
      </c>
      <c r="C20" s="4" t="s">
        <v>289</v>
      </c>
      <c r="D20" s="4" t="str">
        <f>Original!G72</f>
        <v>Hunger Safety Net Programme, Pilot (universal pension)</v>
      </c>
      <c r="E20" s="5"/>
      <c r="F20" s="61" t="str">
        <f t="shared" si="0"/>
        <v>Kenya  |  Hunger Safety Net Programme, Pilot (universal pension)</v>
      </c>
      <c r="G20" s="139">
        <f>Original!T$72</f>
        <v>11.150295612488332</v>
      </c>
      <c r="H20" s="109"/>
      <c r="I20" s="4" t="str">
        <f>IF(Original!AD72="no data", "", 1)</f>
        <v/>
      </c>
    </row>
    <row r="21" spans="1:9">
      <c r="A21" s="4">
        <f>Original!A125</f>
        <v>1</v>
      </c>
      <c r="B21" s="4" t="str">
        <f>Original!C125</f>
        <v>Thailand</v>
      </c>
      <c r="C21" s="4" t="s">
        <v>289</v>
      </c>
      <c r="D21" s="4" t="str">
        <f>Original!G125</f>
        <v>Old Age Allowance (THA)</v>
      </c>
      <c r="E21" s="5"/>
      <c r="F21" s="61" t="str">
        <f t="shared" si="0"/>
        <v>Thailand  |  Old Age Allowance (THA)</v>
      </c>
      <c r="G21" s="139">
        <f>Original!T$125</f>
        <v>11.367942402425161</v>
      </c>
      <c r="H21" s="109"/>
      <c r="I21" s="4">
        <f>IF(Original!AD125="no data", "", 1)</f>
        <v>1</v>
      </c>
    </row>
    <row r="22" spans="1:9">
      <c r="A22" s="4">
        <f>Original!A34</f>
        <v>1</v>
      </c>
      <c r="B22" s="4" t="str">
        <f>Original!C34</f>
        <v>Colombia</v>
      </c>
      <c r="C22" s="4" t="s">
        <v>289</v>
      </c>
      <c r="D22" s="4" t="str">
        <f>Original!G34</f>
        <v>Programa de Proteccion Social al Adulto Mayor (PPSAM) (Social Protection Programme for Older People) (Regional scheme)</v>
      </c>
      <c r="E22" s="5"/>
      <c r="F22" s="61" t="str">
        <f t="shared" si="0"/>
        <v>Colombia  |  Programa de Proteccion Social al Adulto Mayor (PPSAM) (Social Protection Programme for Older People) (Regional scheme)</v>
      </c>
      <c r="G22" s="139">
        <f>Original!T$34</f>
        <v>12.074864157778226</v>
      </c>
      <c r="H22" s="109"/>
      <c r="I22" s="4">
        <f>IF(Original!AD34="no data", "", 1)</f>
        <v>1</v>
      </c>
    </row>
    <row r="23" spans="1:9">
      <c r="A23" s="4">
        <f>Original!A74</f>
        <v>1</v>
      </c>
      <c r="B23" s="4" t="str">
        <f>Original!C74</f>
        <v>Korea, Republic of</v>
      </c>
      <c r="C23" s="4" t="s">
        <v>289</v>
      </c>
      <c r="D23" s="4" t="str">
        <f>Original!G74</f>
        <v>Basic old-age pension</v>
      </c>
      <c r="E23" s="5"/>
      <c r="F23" s="61" t="str">
        <f t="shared" si="0"/>
        <v>Korea, Republic of  |  Basic old-age pension</v>
      </c>
      <c r="G23" s="139">
        <f>Original!T$74</f>
        <v>13.153852477813691</v>
      </c>
      <c r="H23" s="109"/>
      <c r="I23" s="4">
        <f>IF(Original!AD74="no data", "", 1)</f>
        <v>1</v>
      </c>
    </row>
    <row r="24" spans="1:9">
      <c r="A24" s="4">
        <f>Original!A128</f>
        <v>1</v>
      </c>
      <c r="B24" s="4" t="str">
        <f>Original!C128</f>
        <v>Turkey</v>
      </c>
      <c r="C24" s="4" t="s">
        <v>289</v>
      </c>
      <c r="D24" s="4" t="str">
        <f>Original!G128</f>
        <v>Means-tested Old Age Pension</v>
      </c>
      <c r="E24" s="5"/>
      <c r="F24" s="61" t="str">
        <f t="shared" si="0"/>
        <v>Turkey  |  Means-tested Old Age Pension</v>
      </c>
      <c r="G24" s="139">
        <f>Original!T$128</f>
        <v>13.679653679653681</v>
      </c>
      <c r="H24" s="109"/>
      <c r="I24" s="4" t="str">
        <f>IF(Original!AD128="no data", "", 1)</f>
        <v/>
      </c>
    </row>
    <row r="25" spans="1:9">
      <c r="A25" s="4">
        <f>Original!A43</f>
        <v>1</v>
      </c>
      <c r="B25" s="4" t="str">
        <f>Original!C43</f>
        <v>Ecuador</v>
      </c>
      <c r="C25" s="4" t="s">
        <v>289</v>
      </c>
      <c r="D25" s="4" t="str">
        <f>Original!G43</f>
        <v>Pension para Adultos Mayores (Pension for Older People/ Bono de Desarollo Humano )</v>
      </c>
      <c r="E25" s="5"/>
      <c r="F25" s="61" t="str">
        <f t="shared" si="0"/>
        <v>Ecuador  |  Pension para Adultos Mayores (Pension for Older People/ Bono de Desarollo Humano )</v>
      </c>
      <c r="G25" s="139">
        <f>Original!T$43</f>
        <v>13.779527559055119</v>
      </c>
      <c r="H25" s="109"/>
      <c r="I25" s="4">
        <f>IF(Original!AD43="no data", "", 1)</f>
        <v>1</v>
      </c>
    </row>
    <row r="26" spans="1:9">
      <c r="A26" s="4">
        <f>Original!A71</f>
        <v>1</v>
      </c>
      <c r="B26" s="4" t="str">
        <f>Original!C71</f>
        <v>Kenya</v>
      </c>
      <c r="C26" s="4" t="s">
        <v>289</v>
      </c>
      <c r="D26" s="4" t="str">
        <f>Original!G71</f>
        <v>Older Persons Cash Transfer</v>
      </c>
      <c r="E26" s="5"/>
      <c r="F26" s="61" t="str">
        <f t="shared" si="0"/>
        <v>Kenya  |  Older Persons Cash Transfer</v>
      </c>
      <c r="G26" s="139">
        <f>Original!T$71</f>
        <v>15.558552017425578</v>
      </c>
      <c r="H26" s="109"/>
      <c r="I26" s="4">
        <f>IF(Original!AD71="no data", "", 1)</f>
        <v>1</v>
      </c>
    </row>
    <row r="27" spans="1:9">
      <c r="A27" s="4">
        <f>Original!A22</f>
        <v>1</v>
      </c>
      <c r="B27" s="4" t="str">
        <f>Original!C22</f>
        <v>Belize</v>
      </c>
      <c r="C27" s="4" t="s">
        <v>289</v>
      </c>
      <c r="D27" s="4" t="str">
        <f>Original!G22</f>
        <v>Non-Contributory Pension Programme (NCP)</v>
      </c>
      <c r="E27" s="5"/>
      <c r="F27" s="61" t="str">
        <f t="shared" si="0"/>
        <v>Belize  |  Non-Contributory Pension Programme (NCP)</v>
      </c>
      <c r="G27" s="139">
        <f>Original!T$22</f>
        <v>17.094017094017094</v>
      </c>
      <c r="H27" s="109"/>
      <c r="I27" s="4">
        <f>IF(Original!AD22="no data", "", 1)</f>
        <v>1</v>
      </c>
    </row>
    <row r="28" spans="1:9">
      <c r="A28" s="4">
        <f>Original!A17</f>
        <v>1</v>
      </c>
      <c r="B28" s="4" t="str">
        <f>Original!C17</f>
        <v>Bangladesh</v>
      </c>
      <c r="C28" s="4" t="s">
        <v>289</v>
      </c>
      <c r="D28" s="4" t="str">
        <f>Original!G17</f>
        <v>Old Age Allowance</v>
      </c>
      <c r="E28" s="5"/>
      <c r="F28" s="61" t="str">
        <f t="shared" si="0"/>
        <v>Bangladesh  |  Old Age Allowance</v>
      </c>
      <c r="G28" s="139">
        <f>Original!T$17</f>
        <v>17.647058823529413</v>
      </c>
      <c r="H28" s="109"/>
      <c r="I28" s="4">
        <f>IF(Original!AD17="no data", "", 1)</f>
        <v>1</v>
      </c>
    </row>
    <row r="29" spans="1:9" hidden="1">
      <c r="A29" s="4">
        <f>Original!A18</f>
        <v>0</v>
      </c>
      <c r="B29" s="4" t="str">
        <f>Original!C18</f>
        <v>Bangladesh</v>
      </c>
      <c r="C29" s="4" t="s">
        <v>289</v>
      </c>
      <c r="D29" s="4" t="str">
        <f>Original!G18</f>
        <v>Allowance for Widow, Deserted and Destitute Women</v>
      </c>
      <c r="E29" s="5"/>
      <c r="F29" s="61" t="str">
        <f t="shared" si="0"/>
        <v>Bangladesh  |  Allowance for Widow, Deserted and Destitute Women</v>
      </c>
      <c r="G29" s="139">
        <f>Original!T$18</f>
        <v>17.647058823529413</v>
      </c>
      <c r="H29" s="109"/>
      <c r="I29" s="4">
        <f>IF(Original!AD18="no data", "", 1)</f>
        <v>1</v>
      </c>
    </row>
    <row r="30" spans="1:9">
      <c r="A30" s="4">
        <f>Original!A138</f>
        <v>1</v>
      </c>
      <c r="B30" s="4" t="str">
        <f>Original!C138</f>
        <v>Viet Nam [60-79 years old]</v>
      </c>
      <c r="C30" s="4" t="s">
        <v>289</v>
      </c>
      <c r="D30" s="4" t="str">
        <f>Original!G138</f>
        <v>Social assistance benefit (clause 2)</v>
      </c>
      <c r="E30" s="5"/>
      <c r="F30" s="61" t="str">
        <f t="shared" si="0"/>
        <v>Viet Nam [60-79 years old]  |  Social assistance benefit (clause 2)</v>
      </c>
      <c r="G30" s="139">
        <f>Original!T$138</f>
        <v>18.461538461538463</v>
      </c>
      <c r="H30" s="109"/>
      <c r="I30" s="4">
        <f>IF(Original!AD138="no data", "", 1)</f>
        <v>1</v>
      </c>
    </row>
    <row r="31" spans="1:9">
      <c r="A31" s="4">
        <f>Original!A53</f>
        <v>1</v>
      </c>
      <c r="B31" s="4" t="str">
        <f>Original!C53</f>
        <v>Guatemala</v>
      </c>
      <c r="C31" s="4" t="s">
        <v>289</v>
      </c>
      <c r="D31" s="4" t="str">
        <f>Original!G53</f>
        <v>Programa de aporte economico o del Adulto Mayor (Economic contribution programme for older people)</v>
      </c>
      <c r="E31" s="5"/>
      <c r="F31" s="61" t="str">
        <f t="shared" si="0"/>
        <v>Guatemala  |  Programa de aporte economico o del Adulto Mayor (Economic contribution programme for older people)</v>
      </c>
      <c r="G31" s="139">
        <f>Original!T$53</f>
        <v>22.099447513812155</v>
      </c>
      <c r="H31" s="109"/>
      <c r="I31" s="4">
        <f>IF(Original!AD53="no data", "", 1)</f>
        <v>1</v>
      </c>
    </row>
    <row r="32" spans="1:9">
      <c r="A32" s="4">
        <f>Original!A80</f>
        <v>1</v>
      </c>
      <c r="B32" s="4" t="str">
        <f>Original!C80</f>
        <v>Luxembourg</v>
      </c>
      <c r="C32" s="4" t="s">
        <v>289</v>
      </c>
      <c r="D32" s="4" t="str">
        <f>Original!G80</f>
        <v>Basic pension</v>
      </c>
      <c r="E32" s="5"/>
      <c r="F32" s="61" t="str">
        <f t="shared" si="0"/>
        <v>Luxembourg  |  Basic pension</v>
      </c>
      <c r="G32" s="139">
        <f>Original!T$80</f>
        <v>22.281639928698752</v>
      </c>
      <c r="H32" s="109"/>
      <c r="I32" s="4" t="str">
        <f>IF(Original!AD80="no data", "", 1)</f>
        <v/>
      </c>
    </row>
    <row r="33" spans="1:9">
      <c r="A33" s="4">
        <f>Original!A139</f>
        <v>1</v>
      </c>
      <c r="B33" s="4" t="str">
        <f>Original!C139</f>
        <v>Zambia</v>
      </c>
      <c r="C33" s="4" t="s">
        <v>289</v>
      </c>
      <c r="D33" s="4" t="str">
        <f>Original!G139</f>
        <v>Social Cash Transfer Programme, Katete (Pilot)</v>
      </c>
      <c r="E33" s="5"/>
      <c r="F33" s="61" t="str">
        <f t="shared" si="0"/>
        <v>Zambia  |  Social Cash Transfer Programme, Katete (Pilot)</v>
      </c>
      <c r="G33" s="139">
        <f>Original!T$139</f>
        <v>22.388059701492537</v>
      </c>
      <c r="H33" s="109"/>
      <c r="I33" s="4">
        <f>IF(Original!AD139="no data", "", 1)</f>
        <v>1</v>
      </c>
    </row>
    <row r="34" spans="1:9">
      <c r="A34" s="4">
        <f>Original!A38</f>
        <v>1</v>
      </c>
      <c r="B34" s="4" t="str">
        <f>Original!C38</f>
        <v>Czech republic</v>
      </c>
      <c r="C34" s="4" t="s">
        <v>289</v>
      </c>
      <c r="D34" s="4" t="str">
        <f>Original!G38</f>
        <v>Basic pension</v>
      </c>
      <c r="E34" s="5"/>
      <c r="F34" s="61" t="str">
        <f t="shared" si="0"/>
        <v>Czech republic  |  Basic pension</v>
      </c>
      <c r="G34" s="139">
        <f>Original!T$38</f>
        <v>23.697916666666664</v>
      </c>
      <c r="H34" s="109"/>
      <c r="I34" s="4" t="str">
        <f>IF(Original!AD38="no data", "", 1)</f>
        <v/>
      </c>
    </row>
    <row r="35" spans="1:9">
      <c r="A35" s="4">
        <f>Original!A77</f>
        <v>1</v>
      </c>
      <c r="B35" s="4" t="str">
        <f>Original!C77</f>
        <v>Latvia</v>
      </c>
      <c r="C35" s="4" t="s">
        <v>289</v>
      </c>
      <c r="D35" s="4" t="str">
        <f>Original!G77</f>
        <v>State social security benefit</v>
      </c>
      <c r="E35" s="5"/>
      <c r="F35" s="61" t="str">
        <f t="shared" si="0"/>
        <v>Latvia  |  State social security benefit</v>
      </c>
      <c r="G35" s="139">
        <f>Original!T$77</f>
        <v>25</v>
      </c>
      <c r="H35" s="109"/>
      <c r="I35" s="4" t="str">
        <f>IF(Original!AD77="no data", "", 1)</f>
        <v/>
      </c>
    </row>
    <row r="36" spans="1:9">
      <c r="A36" s="4">
        <f>Original!A101</f>
        <v>1</v>
      </c>
      <c r="B36" s="4" t="str">
        <f>Original!C101</f>
        <v>Paraguay</v>
      </c>
      <c r="C36" s="4" t="s">
        <v>289</v>
      </c>
      <c r="D36" s="4" t="str">
        <f>Original!G101</f>
        <v>Pension alimentaria</v>
      </c>
      <c r="E36" s="5"/>
      <c r="F36" s="61" t="str">
        <f t="shared" si="0"/>
        <v>Paraguay  |  Pension alimentaria</v>
      </c>
      <c r="G36" s="139">
        <f>Original!T$101</f>
        <v>26.688187566853554</v>
      </c>
      <c r="H36" s="109"/>
      <c r="I36" s="4">
        <f>IF(Original!AD101="no data", "", 1)</f>
        <v>1</v>
      </c>
    </row>
    <row r="37" spans="1:9">
      <c r="A37" s="4">
        <f>Original!A137</f>
        <v>1</v>
      </c>
      <c r="B37" s="4" t="str">
        <f>Original!C137</f>
        <v>Viet Nam  [80 years old and over]</v>
      </c>
      <c r="C37" s="4" t="s">
        <v>289</v>
      </c>
      <c r="D37" s="4" t="str">
        <f>Original!G137</f>
        <v>Social assistance benefit (clause 3)</v>
      </c>
      <c r="E37" s="5"/>
      <c r="F37" s="61" t="str">
        <f t="shared" ref="F37:F68" si="1">CONCATENATE(B37,C37,D37)</f>
        <v>Viet Nam  [80 years old and over]  |  Social assistance benefit (clause 3)</v>
      </c>
      <c r="G37" s="139">
        <f>Original!T$137</f>
        <v>27.692307692307693</v>
      </c>
      <c r="H37" s="109"/>
      <c r="I37" s="4">
        <f>IF(Original!AD137="no data", "", 1)</f>
        <v>1</v>
      </c>
    </row>
    <row r="38" spans="1:9">
      <c r="A38" s="4">
        <f>Original!A44</f>
        <v>1</v>
      </c>
      <c r="B38" s="4" t="str">
        <f>Original!C44</f>
        <v>El Salvador</v>
      </c>
      <c r="C38" s="4" t="s">
        <v>289</v>
      </c>
      <c r="D38" s="4" t="str">
        <f>Original!G44</f>
        <v>Pension Basica Universal (Universal basic pension)</v>
      </c>
      <c r="E38" s="5"/>
      <c r="F38" s="61" t="str">
        <f t="shared" si="1"/>
        <v>El Salvador  |  Pension Basica Universal (Universal basic pension)</v>
      </c>
      <c r="G38" s="139">
        <f>Original!T$44</f>
        <v>28.40909090909091</v>
      </c>
      <c r="H38" s="109"/>
      <c r="I38" s="4">
        <f>IF(Original!AD44="no data", "", 1)</f>
        <v>1</v>
      </c>
    </row>
    <row r="39" spans="1:9">
      <c r="A39" s="4">
        <f>Original!A114</f>
        <v>1</v>
      </c>
      <c r="B39" s="4" t="str">
        <f>Original!C114</f>
        <v>Slovenia</v>
      </c>
      <c r="C39" s="4" t="s">
        <v>289</v>
      </c>
      <c r="D39" s="4" t="str">
        <f>Original!G114</f>
        <v>State pension</v>
      </c>
      <c r="E39" s="5"/>
      <c r="F39" s="61" t="str">
        <f t="shared" si="1"/>
        <v>Slovenia  |  State pension</v>
      </c>
      <c r="G39" s="139">
        <f>Original!T$114</f>
        <v>30.7911714770798</v>
      </c>
      <c r="H39" s="109"/>
      <c r="I39" s="4">
        <f>IF(Original!AD114="no data", "", 1)</f>
        <v>1</v>
      </c>
    </row>
    <row r="40" spans="1:9">
      <c r="A40" s="4">
        <f>Original!A24</f>
        <v>1</v>
      </c>
      <c r="B40" s="4" t="str">
        <f>Original!C24</f>
        <v>Bolivia</v>
      </c>
      <c r="C40" s="4" t="s">
        <v>289</v>
      </c>
      <c r="D40" s="4" t="str">
        <f>Original!G24</f>
        <v>Renta Dignidad or Renta Universal de Vejez (previously Bonosol)</v>
      </c>
      <c r="E40" s="5"/>
      <c r="F40" s="61" t="str">
        <f t="shared" si="1"/>
        <v>Bolivia  |  Renta Dignidad or Renta Universal de Vejez (previously Bonosol)</v>
      </c>
      <c r="G40" s="139">
        <f>Original!T$24</f>
        <v>30.911901081916536</v>
      </c>
      <c r="H40" s="109"/>
      <c r="I40" s="4">
        <f>IF(Original!AD24="no data", "", 1)</f>
        <v>1</v>
      </c>
    </row>
    <row r="41" spans="1:9">
      <c r="A41" s="4">
        <f>Original!A57</f>
        <v>1</v>
      </c>
      <c r="B41" s="4" t="str">
        <f>Original!C57</f>
        <v>Hungary</v>
      </c>
      <c r="C41" s="4" t="s">
        <v>289</v>
      </c>
      <c r="D41" s="4" t="str">
        <f>Original!G57</f>
        <v>Idoskoruak jaradeka (Old Age Allowance)</v>
      </c>
      <c r="E41" s="5"/>
      <c r="F41" s="61" t="str">
        <f t="shared" si="1"/>
        <v>Hungary  |  Idoskoruak jaradeka (Old Age Allowance)</v>
      </c>
      <c r="G41" s="139">
        <f>Original!T$57</f>
        <v>31.888111888111887</v>
      </c>
      <c r="H41" s="109"/>
      <c r="I41" s="4" t="str">
        <f>IF(Original!AD57="no data", "", 1)</f>
        <v/>
      </c>
    </row>
    <row r="42" spans="1:9">
      <c r="A42" s="4">
        <f>Original!A92</f>
        <v>1</v>
      </c>
      <c r="B42" s="4" t="str">
        <f>Original!C92</f>
        <v>Mongolia</v>
      </c>
      <c r="C42" s="4" t="s">
        <v>289</v>
      </c>
      <c r="D42" s="4" t="str">
        <f>Original!G92</f>
        <v>Social welfare pension</v>
      </c>
      <c r="E42" s="5"/>
      <c r="F42" s="61" t="str">
        <f t="shared" si="1"/>
        <v>Mongolia  |  Social welfare pension</v>
      </c>
      <c r="G42" s="139">
        <f>Original!T$92</f>
        <v>31.944444444444443</v>
      </c>
      <c r="H42" s="109"/>
      <c r="I42" s="4">
        <f>IF(Original!AD92="no data", "", 1)</f>
        <v>1</v>
      </c>
    </row>
    <row r="43" spans="1:9" hidden="1">
      <c r="A43" s="4">
        <f>Original!A40</f>
        <v>0</v>
      </c>
      <c r="B43" s="4" t="str">
        <f>Original!C40</f>
        <v>Czech republic</v>
      </c>
      <c r="C43" s="4" t="s">
        <v>289</v>
      </c>
      <c r="D43" s="4" t="str">
        <f>Original!G40</f>
        <v>Minimum pension</v>
      </c>
      <c r="E43" s="5"/>
      <c r="F43" s="61" t="str">
        <f t="shared" si="1"/>
        <v>Czech republic  |  Minimum pension</v>
      </c>
      <c r="G43" s="139">
        <f>Original!T$40</f>
        <v>33.322916666666671</v>
      </c>
      <c r="H43" s="109"/>
      <c r="I43" s="4" t="str">
        <f>IF(Original!AD40="no data", "", 1)</f>
        <v/>
      </c>
    </row>
    <row r="44" spans="1:9">
      <c r="A44" s="4">
        <f>Original!A25</f>
        <v>1</v>
      </c>
      <c r="B44" s="4" t="str">
        <f>Original!C25</f>
        <v>Botswana</v>
      </c>
      <c r="C44" s="4" t="s">
        <v>289</v>
      </c>
      <c r="D44" s="4" t="str">
        <f>Original!G25</f>
        <v>Old Age Pension (OAP)</v>
      </c>
      <c r="E44" s="5"/>
      <c r="F44" s="61" t="str">
        <f t="shared" si="1"/>
        <v>Botswana  |  Old Age Pension (OAP)</v>
      </c>
      <c r="G44" s="139">
        <f>Original!T$25</f>
        <v>33.383915022761762</v>
      </c>
      <c r="H44" s="109"/>
      <c r="I44" s="4">
        <f>IF(Original!AD25="no data", "", 1)</f>
        <v>1</v>
      </c>
    </row>
    <row r="45" spans="1:9">
      <c r="A45" s="4">
        <f>Original!A12</f>
        <v>1</v>
      </c>
      <c r="B45" s="4" t="str">
        <f>Original!C12</f>
        <v>Armenia</v>
      </c>
      <c r="C45" s="4" t="s">
        <v>289</v>
      </c>
      <c r="D45" s="4" t="str">
        <f>Original!G12</f>
        <v>Old Age Social Pension</v>
      </c>
      <c r="E45" s="5"/>
      <c r="F45" s="61" t="str">
        <f t="shared" si="1"/>
        <v>Armenia  |  Old Age Social Pension</v>
      </c>
      <c r="G45" s="139">
        <f>Original!T$12</f>
        <v>33.556666666666665</v>
      </c>
      <c r="H45" s="109"/>
      <c r="I45" s="4" t="str">
        <f>IF(Original!AD12="no data", "", 1)</f>
        <v/>
      </c>
    </row>
    <row r="46" spans="1:9">
      <c r="A46" s="4">
        <f>Original!A31</f>
        <v>1</v>
      </c>
      <c r="B46" s="4" t="str">
        <f>Original!C31</f>
        <v>Canada basic</v>
      </c>
      <c r="C46" s="4" t="s">
        <v>289</v>
      </c>
      <c r="D46" s="4" t="str">
        <f>Original!G31</f>
        <v>Pension de la Securite Vieillesse (S.V.) (Old Age Security Pension)</v>
      </c>
      <c r="E46" s="5"/>
      <c r="F46" s="61" t="str">
        <f t="shared" si="1"/>
        <v>Canada basic  |  Pension de la Securite Vieillesse (S.V.) (Old Age Security Pension)</v>
      </c>
      <c r="G46" s="139">
        <f>Original!T$31</f>
        <v>33.997504678727388</v>
      </c>
      <c r="H46" s="109"/>
      <c r="I46" s="4">
        <f>IF(Original!AD31="no data", "", 1)</f>
        <v>1</v>
      </c>
    </row>
    <row r="47" spans="1:9">
      <c r="A47" s="4">
        <f>Original!A100</f>
        <v>1</v>
      </c>
      <c r="B47" s="4" t="str">
        <f>Original!C100</f>
        <v>Panama</v>
      </c>
      <c r="C47" s="4" t="s">
        <v>289</v>
      </c>
      <c r="D47" s="4" t="str">
        <f>Original!G100</f>
        <v>100 a los 70</v>
      </c>
      <c r="E47" s="5"/>
      <c r="F47" s="61" t="str">
        <f t="shared" si="1"/>
        <v>Panama  |  100 a los 70</v>
      </c>
      <c r="G47" s="139">
        <f>Original!T$100</f>
        <v>34.602076124567475</v>
      </c>
      <c r="H47" s="109"/>
      <c r="I47" s="4">
        <f>IF(Original!AD100="no data", "", 1)</f>
        <v>1</v>
      </c>
    </row>
    <row r="48" spans="1:9">
      <c r="A48" s="4">
        <f>Original!A16</f>
        <v>1</v>
      </c>
      <c r="B48" s="4" t="str">
        <f>Original!C16</f>
        <v>Bahamas</v>
      </c>
      <c r="C48" s="4" t="s">
        <v>289</v>
      </c>
      <c r="D48" s="4" t="str">
        <f>Original!G16</f>
        <v>Old Age Non-Contributory Pension (OANCP)</v>
      </c>
      <c r="E48" s="5"/>
      <c r="F48" s="61" t="str">
        <f t="shared" si="1"/>
        <v>Bahamas  |  Old Age Non-Contributory Pension (OANCP)</v>
      </c>
      <c r="G48" s="139">
        <f>Original!T$16</f>
        <v>35.353535353535356</v>
      </c>
      <c r="H48" s="109"/>
      <c r="I48" s="4">
        <f>IF(Original!AD16="no data", "", 1)</f>
        <v>1</v>
      </c>
    </row>
    <row r="49" spans="1:9">
      <c r="A49" s="4">
        <f>Original!A88</f>
        <v>1</v>
      </c>
      <c r="B49" s="4" t="str">
        <f>Original!C88</f>
        <v>Mexico</v>
      </c>
      <c r="C49" s="4" t="s">
        <v>289</v>
      </c>
      <c r="D49" s="4" t="str">
        <f>Original!G88</f>
        <v>70 y mas</v>
      </c>
      <c r="E49" s="5"/>
      <c r="F49" s="61" t="str">
        <f t="shared" si="1"/>
        <v>Mexico  |  70 y mas</v>
      </c>
      <c r="G49" s="139">
        <f>Original!T$88</f>
        <v>36.153289949385389</v>
      </c>
      <c r="H49" s="109"/>
      <c r="I49" s="4">
        <f>IF(Original!AD88="no data", "", 1)</f>
        <v>1</v>
      </c>
    </row>
    <row r="50" spans="1:9">
      <c r="A50" s="4">
        <f>Original!A78</f>
        <v>1</v>
      </c>
      <c r="B50" s="4" t="str">
        <f>Original!C78</f>
        <v>Lesotho</v>
      </c>
      <c r="C50" s="4" t="s">
        <v>289</v>
      </c>
      <c r="D50" s="4" t="str">
        <f>Original!G78</f>
        <v>Old Age Pension</v>
      </c>
      <c r="E50" s="5"/>
      <c r="F50" s="61" t="str">
        <f t="shared" si="1"/>
        <v>Lesotho  |  Old Age Pension</v>
      </c>
      <c r="G50" s="139">
        <f>Original!T$78</f>
        <v>36.945812807881772</v>
      </c>
      <c r="H50" s="109"/>
      <c r="I50" s="4">
        <f>IF(Original!AD78="no data", "", 1)</f>
        <v>1</v>
      </c>
    </row>
    <row r="51" spans="1:9">
      <c r="A51" s="4">
        <f>Original!A104</f>
        <v>1</v>
      </c>
      <c r="B51" s="4" t="str">
        <f>Original!C104</f>
        <v>Poland</v>
      </c>
      <c r="C51" s="4" t="s">
        <v>289</v>
      </c>
      <c r="D51" s="4" t="str">
        <f>Original!G104</f>
        <v>Targeted pension</v>
      </c>
      <c r="E51" s="5"/>
      <c r="F51" s="61" t="str">
        <f t="shared" si="1"/>
        <v>Poland  |  Targeted pension</v>
      </c>
      <c r="G51" s="139">
        <f>Original!T$104</f>
        <v>37.38244514106583</v>
      </c>
      <c r="H51" s="109"/>
      <c r="I51" s="4">
        <f>IF(Original!AD104="no data", "", 1)</f>
        <v>1</v>
      </c>
    </row>
    <row r="52" spans="1:9">
      <c r="A52" s="4">
        <f>Original!A51</f>
        <v>1</v>
      </c>
      <c r="B52" s="4" t="str">
        <f>Original!C51</f>
        <v>Greece</v>
      </c>
      <c r="C52" s="4" t="s">
        <v>289</v>
      </c>
      <c r="D52" s="4" t="str">
        <f>Original!G51</f>
        <v>Pension to uninsured elderly</v>
      </c>
      <c r="E52" s="5"/>
      <c r="F52" s="61" t="str">
        <f t="shared" si="1"/>
        <v>Greece  |  Pension to uninsured elderly</v>
      </c>
      <c r="G52" s="139">
        <f>Original!T$51</f>
        <v>38.238702201622246</v>
      </c>
      <c r="H52" s="109"/>
      <c r="I52" s="4">
        <f>IF(Original!AD51="no data", "", 1)</f>
        <v>1</v>
      </c>
    </row>
    <row r="53" spans="1:9">
      <c r="A53" s="4">
        <f>Original!A64</f>
        <v>1</v>
      </c>
      <c r="B53" s="4" t="str">
        <f>Original!C64</f>
        <v>Israel</v>
      </c>
      <c r="C53" s="4" t="s">
        <v>289</v>
      </c>
      <c r="D53" s="4" t="str">
        <f>Original!G64</f>
        <v>Income support benefit | Special old age benefit</v>
      </c>
      <c r="E53" s="5"/>
      <c r="F53" s="61" t="str">
        <f t="shared" si="1"/>
        <v>Israel  |  Income support benefit | Special old age benefit</v>
      </c>
      <c r="G53" s="139">
        <f>Original!T$64</f>
        <v>38.467532467532465</v>
      </c>
      <c r="H53" s="109"/>
      <c r="I53" s="4" t="str">
        <f>IF(Original!AD64="no data", "", 1)</f>
        <v/>
      </c>
    </row>
    <row r="54" spans="1:9">
      <c r="A54" s="4">
        <f>Original!A39</f>
        <v>1</v>
      </c>
      <c r="B54" s="4" t="str">
        <f>Original!C39</f>
        <v>Czech republic</v>
      </c>
      <c r="C54" s="4" t="s">
        <v>289</v>
      </c>
      <c r="D54" s="4" t="str">
        <f>Original!G39</f>
        <v>Targeted pension</v>
      </c>
      <c r="E54" s="5"/>
      <c r="F54" s="61" t="str">
        <f t="shared" si="1"/>
        <v>Czech republic  |  Targeted pension</v>
      </c>
      <c r="G54" s="139">
        <f>Original!T$39</f>
        <v>39.074999999999996</v>
      </c>
      <c r="H54" s="109"/>
      <c r="I54" s="4" t="str">
        <f>IF(Original!AD39="no data", "", 1)</f>
        <v/>
      </c>
    </row>
    <row r="55" spans="1:9">
      <c r="A55" s="4">
        <f>Original!A61</f>
        <v>1</v>
      </c>
      <c r="B55" s="4" t="str">
        <f>Original!C61</f>
        <v xml:space="preserve">Indonesia </v>
      </c>
      <c r="C55" s="4" t="s">
        <v>289</v>
      </c>
      <c r="D55" s="4" t="str">
        <f>Original!G61</f>
        <v>Program Jaminan Sosial Lanjut Usia (Elderly Social Security Programme) (Pilot)</v>
      </c>
      <c r="E55" s="5"/>
      <c r="F55" s="61" t="str">
        <f t="shared" si="1"/>
        <v>Indonesia   |  Program Jaminan Sosial Lanjut Usia (Elderly Social Security Programme) (Pilot)</v>
      </c>
      <c r="G55" s="139">
        <f>Original!T$61</f>
        <v>40.147528785778142</v>
      </c>
      <c r="H55" s="109"/>
      <c r="I55" s="4">
        <f>IF(Original!AD61="no data", "", 1)</f>
        <v>1</v>
      </c>
    </row>
    <row r="56" spans="1:9">
      <c r="A56" s="4">
        <f>Original!A36</f>
        <v>1</v>
      </c>
      <c r="B56" s="4" t="str">
        <f>Original!C36</f>
        <v>Costa Rica</v>
      </c>
      <c r="C56" s="4" t="s">
        <v>289</v>
      </c>
      <c r="D56" s="4" t="str">
        <f>Original!G36</f>
        <v>Programa Regimen No Contributivo</v>
      </c>
      <c r="E56" s="5"/>
      <c r="F56" s="61" t="str">
        <f t="shared" si="1"/>
        <v>Costa Rica  |  Programa Regimen No Contributivo</v>
      </c>
      <c r="G56" s="139">
        <f>Original!T$36</f>
        <v>41.023885993085173</v>
      </c>
      <c r="H56" s="109"/>
      <c r="I56" s="4">
        <f>IF(Original!AD36="no data", "", 1)</f>
        <v>1</v>
      </c>
    </row>
    <row r="57" spans="1:9">
      <c r="A57" s="4">
        <f>Original!A37</f>
        <v>1</v>
      </c>
      <c r="B57" s="4" t="str">
        <f>Original!C37</f>
        <v>Cyprus</v>
      </c>
      <c r="C57" s="4" t="s">
        <v>289</v>
      </c>
      <c r="D57" s="4" t="str">
        <f>Original!G37</f>
        <v>Social Pension Scheme</v>
      </c>
      <c r="E57" s="5"/>
      <c r="F57" s="61" t="str">
        <f t="shared" si="1"/>
        <v>Cyprus  |  Social Pension Scheme</v>
      </c>
      <c r="G57" s="139">
        <f>Original!T$37</f>
        <v>41.087231352718078</v>
      </c>
      <c r="H57" s="109"/>
      <c r="I57" s="4">
        <f>IF(Original!AD37="no data", "", 1)</f>
        <v>1</v>
      </c>
    </row>
    <row r="58" spans="1:9">
      <c r="A58" s="4">
        <f>Original!A29</f>
        <v>1</v>
      </c>
      <c r="B58" s="4" t="str">
        <f>Original!C29</f>
        <v>Bulgaria</v>
      </c>
      <c r="C58" s="4" t="s">
        <v>289</v>
      </c>
      <c r="D58" s="4" t="str">
        <f>Original!G29</f>
        <v xml:space="preserve">Pensions not Related to Labour Activity Fund </v>
      </c>
      <c r="E58" s="5"/>
      <c r="F58" s="61" t="str">
        <f t="shared" si="1"/>
        <v xml:space="preserve">Bulgaria  |  Pensions not Related to Labour Activity Fund </v>
      </c>
      <c r="G58" s="139">
        <f>Original!T$29</f>
        <v>42.083333333333336</v>
      </c>
      <c r="H58" s="109"/>
      <c r="I58" s="4">
        <f>IF(Original!AD29="no data", "", 1)</f>
        <v>1</v>
      </c>
    </row>
    <row r="59" spans="1:9">
      <c r="A59" s="4">
        <f>Original!A106</f>
        <v>1</v>
      </c>
      <c r="B59" s="4" t="str">
        <f>Original!C106</f>
        <v>Portugal</v>
      </c>
      <c r="C59" s="4" t="s">
        <v>289</v>
      </c>
      <c r="D59" s="4" t="str">
        <f>Original!G106</f>
        <v>Pensao Social de Velhice (Old Age Social Pension)</v>
      </c>
      <c r="E59" s="5"/>
      <c r="F59" s="61" t="str">
        <f t="shared" si="1"/>
        <v>Portugal  |  Pensao Social de Velhice (Old Age Social Pension)</v>
      </c>
      <c r="G59" s="139">
        <f>Original!T$106</f>
        <v>43.422222222222224</v>
      </c>
      <c r="H59" s="109"/>
      <c r="I59" s="4">
        <f>IF(Original!AD106="no data", "", 1)</f>
        <v>1</v>
      </c>
    </row>
    <row r="60" spans="1:9" hidden="1">
      <c r="A60" s="4">
        <f>Original!A48</f>
        <v>0</v>
      </c>
      <c r="B60" s="4" t="str">
        <f>Original!C48</f>
        <v>France</v>
      </c>
      <c r="C60" s="4" t="s">
        <v>289</v>
      </c>
      <c r="D60" s="4" t="str">
        <f>Original!G48</f>
        <v>Minimum pension</v>
      </c>
      <c r="E60" s="5"/>
      <c r="F60" s="61" t="str">
        <f t="shared" si="1"/>
        <v>France  |  Minimum pension</v>
      </c>
      <c r="G60" s="139">
        <f>Original!T$48</f>
        <v>47.483806676631787</v>
      </c>
      <c r="H60" s="109"/>
      <c r="I60" s="4">
        <f>IF(Original!AD48="no data", "", 1)</f>
        <v>1</v>
      </c>
    </row>
    <row r="61" spans="1:9">
      <c r="A61" s="4">
        <f>Original!A33</f>
        <v>1</v>
      </c>
      <c r="B61" s="4" t="str">
        <f>Original!C33</f>
        <v>Chile</v>
      </c>
      <c r="C61" s="4" t="s">
        <v>289</v>
      </c>
      <c r="D61" s="4" t="str">
        <f>Original!G33</f>
        <v>Pension Basica Solidaria de Vejez (PBS-Vejez)</v>
      </c>
      <c r="E61" s="5"/>
      <c r="F61" s="61" t="str">
        <f t="shared" si="1"/>
        <v>Chile  |  Pension Basica Solidaria de Vejez (PBS-Vejez)</v>
      </c>
      <c r="G61" s="139">
        <f>Original!T$33</f>
        <v>47.544848484848487</v>
      </c>
      <c r="H61" s="109"/>
      <c r="I61" s="4">
        <f>IF(Original!AD33="no data", "", 1)</f>
        <v>1</v>
      </c>
    </row>
    <row r="62" spans="1:9">
      <c r="A62" s="4">
        <f>Original!A117</f>
        <v>1</v>
      </c>
      <c r="B62" s="4" t="str">
        <f>Original!C117</f>
        <v>Spain</v>
      </c>
      <c r="C62" s="4" t="s">
        <v>289</v>
      </c>
      <c r="D62" s="4" t="str">
        <f>Original!G117</f>
        <v>Non Contributory Pension for retirement ( Pension no Contributiva de Jubilacion)</v>
      </c>
      <c r="E62" s="5"/>
      <c r="F62" s="61" t="str">
        <f t="shared" si="1"/>
        <v>Spain  |  Non Contributory Pension for retirement ( Pension no Contributiva de Jubilacion)</v>
      </c>
      <c r="G62" s="139">
        <f>Original!T$117</f>
        <v>49.13461538461538</v>
      </c>
      <c r="H62" s="109"/>
      <c r="I62" s="4">
        <f>IF(Original!AD117="no data", "", 1)</f>
        <v>1</v>
      </c>
    </row>
    <row r="63" spans="1:9" hidden="1">
      <c r="A63" s="4">
        <f>Original!A105</f>
        <v>0</v>
      </c>
      <c r="B63" s="4" t="str">
        <f>Original!C105</f>
        <v>Poland</v>
      </c>
      <c r="C63" s="4" t="s">
        <v>289</v>
      </c>
      <c r="D63" s="4" t="str">
        <f>Original!G105</f>
        <v>Minimum pension</v>
      </c>
      <c r="E63" s="5"/>
      <c r="F63" s="61" t="str">
        <f t="shared" si="1"/>
        <v>Poland  |  Minimum pension</v>
      </c>
      <c r="G63" s="139">
        <f>Original!T$105</f>
        <v>49.862852664576799</v>
      </c>
      <c r="H63" s="109"/>
      <c r="I63" s="4" t="str">
        <f>IF(Original!AD105="no data", "", 1)</f>
        <v/>
      </c>
    </row>
    <row r="64" spans="1:9">
      <c r="A64" s="4">
        <f>Original!A68</f>
        <v>1</v>
      </c>
      <c r="B64" s="4" t="str">
        <f>Original!C68</f>
        <v>Japan</v>
      </c>
      <c r="C64" s="4" t="s">
        <v>289</v>
      </c>
      <c r="D64" s="4" t="str">
        <f>Original!G68</f>
        <v>Basic pension</v>
      </c>
      <c r="E64" s="5"/>
      <c r="F64" s="61" t="str">
        <f t="shared" si="1"/>
        <v>Japan  |  Basic pension</v>
      </c>
      <c r="G64" s="139">
        <f>Original!T$68</f>
        <v>53.410418032101539</v>
      </c>
      <c r="H64" s="109"/>
      <c r="I64" s="4" t="str">
        <f>IF(Original!AD68="no data", "", 1)</f>
        <v/>
      </c>
    </row>
    <row r="65" spans="1:9">
      <c r="A65" s="4">
        <f>Original!A133</f>
        <v>1</v>
      </c>
      <c r="B65" s="4" t="str">
        <f>Original!C133</f>
        <v>United States of America</v>
      </c>
      <c r="C65" s="4" t="s">
        <v>289</v>
      </c>
      <c r="D65" s="4" t="str">
        <f>Original!G133</f>
        <v>Old age supplemental income benefit</v>
      </c>
      <c r="E65" s="5"/>
      <c r="F65" s="61" t="str">
        <f t="shared" si="1"/>
        <v>United States of America  |  Old age supplemental income benefit</v>
      </c>
      <c r="G65" s="139">
        <f>Original!T$133</f>
        <v>53.619729514717584</v>
      </c>
      <c r="H65" s="109"/>
      <c r="I65" s="4">
        <f>IF(Original!AD133="no data", "", 1)</f>
        <v>1</v>
      </c>
    </row>
    <row r="66" spans="1:9">
      <c r="A66" s="4">
        <f>Original!A47</f>
        <v>1</v>
      </c>
      <c r="B66" s="4" t="str">
        <f>Original!C47</f>
        <v>France</v>
      </c>
      <c r="C66" s="4" t="s">
        <v>289</v>
      </c>
      <c r="D66" s="4" t="str">
        <f>Original!G47</f>
        <v>ASPA (allocation de solidarité aux personnes âgées)</v>
      </c>
      <c r="E66" s="5"/>
      <c r="F66" s="61" t="str">
        <f t="shared" si="1"/>
        <v>France  |  ASPA (allocation de solidarité aux personnes âgées)</v>
      </c>
      <c r="G66" s="139">
        <f>Original!T$47</f>
        <v>55.455904334828098</v>
      </c>
      <c r="H66" s="109"/>
      <c r="I66" s="4">
        <f>IF(Original!AD47="no data", "", 1)</f>
        <v>1</v>
      </c>
    </row>
    <row r="67" spans="1:9">
      <c r="A67" s="4">
        <f>Original!A54</f>
        <v>1</v>
      </c>
      <c r="B67" s="4" t="str">
        <f>Original!C54</f>
        <v>Guyana</v>
      </c>
      <c r="C67" s="4" t="s">
        <v>289</v>
      </c>
      <c r="D67" s="4" t="str">
        <f>Original!G54</f>
        <v>Old Age Pension</v>
      </c>
      <c r="E67" s="5"/>
      <c r="F67" s="61" t="str">
        <f t="shared" si="1"/>
        <v>Guyana  |  Old Age Pension</v>
      </c>
      <c r="G67" s="139">
        <f>Original!T$54</f>
        <v>56.012995014843447</v>
      </c>
      <c r="H67" s="109"/>
      <c r="I67" s="4">
        <f>IF(Original!AD54="no data", "", 1)</f>
        <v>1</v>
      </c>
    </row>
    <row r="68" spans="1:9">
      <c r="A68" s="4">
        <f>Original!A20</f>
        <v>1</v>
      </c>
      <c r="B68" s="4" t="str">
        <f>Original!C20</f>
        <v>Belarus</v>
      </c>
      <c r="C68" s="4" t="s">
        <v>289</v>
      </c>
      <c r="D68" s="4" t="str">
        <f>Original!G20</f>
        <v>Social old-age pension (social assistance</v>
      </c>
      <c r="E68" s="5"/>
      <c r="F68" s="61" t="str">
        <f t="shared" si="1"/>
        <v>Belarus  |  Social old-age pension (social assistance</v>
      </c>
      <c r="G68" s="139">
        <f>Original!T$20</f>
        <v>57.951676099259906</v>
      </c>
      <c r="H68" s="109"/>
      <c r="I68" s="4">
        <f>IF(Original!AD20="no data", "", 1)</f>
        <v>1</v>
      </c>
    </row>
    <row r="69" spans="1:9">
      <c r="A69" s="4">
        <f>Original!A70</f>
        <v>1</v>
      </c>
      <c r="B69" s="4" t="str">
        <f>Original!C70</f>
        <v>Kazakhstan</v>
      </c>
      <c r="C69" s="4" t="s">
        <v>289</v>
      </c>
      <c r="D69" s="4" t="str">
        <f>Original!G70</f>
        <v>State social benefit</v>
      </c>
      <c r="E69" s="5"/>
      <c r="F69" s="61" t="str">
        <f t="shared" ref="F69:F100" si="2">CONCATENATE(B69,C69,D69)</f>
        <v>Kazakhstan  |  State social benefit</v>
      </c>
      <c r="G69" s="139">
        <f>Original!T$70</f>
        <v>58.321790478967706</v>
      </c>
      <c r="H69" s="109"/>
      <c r="I69" s="4" t="str">
        <f>IF(Original!AD70="no data", "", 1)</f>
        <v/>
      </c>
    </row>
    <row r="70" spans="1:9">
      <c r="A70" s="4">
        <f>Original!A132</f>
        <v>1</v>
      </c>
      <c r="B70" s="4" t="str">
        <f>Original!C132</f>
        <v>United Kingdom</v>
      </c>
      <c r="C70" s="4" t="s">
        <v>289</v>
      </c>
      <c r="D70" s="4" t="str">
        <f>Original!G132</f>
        <v>Pension credit (Guarantee Credit)</v>
      </c>
      <c r="E70" s="5"/>
      <c r="F70" s="61" t="str">
        <f t="shared" si="2"/>
        <v>United Kingdom  |  Pension credit (Guarantee Credit)</v>
      </c>
      <c r="G70" s="139">
        <f>Original!T$132</f>
        <v>59.222189054726371</v>
      </c>
      <c r="H70" s="109"/>
      <c r="I70" s="4">
        <f>IF(Original!AD132="no data", "", 1)</f>
        <v>1</v>
      </c>
    </row>
    <row r="71" spans="1:9">
      <c r="A71" s="4">
        <f>Original!A42</f>
        <v>1</v>
      </c>
      <c r="B71" s="4" t="str">
        <f>Original!C42</f>
        <v>Dominican republic</v>
      </c>
      <c r="C71" s="4" t="s">
        <v>289</v>
      </c>
      <c r="D71" s="4" t="str">
        <f>Original!G42</f>
        <v>Programa Nonagenarios (Nonagarians Programme)</v>
      </c>
      <c r="E71" s="5"/>
      <c r="F71" s="61" t="str">
        <f t="shared" si="2"/>
        <v>Dominican republic  |  Programa Nonagenarios (Nonagarians Programme)</v>
      </c>
      <c r="G71" s="139">
        <f>Original!T$42</f>
        <v>59.53858084528887</v>
      </c>
      <c r="H71" s="109"/>
      <c r="I71" s="4" t="str">
        <f>IF(Original!AD42="no data", "", 1)</f>
        <v/>
      </c>
    </row>
    <row r="72" spans="1:9">
      <c r="A72" s="4">
        <f>Original!A11</f>
        <v>1</v>
      </c>
      <c r="B72" s="4" t="str">
        <f>Original!C11</f>
        <v>Argentina</v>
      </c>
      <c r="C72" s="4" t="s">
        <v>289</v>
      </c>
      <c r="D72" s="4" t="str">
        <f>Original!G11</f>
        <v>Pensiones Asistenciales</v>
      </c>
      <c r="E72" s="5"/>
      <c r="F72" s="61" t="str">
        <f t="shared" si="2"/>
        <v>Argentina  |  Pensiones Asistenciales</v>
      </c>
      <c r="G72" s="139">
        <f>Original!T$11</f>
        <v>61.03125</v>
      </c>
      <c r="H72" s="109"/>
      <c r="I72" s="4">
        <f>IF(Original!AD11="no data", "", 1)</f>
        <v>1</v>
      </c>
    </row>
    <row r="73" spans="1:9">
      <c r="A73" s="4">
        <f>Original!A116</f>
        <v>1</v>
      </c>
      <c r="B73" s="4" t="str">
        <f>Original!C116</f>
        <v>South Africa</v>
      </c>
      <c r="C73" s="4" t="s">
        <v>289</v>
      </c>
      <c r="D73" s="4" t="str">
        <f>Original!G116</f>
        <v>Grant for Older Persons</v>
      </c>
      <c r="E73" s="5"/>
      <c r="F73" s="61" t="str">
        <f t="shared" si="2"/>
        <v>South Africa  |  Grant for Older Persons</v>
      </c>
      <c r="G73" s="139">
        <f>Original!T$116</f>
        <v>61.633281972265017</v>
      </c>
      <c r="H73" s="109"/>
      <c r="I73" s="4">
        <f>IF(Original!AD116="no data", "", 1)</f>
        <v>1</v>
      </c>
    </row>
    <row r="74" spans="1:9">
      <c r="A74" s="4">
        <f>Original!A13</f>
        <v>1</v>
      </c>
      <c r="B74" s="4" t="str">
        <f>Original!C13</f>
        <v>Australia</v>
      </c>
      <c r="C74" s="4" t="s">
        <v>289</v>
      </c>
      <c r="D74" s="4" t="str">
        <f>Original!G13</f>
        <v>Age Pension</v>
      </c>
      <c r="E74" s="5"/>
      <c r="F74" s="61" t="str">
        <f t="shared" si="2"/>
        <v>Australia  |  Age Pension</v>
      </c>
      <c r="G74" s="139">
        <f>Original!T$13</f>
        <v>63.921901528013578</v>
      </c>
      <c r="H74" s="109"/>
      <c r="I74" s="4">
        <f>IF(Original!AD13="no data", "", 1)</f>
        <v>1</v>
      </c>
    </row>
    <row r="75" spans="1:9">
      <c r="A75" s="4">
        <f>Original!A87</f>
        <v>1</v>
      </c>
      <c r="B75" s="4" t="str">
        <f>Original!C87</f>
        <v>Mexico</v>
      </c>
      <c r="C75" s="4" t="s">
        <v>289</v>
      </c>
      <c r="D75" s="4" t="str">
        <f>Original!G87</f>
        <v>Pension Alimentaria Ciudadana</v>
      </c>
      <c r="E75" s="5"/>
      <c r="F75" s="61" t="str">
        <f t="shared" si="2"/>
        <v>Mexico  |  Pension Alimentaria Ciudadana</v>
      </c>
      <c r="G75" s="139">
        <f>Original!T$87</f>
        <v>64.859002169197396</v>
      </c>
      <c r="H75" s="109"/>
      <c r="I75" s="4">
        <f>IF(Original!AD87="no data", "", 1)</f>
        <v>1</v>
      </c>
    </row>
    <row r="76" spans="1:9">
      <c r="A76" s="4">
        <f>Original!A63</f>
        <v>1</v>
      </c>
      <c r="B76" s="4" t="str">
        <f>Original!C63</f>
        <v>Ireland</v>
      </c>
      <c r="C76" s="4" t="s">
        <v>289</v>
      </c>
      <c r="D76" s="4" t="str">
        <f>Original!G63</f>
        <v>Targeted pension</v>
      </c>
      <c r="E76" s="5"/>
      <c r="F76" s="61" t="str">
        <f t="shared" si="2"/>
        <v>Ireland  |  Targeted pension</v>
      </c>
      <c r="G76" s="139">
        <f>Original!T$63</f>
        <v>64.911080711354302</v>
      </c>
      <c r="H76" s="109"/>
      <c r="I76" s="4">
        <f>IF(Original!AD63="no data", "", 1)</f>
        <v>1</v>
      </c>
    </row>
    <row r="77" spans="1:9">
      <c r="A77" s="4">
        <f>Original!A69</f>
        <v>1</v>
      </c>
      <c r="B77" s="4" t="str">
        <f>Original!C69</f>
        <v>Japan</v>
      </c>
      <c r="C77" s="4" t="s">
        <v>289</v>
      </c>
      <c r="D77" s="4" t="str">
        <f>Original!G69</f>
        <v>Targeted pension</v>
      </c>
      <c r="E77" s="5"/>
      <c r="F77" s="61" t="str">
        <f t="shared" si="2"/>
        <v>Japan  |  Targeted pension</v>
      </c>
      <c r="G77" s="139">
        <f>Original!T$69</f>
        <v>65.393204786911241</v>
      </c>
      <c r="H77" s="109"/>
      <c r="I77" s="4">
        <f>IF(Original!AD69="no data", "", 1)</f>
        <v>1</v>
      </c>
    </row>
    <row r="78" spans="1:9">
      <c r="A78" s="4">
        <f>Original!A21</f>
        <v>1</v>
      </c>
      <c r="B78" s="4" t="str">
        <f>Original!C21</f>
        <v>Beligium</v>
      </c>
      <c r="C78" s="4" t="s">
        <v>289</v>
      </c>
      <c r="D78" s="4" t="str">
        <f>Original!G21</f>
        <v>IGO/GRAPA (Income Guarantee for the Elderly)</v>
      </c>
      <c r="E78" s="5"/>
      <c r="F78" s="61" t="str">
        <f t="shared" si="2"/>
        <v>Beligium  |  IGO/GRAPA (Income Guarantee for the Elderly)</v>
      </c>
      <c r="G78" s="139">
        <f>Original!T$21</f>
        <v>65.994236311239192</v>
      </c>
      <c r="H78" s="109"/>
      <c r="I78" s="4">
        <f>IF(Original!AD21="no data", "", 1)</f>
        <v>1</v>
      </c>
    </row>
    <row r="79" spans="1:9" hidden="1">
      <c r="A79" s="4">
        <f>Original!A52</f>
        <v>0</v>
      </c>
      <c r="B79" s="4" t="str">
        <f>Original!C52</f>
        <v>Greece</v>
      </c>
      <c r="C79" s="4" t="s">
        <v>289</v>
      </c>
      <c r="D79" s="4" t="str">
        <f>Original!G52</f>
        <v>Minimum pension</v>
      </c>
      <c r="E79" s="5"/>
      <c r="F79" s="61" t="str">
        <f t="shared" si="2"/>
        <v>Greece  |  Minimum pension</v>
      </c>
      <c r="G79" s="139">
        <f>Original!T$52</f>
        <v>66.07763615295481</v>
      </c>
      <c r="H79" s="109"/>
      <c r="I79" s="4">
        <f>IF(Original!AD52="no data", "", 1)</f>
        <v>1</v>
      </c>
    </row>
    <row r="80" spans="1:9">
      <c r="A80" s="4">
        <f>Original!A124</f>
        <v>1</v>
      </c>
      <c r="B80" s="4" t="str">
        <f>Original!C124</f>
        <v>Tajikistan</v>
      </c>
      <c r="C80" s="4" t="s">
        <v>289</v>
      </c>
      <c r="D80" s="4" t="str">
        <f>Original!G124</f>
        <v>Old age pension</v>
      </c>
      <c r="E80" s="5"/>
      <c r="F80" s="61" t="str">
        <f t="shared" si="2"/>
        <v>Tajikistan  |  Old age pension</v>
      </c>
      <c r="G80" s="139">
        <f>Original!T$124</f>
        <v>66.666666666666657</v>
      </c>
      <c r="H80" s="109"/>
      <c r="I80" s="4" t="str">
        <f>IF(Original!AD124="no data", "", 1)</f>
        <v/>
      </c>
    </row>
    <row r="81" spans="1:9" hidden="1">
      <c r="A81" s="4">
        <f>Original!A62</f>
        <v>0</v>
      </c>
      <c r="B81" s="4" t="str">
        <f>Original!C62</f>
        <v>Ireland</v>
      </c>
      <c r="C81" s="4" t="s">
        <v>289</v>
      </c>
      <c r="D81" s="4" t="str">
        <f>Original!G62</f>
        <v>Basic pension</v>
      </c>
      <c r="E81" s="5"/>
      <c r="F81" s="61" t="str">
        <f t="shared" si="2"/>
        <v>Ireland  |  Basic pension</v>
      </c>
      <c r="G81" s="139">
        <f>Original!T$62</f>
        <v>67.458960328317374</v>
      </c>
      <c r="H81" s="109"/>
      <c r="I81" s="4" t="str">
        <f>IF(Original!AD62="no data", "", 1)</f>
        <v/>
      </c>
    </row>
    <row r="82" spans="1:9">
      <c r="A82" s="4">
        <f>Original!A85</f>
        <v>1</v>
      </c>
      <c r="B82" s="4" t="str">
        <f>Original!C85</f>
        <v>Malta</v>
      </c>
      <c r="C82" s="4" t="s">
        <v>289</v>
      </c>
      <c r="D82" s="4" t="str">
        <f>Original!G85</f>
        <v>Old-age noncontributory pension</v>
      </c>
      <c r="E82" s="5"/>
      <c r="F82" s="61" t="str">
        <f t="shared" si="2"/>
        <v>Malta  |  Old-age noncontributory pension</v>
      </c>
      <c r="G82" s="139">
        <f>Original!T$85</f>
        <v>67.907086614173224</v>
      </c>
      <c r="H82" s="109"/>
      <c r="I82" s="4" t="str">
        <f>IF(Original!AD85="no data", "", 1)</f>
        <v/>
      </c>
    </row>
    <row r="83" spans="1:9">
      <c r="A83" s="4">
        <f>Original!A81</f>
        <v>1</v>
      </c>
      <c r="B83" s="4" t="str">
        <f>Original!C81</f>
        <v>Luxembourg</v>
      </c>
      <c r="C83" s="4" t="s">
        <v>289</v>
      </c>
      <c r="D83" s="4" t="str">
        <f>Original!G81</f>
        <v>Targeted pension</v>
      </c>
      <c r="E83" s="5"/>
      <c r="F83" s="61" t="str">
        <f t="shared" si="2"/>
        <v>Luxembourg  |  Targeted pension</v>
      </c>
      <c r="G83" s="139">
        <f>Original!T$81</f>
        <v>68.152109328579911</v>
      </c>
      <c r="H83" s="109"/>
      <c r="I83" s="4" t="str">
        <f>IF(Original!AD81="no data", "", 1)</f>
        <v/>
      </c>
    </row>
    <row r="84" spans="1:9">
      <c r="A84" s="4">
        <f>Original!A96</f>
        <v>1</v>
      </c>
      <c r="B84" s="4" t="str">
        <f>Original!C96</f>
        <v>New Zealand</v>
      </c>
      <c r="C84" s="4" t="s">
        <v>289</v>
      </c>
      <c r="D84" s="4" t="str">
        <f>Original!G96</f>
        <v>Superannuation</v>
      </c>
      <c r="E84" s="5"/>
      <c r="F84" s="61" t="str">
        <f t="shared" si="2"/>
        <v>New Zealand  |  Superannuation</v>
      </c>
      <c r="G84" s="139">
        <f>Original!T$96</f>
        <v>69.543147208121823</v>
      </c>
      <c r="H84" s="109"/>
      <c r="I84" s="4">
        <f>IF(Original!AD96="no data", "", 1)</f>
        <v>1</v>
      </c>
    </row>
    <row r="85" spans="1:9" hidden="1">
      <c r="A85" s="4">
        <f>Original!A115</f>
        <v>0</v>
      </c>
      <c r="B85" s="4" t="str">
        <f>Original!C115</f>
        <v>Slovenia</v>
      </c>
      <c r="C85" s="4" t="s">
        <v>289</v>
      </c>
      <c r="D85" s="4" t="str">
        <f>Original!G115</f>
        <v>Minimum pension</v>
      </c>
      <c r="E85" s="5"/>
      <c r="F85" s="61" t="str">
        <f t="shared" si="2"/>
        <v>Slovenia  |  Minimum pension</v>
      </c>
      <c r="G85" s="139">
        <f>Original!T$115</f>
        <v>71.675155631013027</v>
      </c>
      <c r="H85" s="109"/>
      <c r="I85" s="4">
        <f>IF(Original!AD115="no data", "", 1)</f>
        <v>1</v>
      </c>
    </row>
    <row r="86" spans="1:9" hidden="1">
      <c r="A86" s="4">
        <f>Original!A118</f>
        <v>0</v>
      </c>
      <c r="B86" s="4" t="str">
        <f>Original!C118</f>
        <v>Spain</v>
      </c>
      <c r="C86" s="4" t="s">
        <v>289</v>
      </c>
      <c r="D86" s="4" t="str">
        <f>Original!G118</f>
        <v>Minimum pension</v>
      </c>
      <c r="E86" s="5"/>
      <c r="F86" s="61" t="str">
        <f t="shared" si="2"/>
        <v>Spain  |  Minimum pension</v>
      </c>
      <c r="G86" s="139">
        <f>Original!T$118</f>
        <v>72.893772893772891</v>
      </c>
      <c r="H86" s="109"/>
      <c r="I86" s="4">
        <f>IF(Original!AD118="no data", "", 1)</f>
        <v>1</v>
      </c>
    </row>
    <row r="87" spans="1:9">
      <c r="A87" s="4">
        <f>Original!A95</f>
        <v>1</v>
      </c>
      <c r="B87" s="4" t="str">
        <f>Original!C95</f>
        <v>Netherlands</v>
      </c>
      <c r="C87" s="4" t="s">
        <v>289</v>
      </c>
      <c r="D87" s="4" t="str">
        <f>Original!G95</f>
        <v>Old-age pension</v>
      </c>
      <c r="E87" s="5"/>
      <c r="F87" s="61" t="str">
        <f t="shared" si="2"/>
        <v>Netherlands  |  Old-age pension</v>
      </c>
      <c r="G87" s="139">
        <f>Original!T$95</f>
        <v>75.756492732904448</v>
      </c>
      <c r="H87" s="109"/>
      <c r="I87" s="4">
        <f>IF(Original!AD95="no data", "", 1)</f>
        <v>1</v>
      </c>
    </row>
    <row r="88" spans="1:9">
      <c r="A88" s="4">
        <f>Original!A15</f>
        <v>1</v>
      </c>
      <c r="B88" s="4" t="str">
        <f>Original!C15</f>
        <v>Azerbaijan</v>
      </c>
      <c r="C88" s="4" t="s">
        <v>289</v>
      </c>
      <c r="D88" s="4" t="str">
        <f>Original!G15</f>
        <v>Social Allowance (Old Age)</v>
      </c>
      <c r="E88" s="5"/>
      <c r="F88" s="61" t="str">
        <f t="shared" si="2"/>
        <v>Azerbaijan  |  Social Allowance (Old Age)</v>
      </c>
      <c r="G88" s="139">
        <f>Original!T$15</f>
        <v>80</v>
      </c>
      <c r="H88" s="109"/>
      <c r="I88" s="4">
        <f>IF(Original!AD15="no data", "", 1)</f>
        <v>1</v>
      </c>
    </row>
    <row r="89" spans="1:9" hidden="1">
      <c r="A89" s="4">
        <f>Original!A107</f>
        <v>0</v>
      </c>
      <c r="B89" s="4" t="str">
        <f>Original!C107</f>
        <v>Portugal</v>
      </c>
      <c r="C89" s="4" t="s">
        <v>289</v>
      </c>
      <c r="D89" s="4" t="str">
        <f>Original!G107</f>
        <v>Minimum pension</v>
      </c>
      <c r="E89" s="5"/>
      <c r="F89" s="61" t="str">
        <f t="shared" si="2"/>
        <v>Portugal  |  Minimum pension</v>
      </c>
      <c r="G89" s="139">
        <f>Original!T$107</f>
        <v>80.851851851851848</v>
      </c>
      <c r="H89" s="109"/>
      <c r="I89" s="4">
        <f>IF(Original!AD107="no data", "", 1)</f>
        <v>1</v>
      </c>
    </row>
    <row r="90" spans="1:9" hidden="1">
      <c r="A90" s="4">
        <f>Original!A82</f>
        <v>0</v>
      </c>
      <c r="B90" s="4" t="str">
        <f>Original!C82</f>
        <v>Luxembourg</v>
      </c>
      <c r="C90" s="4" t="s">
        <v>289</v>
      </c>
      <c r="D90" s="4" t="str">
        <f>Original!G82</f>
        <v>Minimum pension</v>
      </c>
      <c r="E90" s="5"/>
      <c r="F90" s="61" t="str">
        <f t="shared" si="2"/>
        <v>Luxembourg  |  Minimum pension</v>
      </c>
      <c r="G90" s="139">
        <f>Original!T$82</f>
        <v>85.323826500297088</v>
      </c>
      <c r="H90" s="109"/>
      <c r="I90" s="4" t="str">
        <f>IF(Original!AD82="no data", "", 1)</f>
        <v/>
      </c>
    </row>
    <row r="91" spans="1:9">
      <c r="A91" s="4">
        <f>Original!A86</f>
        <v>1</v>
      </c>
      <c r="B91" s="4" t="str">
        <f>Original!C86</f>
        <v>Mauritius</v>
      </c>
      <c r="C91" s="4" t="s">
        <v>289</v>
      </c>
      <c r="D91" s="4" t="str">
        <f>Original!G86</f>
        <v>Basic Retirement Pension</v>
      </c>
      <c r="E91" s="5"/>
      <c r="F91" s="61" t="str">
        <f t="shared" si="2"/>
        <v>Mauritius  |  Basic Retirement Pension</v>
      </c>
      <c r="G91" s="139">
        <f>Original!T$86</f>
        <v>87.026279391424623</v>
      </c>
      <c r="H91" s="109"/>
      <c r="I91" s="4">
        <f>IF(Original!AD86="no data", "", 1)</f>
        <v>1</v>
      </c>
    </row>
    <row r="92" spans="1:9">
      <c r="A92" s="4">
        <f>Original!A131</f>
        <v>1</v>
      </c>
      <c r="B92" s="4" t="str">
        <f>Original!C131</f>
        <v>Ukraine</v>
      </c>
      <c r="C92" s="4" t="s">
        <v>289</v>
      </c>
      <c r="D92" s="4" t="str">
        <f>Original!G131</f>
        <v>Social pension + social pension supplement</v>
      </c>
      <c r="E92" s="5"/>
      <c r="F92" s="61" t="str">
        <f t="shared" si="2"/>
        <v>Ukraine  |  Social pension + social pension supplement</v>
      </c>
      <c r="G92" s="139">
        <f>Original!T$131</f>
        <v>93.413978494623649</v>
      </c>
      <c r="H92" s="109"/>
      <c r="I92" s="4">
        <f>IF(Original!AD131="no data", "", 1)</f>
        <v>1</v>
      </c>
    </row>
    <row r="93" spans="1:9">
      <c r="A93" s="4">
        <f>Original!A134</f>
        <v>1</v>
      </c>
      <c r="B93" s="4" t="str">
        <f>Original!C134</f>
        <v>Uruguay</v>
      </c>
      <c r="C93" s="4" t="s">
        <v>289</v>
      </c>
      <c r="D93" s="4" t="str">
        <f>Original!G134</f>
        <v>Pensión por Vejez (Programa de Pensiones No-Contributivas)</v>
      </c>
      <c r="E93" s="5"/>
      <c r="F93" s="61" t="str">
        <f t="shared" si="2"/>
        <v>Uruguay  |  Pensión por Vejez (Programa de Pensiones No-Contributivas)</v>
      </c>
      <c r="G93" s="139">
        <f>Original!T$134</f>
        <v>107.34068903400136</v>
      </c>
      <c r="H93" s="109"/>
      <c r="I93" s="4">
        <f>IF(Original!AD134="no data", "", 1)</f>
        <v>1</v>
      </c>
    </row>
    <row r="94" spans="1:9" hidden="1">
      <c r="A94" s="4">
        <f>Original!A90</f>
        <v>0</v>
      </c>
      <c r="B94" s="4" t="str">
        <f>Original!C90</f>
        <v>Mexico</v>
      </c>
      <c r="C94" s="4" t="s">
        <v>289</v>
      </c>
      <c r="D94" s="4" t="str">
        <f>Original!G90</f>
        <v>Minimum pension</v>
      </c>
      <c r="E94" s="5"/>
      <c r="F94" s="61" t="str">
        <f t="shared" si="2"/>
        <v>Mexico  |  Minimum pension</v>
      </c>
      <c r="G94" s="139">
        <f>Original!T$90</f>
        <v>131.57387322246325</v>
      </c>
      <c r="H94" s="109"/>
      <c r="I94" s="4" t="str">
        <f>IF(Original!AD90="no data", "", 1)</f>
        <v/>
      </c>
    </row>
    <row r="95" spans="1:9">
      <c r="A95" s="4">
        <f>Original!A26</f>
        <v>1</v>
      </c>
      <c r="B95" s="4" t="str">
        <f>Original!C26</f>
        <v>Brazil [Rural pensionn]</v>
      </c>
      <c r="C95" s="4" t="s">
        <v>289</v>
      </c>
      <c r="D95" s="4" t="str">
        <f>Original!G26</f>
        <v>Previdencia Rural (Rural Pension)</v>
      </c>
      <c r="E95" s="5"/>
      <c r="F95" s="61" t="str">
        <f t="shared" si="2"/>
        <v>Brazil [Rural pensionn]  |  Previdencia Rural (Rural Pension)</v>
      </c>
      <c r="G95" s="139">
        <f>Original!T$26</f>
        <v>133.76344086021504</v>
      </c>
      <c r="H95" s="109"/>
      <c r="I95" s="4">
        <f>IF(Original!AD26="no data", "", 1)</f>
        <v>1</v>
      </c>
    </row>
    <row r="96" spans="1:9">
      <c r="A96" s="4">
        <f>Original!A27</f>
        <v>1</v>
      </c>
      <c r="B96" s="4" t="str">
        <f>Original!C27</f>
        <v>Brazil [BPC]</v>
      </c>
      <c r="C96" s="4" t="s">
        <v>289</v>
      </c>
      <c r="D96" s="4" t="str">
        <f>Original!G27</f>
        <v>Beneficio de Prestacao Continuada (BPC / Continuous Cash Benefit)</v>
      </c>
      <c r="E96" s="5"/>
      <c r="F96" s="61" t="str">
        <f t="shared" si="2"/>
        <v>Brazil [BPC]  |  Beneficio de Prestacao Continuada (BPC / Continuous Cash Benefit)</v>
      </c>
      <c r="G96" s="139">
        <f>Original!T$27</f>
        <v>133.76344086021504</v>
      </c>
      <c r="H96" s="109"/>
      <c r="I96" s="4">
        <f>IF(Original!AD27="no data", "", 1)</f>
        <v>1</v>
      </c>
    </row>
    <row r="97" spans="1:9">
      <c r="A97" s="4">
        <f>Original!A135</f>
        <v>1</v>
      </c>
      <c r="B97" s="4" t="str">
        <f>Original!C135</f>
        <v>Uzbekestan</v>
      </c>
      <c r="C97" s="4" t="s">
        <v>289</v>
      </c>
      <c r="D97" s="4" t="str">
        <f>Original!G135</f>
        <v>Social pension</v>
      </c>
      <c r="E97" s="5"/>
      <c r="F97" s="61" t="str">
        <f t="shared" si="2"/>
        <v>Uzbekestan  |  Social pension</v>
      </c>
      <c r="G97" s="139">
        <f>Original!T$135</f>
        <v>158.41295116772824</v>
      </c>
      <c r="H97" s="109"/>
      <c r="I97" s="4">
        <f>IF(Original!AD135="no data", "", 1)</f>
        <v>1</v>
      </c>
    </row>
    <row r="98" spans="1:9">
      <c r="A98" s="4">
        <f>Original!A136</f>
        <v>1</v>
      </c>
      <c r="B98" s="4" t="str">
        <f>Original!C136</f>
        <v>Venezuela</v>
      </c>
      <c r="C98" s="4" t="s">
        <v>289</v>
      </c>
      <c r="D98" s="4" t="str">
        <f>Original!G136</f>
        <v>Gran Mision Amor Mayor</v>
      </c>
      <c r="E98" s="5"/>
      <c r="F98" s="61" t="str">
        <f t="shared" si="2"/>
        <v>Venezuela  |  Gran Mision Amor Mayor</v>
      </c>
      <c r="G98" s="139">
        <f>Original!T$136</f>
        <v>159.91735537190081</v>
      </c>
      <c r="H98" s="109"/>
      <c r="I98" s="4">
        <f>IF(Original!AD136="no data", "", 1)</f>
        <v>1</v>
      </c>
    </row>
    <row r="99" spans="1:9">
      <c r="A99" s="4">
        <f>Original!A127</f>
        <v>1</v>
      </c>
      <c r="B99" s="4" t="str">
        <f>Original!C127</f>
        <v>Trinidad and Tobago</v>
      </c>
      <c r="C99" s="4" t="s">
        <v>289</v>
      </c>
      <c r="D99" s="4" t="str">
        <f>Original!G127</f>
        <v>Senior Citizens' Pension</v>
      </c>
      <c r="E99" s="5"/>
      <c r="F99" s="61" t="str">
        <f t="shared" si="2"/>
        <v>Trinidad and Tobago  |  Senior Citizens' Pension</v>
      </c>
      <c r="G99" s="139">
        <f>Original!T$127</f>
        <v>192.30769230769232</v>
      </c>
      <c r="H99" s="109"/>
      <c r="I99" s="4">
        <f>IF(Original!AD127="no data", "", 1)</f>
        <v>1</v>
      </c>
    </row>
    <row r="100" spans="1:9">
      <c r="A100" s="4">
        <f>Original!A76</f>
        <v>1</v>
      </c>
      <c r="B100" s="4" t="str">
        <f>Original!C76</f>
        <v>Kyrgyzstan</v>
      </c>
      <c r="C100" s="4" t="s">
        <v>289</v>
      </c>
      <c r="D100" s="4" t="str">
        <f>Original!G76</f>
        <v>Social assistance allowance (old age)</v>
      </c>
      <c r="E100" s="5"/>
      <c r="F100" s="61" t="str">
        <f t="shared" si="2"/>
        <v>Kyrgyzstan  |  Social assistance allowance (old age)</v>
      </c>
      <c r="G100" s="139">
        <f>Original!T$76</f>
        <v>294.11764705882354</v>
      </c>
      <c r="H100" s="109"/>
      <c r="I100" s="4" t="str">
        <f>IF(Original!AD76="no data", "", 1)</f>
        <v/>
      </c>
    </row>
    <row r="101" spans="1:9">
      <c r="A101" s="4">
        <f>Original!A30</f>
        <v>1</v>
      </c>
      <c r="B101" s="4" t="str">
        <f>Original!C30</f>
        <v>Canada Targeted</v>
      </c>
      <c r="C101" s="4" t="s">
        <v>289</v>
      </c>
      <c r="D101" s="4" t="str">
        <f>Original!G30</f>
        <v>Canada targeted pension</v>
      </c>
      <c r="E101" s="5"/>
      <c r="F101" s="61" t="str">
        <f t="shared" ref="F101:F134" si="3">CONCATENATE(B101,C101,D101)</f>
        <v>Canada Targeted  |  Canada targeted pension</v>
      </c>
      <c r="G101" s="139">
        <f>Original!T$30</f>
        <v>379.41359950093573</v>
      </c>
      <c r="H101" s="109"/>
      <c r="I101" s="4">
        <f>IF(Original!AD30="no data", "", 1)</f>
        <v>1</v>
      </c>
    </row>
    <row r="102" spans="1:9">
      <c r="A102" s="4">
        <f>Original!A49</f>
        <v>1</v>
      </c>
      <c r="B102" s="4" t="str">
        <f>Original!C49</f>
        <v>Georgia</v>
      </c>
      <c r="C102" s="4" t="s">
        <v>289</v>
      </c>
      <c r="D102" s="4" t="str">
        <f>Original!G49</f>
        <v>Old Age Pension</v>
      </c>
      <c r="E102" s="5"/>
      <c r="F102" s="61" t="str">
        <f t="shared" si="3"/>
        <v>Georgia  |  Old Age Pension</v>
      </c>
      <c r="G102" s="139">
        <f>Original!T$49</f>
        <v>400</v>
      </c>
      <c r="H102" s="109"/>
      <c r="I102" s="4">
        <f>IF(Original!AD49="no data", "", 1)</f>
        <v>1</v>
      </c>
    </row>
    <row r="103" spans="1:9" hidden="1">
      <c r="A103" s="4">
        <f>Original!A56</f>
        <v>0</v>
      </c>
      <c r="B103" s="4" t="str">
        <f>Original!C56</f>
        <v>Hungary</v>
      </c>
      <c r="C103" s="4" t="s">
        <v>289</v>
      </c>
      <c r="D103" s="4" t="str">
        <f>Original!G56</f>
        <v>Minimum pension</v>
      </c>
      <c r="E103" s="5"/>
      <c r="F103" s="61" t="str">
        <f t="shared" si="3"/>
        <v>Hungary  |  Minimum pension</v>
      </c>
      <c r="G103" s="139">
        <f>Original!T$56</f>
        <v>478.32167832167835</v>
      </c>
      <c r="H103" s="109"/>
      <c r="I103" s="4">
        <f>IF(Original!AD56="no data", "", 1)</f>
        <v>1</v>
      </c>
    </row>
    <row r="104" spans="1:9">
      <c r="A104" s="4">
        <f>Original!A113</f>
        <v>1</v>
      </c>
      <c r="B104" s="4" t="str">
        <f>Original!C113</f>
        <v>Slovakia</v>
      </c>
      <c r="C104" s="4" t="s">
        <v>289</v>
      </c>
      <c r="D104" s="4" t="str">
        <f>Original!G113</f>
        <v>Targeted pension</v>
      </c>
      <c r="E104" s="5"/>
      <c r="F104" s="61" t="str">
        <f t="shared" si="3"/>
        <v>Slovakia  |  Targeted pension</v>
      </c>
      <c r="G104" s="139">
        <f>Original!T$113</f>
        <v>1838.2038288288288</v>
      </c>
      <c r="H104" s="109"/>
      <c r="I104" s="4">
        <f>IF(Original!AD113="no data", "", 1)</f>
        <v>1</v>
      </c>
    </row>
    <row r="105" spans="1:9" hidden="1">
      <c r="A105" s="4">
        <f>Original!A10</f>
        <v>1</v>
      </c>
      <c r="B105" s="4" t="str">
        <f>Original!C10</f>
        <v>Antigua and Barbuda</v>
      </c>
      <c r="C105" s="4" t="s">
        <v>289</v>
      </c>
      <c r="D105" s="4" t="str">
        <f>Original!G10</f>
        <v>Old Age Assistance Programme</v>
      </c>
      <c r="E105" s="5"/>
      <c r="F105" s="61" t="str">
        <f t="shared" si="3"/>
        <v>Antigua and Barbuda  |  Old Age Assistance Programme</v>
      </c>
      <c r="G105" s="139" t="str">
        <f>Original!T$10</f>
        <v>no data</v>
      </c>
      <c r="H105" s="109"/>
      <c r="I105" s="4" t="str">
        <f>IF(Original!AD10="no data", "", 1)</f>
        <v/>
      </c>
    </row>
    <row r="106" spans="1:9" hidden="1">
      <c r="A106" s="4">
        <f>Original!A14</f>
        <v>1</v>
      </c>
      <c r="B106" s="4" t="str">
        <f>Original!C14</f>
        <v>Austria</v>
      </c>
      <c r="C106" s="4" t="s">
        <v>289</v>
      </c>
      <c r="D106" s="4" t="str">
        <f>Original!G14</f>
        <v>Ausgleichszulage (Austrian Compensatory Supplement)</v>
      </c>
      <c r="E106" s="5"/>
      <c r="F106" s="61" t="str">
        <f t="shared" si="3"/>
        <v>Austria  |  Ausgleichszulage (Austrian Compensatory Supplement)</v>
      </c>
      <c r="G106" s="139" t="str">
        <f>Original!T$14</f>
        <v>no data</v>
      </c>
      <c r="H106" s="109"/>
      <c r="I106" s="4">
        <f>IF(Original!AD14="no data", "", 1)</f>
        <v>1</v>
      </c>
    </row>
    <row r="107" spans="1:9" hidden="1">
      <c r="A107" s="4">
        <f>Original!A19</f>
        <v>1</v>
      </c>
      <c r="B107" s="4" t="str">
        <f>Original!C19</f>
        <v>Barbados</v>
      </c>
      <c r="C107" s="4" t="s">
        <v>289</v>
      </c>
      <c r="D107" s="4" t="str">
        <f>Original!G19</f>
        <v>Non-contributory Old Age Pension</v>
      </c>
      <c r="E107" s="5"/>
      <c r="F107" s="61" t="str">
        <f t="shared" si="3"/>
        <v>Barbados  |  Non-contributory Old Age Pension</v>
      </c>
      <c r="G107" s="139" t="str">
        <f>Original!T$19</f>
        <v>no data</v>
      </c>
      <c r="H107" s="109"/>
      <c r="I107" s="4">
        <f>IF(Original!AD19="no data", "", 1)</f>
        <v>1</v>
      </c>
    </row>
    <row r="108" spans="1:9" hidden="1">
      <c r="A108" s="4">
        <f>Original!A23</f>
        <v>1</v>
      </c>
      <c r="B108" s="4" t="str">
        <f>Original!C23</f>
        <v>Bermuda</v>
      </c>
      <c r="C108" s="4" t="s">
        <v>289</v>
      </c>
      <c r="D108" s="4" t="str">
        <f>Original!G23</f>
        <v>Non-contibutory old age pension</v>
      </c>
      <c r="E108" s="5"/>
      <c r="F108" s="61" t="str">
        <f t="shared" si="3"/>
        <v>Bermuda  |  Non-contibutory old age pension</v>
      </c>
      <c r="G108" s="139" t="str">
        <f>Original!T$23</f>
        <v>no data</v>
      </c>
      <c r="H108" s="109"/>
      <c r="I108" s="4" t="str">
        <f>IF(Original!AD23="no data", "", 1)</f>
        <v/>
      </c>
    </row>
    <row r="109" spans="1:9" hidden="1">
      <c r="A109" s="4">
        <f>Original!A28</f>
        <v>1</v>
      </c>
      <c r="B109" s="4" t="str">
        <f>Original!C28</f>
        <v>Brunei Darussalam</v>
      </c>
      <c r="C109" s="4" t="s">
        <v>289</v>
      </c>
      <c r="D109" s="4" t="str">
        <f>Original!G28</f>
        <v>Old Age pension</v>
      </c>
      <c r="E109" s="5"/>
      <c r="F109" s="61" t="str">
        <f t="shared" si="3"/>
        <v>Brunei Darussalam  |  Old Age pension</v>
      </c>
      <c r="G109" s="139" t="str">
        <f>Original!T$28</f>
        <v>no data</v>
      </c>
      <c r="H109" s="109"/>
      <c r="I109" s="4">
        <f>IF(Original!AD28="no data", "", 1)</f>
        <v>1</v>
      </c>
    </row>
    <row r="110" spans="1:9" hidden="1">
      <c r="A110" s="4">
        <f>Original!A32</f>
        <v>1</v>
      </c>
      <c r="B110" s="4" t="str">
        <f>Original!C32</f>
        <v>Cape Verde</v>
      </c>
      <c r="C110" s="4" t="s">
        <v>289</v>
      </c>
      <c r="D110" s="4" t="str">
        <f>Original!G32</f>
        <v>Pensao Social Minima (Minimum Social Pension)</v>
      </c>
      <c r="E110" s="5"/>
      <c r="F110" s="61" t="str">
        <f t="shared" si="3"/>
        <v>Cape Verde  |  Pensao Social Minima (Minimum Social Pension)</v>
      </c>
      <c r="G110" s="139" t="str">
        <f>Original!T$32</f>
        <v>no data</v>
      </c>
      <c r="H110" s="109"/>
      <c r="I110" s="4">
        <f>IF(Original!AD32="no data", "", 1)</f>
        <v>1</v>
      </c>
    </row>
    <row r="111" spans="1:9" hidden="1">
      <c r="A111" s="4">
        <f>Original!A35</f>
        <v>1</v>
      </c>
      <c r="B111" s="4" t="str">
        <f>Original!C35</f>
        <v>Cook Islands</v>
      </c>
      <c r="C111" s="4" t="s">
        <v>289</v>
      </c>
      <c r="D111" s="4" t="str">
        <f>Original!G35</f>
        <v>Old Age Pension</v>
      </c>
      <c r="E111" s="5"/>
      <c r="F111" s="61" t="str">
        <f t="shared" si="3"/>
        <v>Cook Islands  |  Old Age Pension</v>
      </c>
      <c r="G111" s="139" t="str">
        <f>Original!T$35</f>
        <v>no data</v>
      </c>
      <c r="H111" s="109"/>
      <c r="I111" s="4" t="str">
        <f>IF(Original!AD35="no data", "", 1)</f>
        <v/>
      </c>
    </row>
    <row r="112" spans="1:9" hidden="1">
      <c r="A112" s="4">
        <f>Original!A41</f>
        <v>1</v>
      </c>
      <c r="B112" s="4" t="str">
        <f>Original!C41</f>
        <v>Denmark</v>
      </c>
      <c r="C112" s="4" t="s">
        <v>289</v>
      </c>
      <c r="D112" s="4" t="str">
        <f>Original!G41</f>
        <v>Folkepension [national pension - Universal basic pension]</v>
      </c>
      <c r="E112" s="5"/>
      <c r="F112" s="61" t="str">
        <f t="shared" si="3"/>
        <v>Denmark  |  Folkepension [national pension - Universal basic pension]</v>
      </c>
      <c r="G112" s="139" t="str">
        <f>Original!T$41</f>
        <v>no data</v>
      </c>
      <c r="H112" s="109"/>
      <c r="I112" s="4">
        <f>IF(Original!AD41="no data", "", 1)</f>
        <v>1</v>
      </c>
    </row>
    <row r="113" spans="1:9" hidden="1">
      <c r="A113" s="4">
        <f>Original!A46</f>
        <v>1</v>
      </c>
      <c r="B113" s="4" t="str">
        <f>Original!C46</f>
        <v>Finland</v>
      </c>
      <c r="C113" s="4" t="s">
        <v>289</v>
      </c>
      <c r="D113" s="4" t="str">
        <f>Original!G46</f>
        <v>Kansanelake (Old Age Pension)</v>
      </c>
      <c r="E113" s="5"/>
      <c r="F113" s="61" t="str">
        <f t="shared" si="3"/>
        <v>Finland  |  Kansanelake (Old Age Pension)</v>
      </c>
      <c r="G113" s="139" t="str">
        <f>Original!T$46</f>
        <v>no data</v>
      </c>
      <c r="H113" s="109"/>
      <c r="I113" s="4">
        <f>IF(Original!AD46="no data", "", 1)</f>
        <v>1</v>
      </c>
    </row>
    <row r="114" spans="1:9" hidden="1">
      <c r="A114" s="4">
        <f>Original!A50</f>
        <v>1</v>
      </c>
      <c r="B114" s="4" t="str">
        <f>Original!C50</f>
        <v>Germany</v>
      </c>
      <c r="C114" s="4" t="s">
        <v>289</v>
      </c>
      <c r="D114" s="4" t="str">
        <f>Original!G50</f>
        <v>Targeted pension</v>
      </c>
      <c r="E114" s="5"/>
      <c r="F114" s="61" t="str">
        <f t="shared" si="3"/>
        <v>Germany  |  Targeted pension</v>
      </c>
      <c r="G114" s="139" t="str">
        <f>Original!T$50</f>
        <v>no data</v>
      </c>
      <c r="H114" s="109"/>
      <c r="I114" s="4">
        <f>IF(Original!AD50="no data", "", 1)</f>
        <v>1</v>
      </c>
    </row>
    <row r="115" spans="1:9" hidden="1">
      <c r="A115" s="4">
        <f>Original!A55</f>
        <v>1</v>
      </c>
      <c r="B115" s="4" t="str">
        <f>Original!C55</f>
        <v>Hong Kong</v>
      </c>
      <c r="C115" s="4" t="s">
        <v>289</v>
      </c>
      <c r="D115" s="4" t="str">
        <f>Original!G55</f>
        <v>Normal/higher old age allowance</v>
      </c>
      <c r="E115" s="5"/>
      <c r="F115" s="61" t="str">
        <f t="shared" si="3"/>
        <v>Hong Kong  |  Normal/higher old age allowance</v>
      </c>
      <c r="G115" s="139" t="str">
        <f>Original!T$55</f>
        <v>no data</v>
      </c>
      <c r="H115" s="109"/>
      <c r="I115" s="4">
        <f>IF(Original!AD55="no data", "", 1)</f>
        <v>1</v>
      </c>
    </row>
    <row r="116" spans="1:9" hidden="1">
      <c r="A116" s="4">
        <f>Original!A58</f>
        <v>0</v>
      </c>
      <c r="B116" s="4" t="str">
        <f>Original!C58</f>
        <v>Iceland</v>
      </c>
      <c r="C116" s="4" t="s">
        <v>289</v>
      </c>
      <c r="D116" s="4" t="str">
        <f>Original!G58</f>
        <v>Targeted pension</v>
      </c>
      <c r="E116" s="5"/>
      <c r="F116" s="61" t="str">
        <f t="shared" si="3"/>
        <v>Iceland  |  Targeted pension</v>
      </c>
      <c r="G116" s="139" t="str">
        <f>Original!T$58</f>
        <v>no data</v>
      </c>
      <c r="H116" s="109"/>
      <c r="I116" s="4" t="str">
        <f>IF(Original!AD58="no data", "", 1)</f>
        <v/>
      </c>
    </row>
    <row r="117" spans="1:9" hidden="1">
      <c r="A117" s="4">
        <f>Original!A59</f>
        <v>1</v>
      </c>
      <c r="B117" s="4" t="str">
        <f>Original!C59</f>
        <v>Iceland</v>
      </c>
      <c r="C117" s="4" t="s">
        <v>289</v>
      </c>
      <c r="D117" s="4" t="str">
        <f>Original!G59</f>
        <v>lífeyristryggingar almannatrygginga (National Basic Pension)</v>
      </c>
      <c r="E117" s="5"/>
      <c r="F117" s="61" t="str">
        <f t="shared" si="3"/>
        <v>Iceland  |  lífeyristryggingar almannatrygginga (National Basic Pension)</v>
      </c>
      <c r="G117" s="139" t="str">
        <f>Original!T$59</f>
        <v>no data</v>
      </c>
      <c r="H117" s="109"/>
      <c r="I117" s="4">
        <f>IF(Original!AD59="no data", "", 1)</f>
        <v>1</v>
      </c>
    </row>
    <row r="118" spans="1:9" hidden="1">
      <c r="A118" s="4">
        <f>Original!A65</f>
        <v>1</v>
      </c>
      <c r="B118" s="4" t="str">
        <f>Original!C65</f>
        <v>Italy</v>
      </c>
      <c r="C118" s="4" t="s">
        <v>289</v>
      </c>
      <c r="D118" s="4" t="str">
        <f>Original!G65</f>
        <v>Targeted pension [Social allowance]</v>
      </c>
      <c r="E118" s="5"/>
      <c r="F118" s="61" t="str">
        <f t="shared" si="3"/>
        <v>Italy  |  Targeted pension [Social allowance]</v>
      </c>
      <c r="G118" s="139" t="str">
        <f>Original!T$65</f>
        <v>no data</v>
      </c>
      <c r="H118" s="109"/>
      <c r="I118" s="4">
        <f>IF(Original!AD65="no data", "", 1)</f>
        <v>1</v>
      </c>
    </row>
    <row r="119" spans="1:9" hidden="1">
      <c r="A119" s="4">
        <f>Original!A66</f>
        <v>0</v>
      </c>
      <c r="B119" s="4" t="str">
        <f>Original!C66</f>
        <v>Italy</v>
      </c>
      <c r="C119" s="4" t="s">
        <v>289</v>
      </c>
      <c r="D119" s="4" t="str">
        <f>Original!G66</f>
        <v>Minimum pension</v>
      </c>
      <c r="E119" s="5"/>
      <c r="F119" s="61" t="str">
        <f t="shared" si="3"/>
        <v>Italy  |  Minimum pension</v>
      </c>
      <c r="G119" s="139" t="str">
        <f>Original!T$66</f>
        <v>no data</v>
      </c>
      <c r="H119" s="109"/>
      <c r="I119" s="4">
        <f>IF(Original!AD66="no data", "", 1)</f>
        <v>1</v>
      </c>
    </row>
    <row r="120" spans="1:9" hidden="1">
      <c r="A120" s="4">
        <f>Original!A73</f>
        <v>1</v>
      </c>
      <c r="B120" s="4" t="str">
        <f>Original!C73</f>
        <v>Kiribati</v>
      </c>
      <c r="C120" s="4" t="s">
        <v>289</v>
      </c>
      <c r="D120" s="4" t="str">
        <f>Original!G73</f>
        <v>Elderly pension</v>
      </c>
      <c r="E120" s="5"/>
      <c r="F120" s="61" t="str">
        <f t="shared" si="3"/>
        <v>Kiribati  |  Elderly pension</v>
      </c>
      <c r="G120" s="139" t="str">
        <f>Original!T$73</f>
        <v>no data</v>
      </c>
      <c r="H120" s="109"/>
      <c r="I120" s="4" t="str">
        <f>IF(Original!AD73="no data", "", 1)</f>
        <v/>
      </c>
    </row>
    <row r="121" spans="1:9" hidden="1">
      <c r="A121" s="4">
        <f>Original!A75</f>
        <v>1</v>
      </c>
      <c r="B121" s="4" t="str">
        <f>Original!C75</f>
        <v>Kosovo</v>
      </c>
      <c r="C121" s="4" t="s">
        <v>289</v>
      </c>
      <c r="D121" s="4" t="str">
        <f>Original!G75</f>
        <v>Old age "basic pension"</v>
      </c>
      <c r="E121" s="5"/>
      <c r="F121" s="61" t="str">
        <f t="shared" si="3"/>
        <v>Kosovo  |  Old age "basic pension"</v>
      </c>
      <c r="G121" s="139" t="str">
        <f>Original!T$75</f>
        <v>no data</v>
      </c>
      <c r="H121" s="109"/>
      <c r="I121" s="4">
        <f>IF(Original!AD75="no data", "", 1)</f>
        <v>1</v>
      </c>
    </row>
    <row r="122" spans="1:9" hidden="1">
      <c r="A122" s="4">
        <f>Original!A84</f>
        <v>1</v>
      </c>
      <c r="B122" s="4" t="str">
        <f>Original!C84</f>
        <v>Maldives</v>
      </c>
      <c r="C122" s="4" t="s">
        <v>289</v>
      </c>
      <c r="D122" s="4" t="str">
        <f>Original!G84</f>
        <v>Old-age Basic Pension</v>
      </c>
      <c r="E122" s="5"/>
      <c r="F122" s="61" t="str">
        <f t="shared" si="3"/>
        <v>Maldives  |  Old-age Basic Pension</v>
      </c>
      <c r="G122" s="139" t="str">
        <f>Original!T$84</f>
        <v>no data</v>
      </c>
      <c r="H122" s="109"/>
      <c r="I122" s="4">
        <f>IF(Original!AD84="no data", "", 1)</f>
        <v>1</v>
      </c>
    </row>
    <row r="123" spans="1:9" hidden="1">
      <c r="A123" s="4">
        <f>Original!A91</f>
        <v>1</v>
      </c>
      <c r="B123" s="4" t="str">
        <f>Original!C91</f>
        <v>Moldova, Republic of</v>
      </c>
      <c r="C123" s="4" t="s">
        <v>289</v>
      </c>
      <c r="D123" s="4" t="str">
        <f>Original!G91</f>
        <v>State Social Allocation for Older Persons</v>
      </c>
      <c r="E123" s="5"/>
      <c r="F123" s="61" t="str">
        <f t="shared" si="3"/>
        <v>Moldova, Republic of  |  State Social Allocation for Older Persons</v>
      </c>
      <c r="G123" s="139" t="str">
        <f>Original!T$91</f>
        <v>no data</v>
      </c>
      <c r="H123" s="109"/>
      <c r="I123" s="4">
        <f>IF(Original!AD91="no data", "", 1)</f>
        <v>1</v>
      </c>
    </row>
    <row r="124" spans="1:9" hidden="1">
      <c r="A124" s="4">
        <f>Original!A93</f>
        <v>1</v>
      </c>
      <c r="B124" s="4" t="str">
        <f>Original!C93</f>
        <v>Namibia</v>
      </c>
      <c r="C124" s="4" t="s">
        <v>289</v>
      </c>
      <c r="D124" s="4" t="str">
        <f>Original!G93</f>
        <v>Old Age Pension (OAP)</v>
      </c>
      <c r="E124" s="5"/>
      <c r="F124" s="61" t="str">
        <f t="shared" si="3"/>
        <v>Namibia  |  Old Age Pension (OAP)</v>
      </c>
      <c r="G124" s="139" t="str">
        <f>Original!T$93</f>
        <v>no data</v>
      </c>
      <c r="H124" s="109"/>
      <c r="I124" s="4">
        <f>IF(Original!AD93="no data", "", 1)</f>
        <v>1</v>
      </c>
    </row>
    <row r="125" spans="1:9" hidden="1">
      <c r="A125" s="4">
        <f>Original!A98</f>
        <v>1</v>
      </c>
      <c r="B125" s="4" t="str">
        <f>Original!C98</f>
        <v>Norway</v>
      </c>
      <c r="C125" s="4" t="s">
        <v>289</v>
      </c>
      <c r="D125" s="4" t="str">
        <f>Original!G98</f>
        <v>Grunnpensjon (Basic Pension)</v>
      </c>
      <c r="E125" s="5"/>
      <c r="F125" s="61" t="str">
        <f t="shared" si="3"/>
        <v>Norway  |  Grunnpensjon (Basic Pension)</v>
      </c>
      <c r="G125" s="139" t="str">
        <f>Original!T$98</f>
        <v>no data</v>
      </c>
      <c r="H125" s="109"/>
      <c r="I125" s="4">
        <f>IF(Original!AD98="no data", "", 1)</f>
        <v>1</v>
      </c>
    </row>
    <row r="126" spans="1:9" hidden="1">
      <c r="A126" s="4">
        <f>Original!A99</f>
        <v>0</v>
      </c>
      <c r="B126" s="4" t="str">
        <f>Original!C99</f>
        <v>Norway</v>
      </c>
      <c r="C126" s="4" t="s">
        <v>289</v>
      </c>
      <c r="D126" s="4" t="str">
        <f>Original!G99</f>
        <v>Minimum pension</v>
      </c>
      <c r="E126" s="5"/>
      <c r="F126" s="61" t="str">
        <f t="shared" si="3"/>
        <v>Norway  |  Minimum pension</v>
      </c>
      <c r="G126" s="139" t="str">
        <f>Original!T$99</f>
        <v>no data</v>
      </c>
      <c r="H126" s="109"/>
      <c r="I126" s="4" t="str">
        <f>IF(Original!AD99="no data", "", 1)</f>
        <v/>
      </c>
    </row>
    <row r="127" spans="1:9" hidden="1">
      <c r="A127" s="4">
        <f>Original!A111</f>
        <v>1</v>
      </c>
      <c r="B127" s="4" t="str">
        <f>Original!C111</f>
        <v>Samoa</v>
      </c>
      <c r="C127" s="4" t="s">
        <v>289</v>
      </c>
      <c r="D127" s="4" t="str">
        <f>Original!G111</f>
        <v>Senior Citizens Benefit</v>
      </c>
      <c r="E127" s="5"/>
      <c r="F127" s="61" t="str">
        <f t="shared" si="3"/>
        <v>Samoa  |  Senior Citizens Benefit</v>
      </c>
      <c r="G127" s="139" t="str">
        <f>Original!T$111</f>
        <v>no data</v>
      </c>
      <c r="H127" s="109"/>
      <c r="I127" s="4">
        <f>IF(Original!AD111="no data", "", 1)</f>
        <v>1</v>
      </c>
    </row>
    <row r="128" spans="1:9" hidden="1">
      <c r="A128" s="4">
        <f>Original!A112</f>
        <v>1</v>
      </c>
      <c r="B128" s="4" t="str">
        <f>Original!C112</f>
        <v>Seychelles</v>
      </c>
      <c r="C128" s="4" t="s">
        <v>289</v>
      </c>
      <c r="D128" s="4" t="str">
        <f>Original!G112</f>
        <v>Old-age pension (social security fund)</v>
      </c>
      <c r="E128" s="5"/>
      <c r="F128" s="61" t="str">
        <f t="shared" si="3"/>
        <v>Seychelles  |  Old-age pension (social security fund)</v>
      </c>
      <c r="G128" s="139" t="str">
        <f>Original!T$112</f>
        <v>no data</v>
      </c>
      <c r="H128" s="109"/>
      <c r="I128" s="4">
        <f>IF(Original!AD112="no data", "", 1)</f>
        <v>1</v>
      </c>
    </row>
    <row r="129" spans="1:9" hidden="1">
      <c r="A129" s="4">
        <f>Original!A120</f>
        <v>1</v>
      </c>
      <c r="B129" s="4" t="str">
        <f>Original!C120</f>
        <v>Swaziland</v>
      </c>
      <c r="C129" s="4" t="s">
        <v>289</v>
      </c>
      <c r="D129" s="4" t="str">
        <f>Original!G120</f>
        <v>Old Age Grant</v>
      </c>
      <c r="E129" s="5"/>
      <c r="F129" s="61" t="str">
        <f t="shared" si="3"/>
        <v>Swaziland  |  Old Age Grant</v>
      </c>
      <c r="G129" s="139" t="str">
        <f>Original!T$120</f>
        <v>no data</v>
      </c>
      <c r="H129" s="109"/>
      <c r="I129" s="4">
        <f>IF(Original!AD120="no data", "", 1)</f>
        <v>1</v>
      </c>
    </row>
    <row r="130" spans="1:9" hidden="1">
      <c r="A130" s="4">
        <f>Original!A121</f>
        <v>1</v>
      </c>
      <c r="B130" s="4" t="str">
        <f>Original!C121</f>
        <v>Sweden</v>
      </c>
      <c r="C130" s="4" t="s">
        <v>289</v>
      </c>
      <c r="D130" s="4" t="str">
        <f>Original!G121</f>
        <v>Garantipension (Guaranteed pension)</v>
      </c>
      <c r="E130" s="5"/>
      <c r="F130" s="61" t="str">
        <f t="shared" si="3"/>
        <v>Sweden  |  Garantipension (Guaranteed pension)</v>
      </c>
      <c r="G130" s="139" t="str">
        <f>Original!T$121</f>
        <v>no data</v>
      </c>
      <c r="H130" s="109"/>
      <c r="I130" s="4">
        <f>IF(Original!AD121="no data", "", 1)</f>
        <v>1</v>
      </c>
    </row>
    <row r="131" spans="1:9" hidden="1">
      <c r="A131" s="4">
        <f>Original!A122</f>
        <v>1</v>
      </c>
      <c r="B131" s="4" t="str">
        <f>Original!C122</f>
        <v>Switzerland</v>
      </c>
      <c r="C131" s="4" t="s">
        <v>289</v>
      </c>
      <c r="D131" s="4" t="str">
        <f>Original!G122</f>
        <v>Targeted pension</v>
      </c>
      <c r="E131" s="5"/>
      <c r="F131" s="61" t="str">
        <f t="shared" si="3"/>
        <v>Switzerland  |  Targeted pension</v>
      </c>
      <c r="G131" s="139" t="str">
        <f>Original!T$122</f>
        <v>no data</v>
      </c>
      <c r="H131" s="109"/>
      <c r="I131" s="4">
        <f>IF(Original!AD122="no data", "", 1)</f>
        <v>1</v>
      </c>
    </row>
    <row r="132" spans="1:9" hidden="1">
      <c r="A132" s="4">
        <f>Original!A123</f>
        <v>0</v>
      </c>
      <c r="B132" s="4" t="str">
        <f>Original!C123</f>
        <v>Switzerland</v>
      </c>
      <c r="C132" s="4" t="s">
        <v>289</v>
      </c>
      <c r="D132" s="4" t="str">
        <f>Original!G123</f>
        <v>Minimum pension</v>
      </c>
      <c r="E132" s="5"/>
      <c r="F132" s="61" t="str">
        <f t="shared" si="3"/>
        <v>Switzerland  |  Minimum pension</v>
      </c>
      <c r="G132" s="139" t="str">
        <f>Original!T$123</f>
        <v>no data</v>
      </c>
      <c r="H132" s="109"/>
      <c r="I132" s="4" t="str">
        <f>IF(Original!AD123="no data", "", 1)</f>
        <v/>
      </c>
    </row>
    <row r="133" spans="1:9" hidden="1">
      <c r="A133" s="4">
        <f>Original!A126</f>
        <v>1</v>
      </c>
      <c r="B133" s="4" t="str">
        <f>Original!C126</f>
        <v>Timor-Leste</v>
      </c>
      <c r="C133" s="4" t="s">
        <v>289</v>
      </c>
      <c r="D133" s="4" t="str">
        <f>Original!G126</f>
        <v>Support allowance for the elderly</v>
      </c>
      <c r="E133" s="5"/>
      <c r="F133" s="61" t="str">
        <f t="shared" si="3"/>
        <v>Timor-Leste  |  Support allowance for the elderly</v>
      </c>
      <c r="G133" s="139" t="str">
        <f>Original!T$126</f>
        <v>no data</v>
      </c>
      <c r="H133" s="109"/>
      <c r="I133" s="4">
        <f>IF(Original!AD126="no data", "", 1)</f>
        <v>1</v>
      </c>
    </row>
    <row r="134" spans="1:9" hidden="1">
      <c r="A134" s="4">
        <f>Original!A129</f>
        <v>1</v>
      </c>
      <c r="B134" s="4" t="str">
        <f>Original!C129</f>
        <v>Turkmenistan</v>
      </c>
      <c r="C134" s="4" t="s">
        <v>289</v>
      </c>
      <c r="D134" s="4" t="str">
        <f>Original!G129</f>
        <v xml:space="preserve">Social Allowance </v>
      </c>
      <c r="E134" s="5"/>
      <c r="F134" s="61" t="str">
        <f t="shared" si="3"/>
        <v xml:space="preserve">Turkmenistan  |  Social Allowance </v>
      </c>
      <c r="G134" s="139" t="str">
        <f>Original!T$129</f>
        <v>no data</v>
      </c>
      <c r="H134" s="109"/>
      <c r="I134" s="4" t="str">
        <f>IF(Original!AD129="no data", "", 1)</f>
        <v/>
      </c>
    </row>
    <row r="135" spans="1:9">
      <c r="E135" s="5"/>
      <c r="F135" s="61"/>
      <c r="G135" s="139"/>
      <c r="H135" s="109"/>
    </row>
  </sheetData>
  <autoFilter ref="A4:V134">
    <filterColumn colId="0">
      <filters>
        <filter val="1"/>
      </filters>
    </filterColumn>
    <filterColumn colId="6">
      <filters>
        <filter val="10,6"/>
        <filter val="10,9"/>
        <filter val="107,3"/>
        <filter val="11,2"/>
        <filter val="11,4"/>
        <filter val="12,1"/>
        <filter val="13,2"/>
        <filter val="13,7"/>
        <filter val="13,8"/>
        <filter val="133,8"/>
        <filter val="15,6"/>
        <filter val="158,4"/>
        <filter val="159,9"/>
        <filter val="17,1"/>
        <filter val="17,6"/>
        <filter val="18,5"/>
        <filter val="1838,2"/>
        <filter val="192,3"/>
        <filter val="22,1"/>
        <filter val="22,3"/>
        <filter val="22,4"/>
        <filter val="23,7"/>
        <filter val="25,0"/>
        <filter val="26,7"/>
        <filter val="27,7"/>
        <filter val="28,4"/>
        <filter val="294,1"/>
        <filter val="3,0"/>
        <filter val="30,8"/>
        <filter val="30,9"/>
        <filter val="31,9"/>
        <filter val="33,4"/>
        <filter val="33,6"/>
        <filter val="34,0"/>
        <filter val="34,6"/>
        <filter val="35,4"/>
        <filter val="36,2"/>
        <filter val="36,9"/>
        <filter val="37,4"/>
        <filter val="379,4"/>
        <filter val="38,2"/>
        <filter val="38,5"/>
        <filter val="39,1"/>
        <filter val="40,1"/>
        <filter val="400,0"/>
        <filter val="41,0"/>
        <filter val="41,1"/>
        <filter val="42,1"/>
        <filter val="43,4"/>
        <filter val="47,5"/>
        <filter val="49,1"/>
        <filter val="5,0"/>
        <filter val="5,3"/>
        <filter val="53,4"/>
        <filter val="53,6"/>
        <filter val="55,5"/>
        <filter val="56,0"/>
        <filter val="58,0"/>
        <filter val="58,3"/>
        <filter val="59,2"/>
        <filter val="59,5"/>
        <filter val="61,0"/>
        <filter val="61,6"/>
        <filter val="63,9"/>
        <filter val="64,9"/>
        <filter val="65,4"/>
        <filter val="66,0"/>
        <filter val="66,7"/>
        <filter val="67,9"/>
        <filter val="68,2"/>
        <filter val="69,5"/>
        <filter val="75,8"/>
        <filter val="80,0"/>
        <filter val="87,0"/>
        <filter val="9,6"/>
        <filter val="93,4"/>
      </filters>
    </filterColumn>
  </autoFilter>
  <sortState ref="A5:I134">
    <sortCondition ref="G5:G1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135"/>
  <sheetViews>
    <sheetView topLeftCell="A4" workbookViewId="0">
      <selection activeCell="A5" sqref="A5:F134"/>
    </sheetView>
  </sheetViews>
  <sheetFormatPr baseColWidth="10" defaultColWidth="9" defaultRowHeight="10.5"/>
  <cols>
    <col min="1" max="3" width="9" style="4"/>
    <col min="4" max="4" width="38.625" style="4" customWidth="1"/>
    <col min="5" max="5" width="50.25" style="4" customWidth="1"/>
    <col min="6" max="6" width="9" style="34"/>
    <col min="7" max="7" width="3" style="4" customWidth="1"/>
    <col min="8" max="16384" width="9" style="4"/>
  </cols>
  <sheetData>
    <row r="1" spans="1:7">
      <c r="B1" s="4" t="s">
        <v>568</v>
      </c>
    </row>
    <row r="3" spans="1:7" ht="15">
      <c r="B3" s="4" t="s">
        <v>288</v>
      </c>
      <c r="E3" s="115" t="s">
        <v>570</v>
      </c>
    </row>
    <row r="4" spans="1:7">
      <c r="F4" s="34" t="s">
        <v>292</v>
      </c>
    </row>
    <row r="5" spans="1:7" hidden="1">
      <c r="A5" s="4">
        <f>Original!A10</f>
        <v>1</v>
      </c>
      <c r="B5" s="4" t="str">
        <f>Original!C10</f>
        <v>Antigua and Barbuda</v>
      </c>
      <c r="C5" s="4" t="s">
        <v>289</v>
      </c>
      <c r="D5" s="4" t="str">
        <f>Original!G10</f>
        <v>Old Age Assistance Programme</v>
      </c>
      <c r="E5" s="61" t="str">
        <f t="shared" ref="E5:E36" si="0">CONCATENATE(B5,C5,D5)</f>
        <v>Antigua and Barbuda  |  Old Age Assistance Programme</v>
      </c>
      <c r="F5" s="139" t="str">
        <f>Original!U$10</f>
        <v>no data</v>
      </c>
      <c r="G5" s="109"/>
    </row>
    <row r="6" spans="1:7" hidden="1">
      <c r="A6" s="4">
        <f>Original!A97</f>
        <v>1</v>
      </c>
      <c r="B6" s="4" t="str">
        <f>Original!C97</f>
        <v>Nigeria</v>
      </c>
      <c r="C6" s="4" t="s">
        <v>289</v>
      </c>
      <c r="D6" s="4" t="str">
        <f>Original!G97</f>
        <v>Ekiti State Social Security Scheme (Ekiti State only)</v>
      </c>
      <c r="E6" s="61" t="str">
        <f t="shared" si="0"/>
        <v>Nigeria  |  Ekiti State Social Security Scheme (Ekiti State only)</v>
      </c>
      <c r="F6" s="139">
        <f>Original!U$97</f>
        <v>0</v>
      </c>
      <c r="G6" s="109"/>
    </row>
    <row r="7" spans="1:7" hidden="1">
      <c r="A7" s="4">
        <f>Original!A102</f>
        <v>1</v>
      </c>
      <c r="B7" s="4" t="str">
        <f>Original!C102</f>
        <v>Peru</v>
      </c>
      <c r="C7" s="4" t="s">
        <v>289</v>
      </c>
      <c r="D7" s="4" t="str">
        <f>Original!G102</f>
        <v>Pension 65</v>
      </c>
      <c r="E7" s="61" t="str">
        <f t="shared" si="0"/>
        <v>Peru  |  Pension 65</v>
      </c>
      <c r="F7" s="139">
        <f>Original!U$102</f>
        <v>0</v>
      </c>
      <c r="G7" s="109"/>
    </row>
    <row r="8" spans="1:7" hidden="1">
      <c r="A8" s="4">
        <f>Original!A109</f>
        <v>1</v>
      </c>
      <c r="B8" s="4" t="str">
        <f>Original!C109</f>
        <v>Saint Vincent and the Grenadines</v>
      </c>
      <c r="C8" s="4" t="s">
        <v>289</v>
      </c>
      <c r="D8" s="4" t="str">
        <f>Original!G109</f>
        <v>Elderly Assistance Benefit</v>
      </c>
      <c r="E8" s="61" t="str">
        <f t="shared" si="0"/>
        <v>Saint Vincent and the Grenadines  |  Elderly Assistance Benefit</v>
      </c>
      <c r="F8" s="139">
        <f>Original!U$109</f>
        <v>0</v>
      </c>
      <c r="G8" s="109"/>
    </row>
    <row r="9" spans="1:7" hidden="1">
      <c r="A9" s="4">
        <f>Original!A119</f>
        <v>1</v>
      </c>
      <c r="B9" s="4" t="str">
        <f>Original!C119</f>
        <v>Suriname</v>
      </c>
      <c r="C9" s="4" t="s">
        <v>289</v>
      </c>
      <c r="D9" s="4" t="str">
        <f>Original!G119</f>
        <v>State Old Age Pension (Algemene Oudedags Voorzieningsfonds (AOV))</v>
      </c>
      <c r="E9" s="61" t="str">
        <f t="shared" si="0"/>
        <v>Suriname  |  State Old Age Pension (Algemene Oudedags Voorzieningsfonds (AOV))</v>
      </c>
      <c r="F9" s="139">
        <f>Original!U$119</f>
        <v>0</v>
      </c>
      <c r="G9" s="109"/>
    </row>
    <row r="10" spans="1:7" hidden="1">
      <c r="A10" s="4">
        <f>Original!A130</f>
        <v>1</v>
      </c>
      <c r="B10" s="4" t="str">
        <f>Original!C130</f>
        <v>Uganda</v>
      </c>
      <c r="C10" s="4" t="s">
        <v>289</v>
      </c>
      <c r="D10" s="4" t="str">
        <f>Original!G130</f>
        <v>Senior Citizens Grant (Pilot in 14 districts)</v>
      </c>
      <c r="E10" s="61" t="str">
        <f t="shared" si="0"/>
        <v>Uganda  |  Senior Citizens Grant (Pilot in 14 districts)</v>
      </c>
      <c r="F10" s="139">
        <f>Original!U$130</f>
        <v>0</v>
      </c>
      <c r="G10" s="109"/>
    </row>
    <row r="11" spans="1:7" hidden="1">
      <c r="A11" s="4">
        <f>Original!A136</f>
        <v>1</v>
      </c>
      <c r="B11" s="4" t="str">
        <f>Original!C136</f>
        <v>Venezuela</v>
      </c>
      <c r="C11" s="4" t="s">
        <v>289</v>
      </c>
      <c r="D11" s="4" t="str">
        <f>Original!G136</f>
        <v>Gran Mision Amor Mayor</v>
      </c>
      <c r="E11" s="61" t="str">
        <f t="shared" si="0"/>
        <v>Venezuela  |  Gran Mision Amor Mayor</v>
      </c>
      <c r="F11" s="139">
        <f>Original!U$136</f>
        <v>0</v>
      </c>
      <c r="G11" s="109"/>
    </row>
    <row r="12" spans="1:7">
      <c r="A12" s="4">
        <f>Original!A45</f>
        <v>1</v>
      </c>
      <c r="B12" s="4" t="str">
        <f>Original!C45</f>
        <v>Estonia</v>
      </c>
      <c r="C12" s="4" t="s">
        <v>289</v>
      </c>
      <c r="D12" s="4" t="str">
        <f>Original!G45</f>
        <v>National Pension</v>
      </c>
      <c r="E12" s="61" t="str">
        <f t="shared" si="0"/>
        <v>Estonia  |  National Pension</v>
      </c>
      <c r="F12" s="139">
        <f>Original!U$45</f>
        <v>1.0473744292237444</v>
      </c>
      <c r="G12" s="109"/>
    </row>
    <row r="13" spans="1:7" hidden="1">
      <c r="A13" s="4">
        <f>Original!A18</f>
        <v>0</v>
      </c>
      <c r="B13" s="4" t="str">
        <f>Original!C18</f>
        <v>Bangladesh</v>
      </c>
      <c r="C13" s="4" t="s">
        <v>289</v>
      </c>
      <c r="D13" s="4" t="str">
        <f>Original!G18</f>
        <v>Allowance for Widow, Deserted and Destitute Women</v>
      </c>
      <c r="E13" s="61" t="str">
        <f t="shared" si="0"/>
        <v>Bangladesh  |  Allowance for Widow, Deserted and Destitute Women</v>
      </c>
      <c r="F13" s="139" t="str">
        <f>Original!U$18</f>
        <v>no data</v>
      </c>
      <c r="G13" s="109"/>
    </row>
    <row r="14" spans="1:7">
      <c r="A14" s="4">
        <f>Original!A67</f>
        <v>1</v>
      </c>
      <c r="B14" s="4" t="str">
        <f>Original!C67</f>
        <v>Jamaica</v>
      </c>
      <c r="C14" s="4" t="s">
        <v>289</v>
      </c>
      <c r="D14" s="4" t="str">
        <f>Original!G67</f>
        <v>The Programme for Advancement through Health and Education (PATH)</v>
      </c>
      <c r="E14" s="61" t="str">
        <f t="shared" si="0"/>
        <v>Jamaica  |  The Programme for Advancement through Health and Education (PATH)</v>
      </c>
      <c r="F14" s="139">
        <f>Original!U$67</f>
        <v>1.3083849184018008</v>
      </c>
      <c r="G14" s="109"/>
    </row>
    <row r="15" spans="1:7">
      <c r="A15" s="4">
        <f>Original!A60</f>
        <v>1</v>
      </c>
      <c r="B15" s="4" t="str">
        <f>Original!C60</f>
        <v>India</v>
      </c>
      <c r="C15" s="4" t="s">
        <v>289</v>
      </c>
      <c r="D15" s="4" t="str">
        <f>Original!G60</f>
        <v>Indira Gandhi National Old Age Pension Scheme</v>
      </c>
      <c r="E15" s="61" t="str">
        <f t="shared" si="0"/>
        <v>India  |  Indira Gandhi National Old Age Pension Scheme</v>
      </c>
      <c r="F15" s="139">
        <f>Original!U$60</f>
        <v>2.3160693523806879</v>
      </c>
      <c r="G15" s="109"/>
    </row>
    <row r="16" spans="1:7">
      <c r="A16" s="4">
        <f>Original!A91</f>
        <v>1</v>
      </c>
      <c r="B16" s="4" t="str">
        <f>Original!C91</f>
        <v>Moldova, Republic of</v>
      </c>
      <c r="C16" s="4" t="s">
        <v>289</v>
      </c>
      <c r="D16" s="4" t="str">
        <f>Original!G91</f>
        <v>State Social Allocation for Older Persons</v>
      </c>
      <c r="E16" s="61" t="str">
        <f t="shared" si="0"/>
        <v>Moldova, Republic of  |  State Social Allocation for Older Persons</v>
      </c>
      <c r="F16" s="139">
        <f>Original!U$91</f>
        <v>3.2645560407569141</v>
      </c>
      <c r="G16" s="109"/>
    </row>
    <row r="17" spans="1:7">
      <c r="A17" s="4">
        <f>Original!A72</f>
        <v>1</v>
      </c>
      <c r="B17" s="4" t="str">
        <f>Original!C72</f>
        <v>Kenya</v>
      </c>
      <c r="C17" s="4" t="s">
        <v>289</v>
      </c>
      <c r="D17" s="4" t="str">
        <f>Original!G72</f>
        <v>Hunger Safety Net Programme, Pilot (universal pension)</v>
      </c>
      <c r="E17" s="61" t="str">
        <f t="shared" si="0"/>
        <v>Kenya  |  Hunger Safety Net Programme, Pilot (universal pension)</v>
      </c>
      <c r="F17" s="139">
        <f>Original!U$72</f>
        <v>3.2811403107163564</v>
      </c>
      <c r="G17" s="109"/>
    </row>
    <row r="18" spans="1:7">
      <c r="A18" s="4">
        <f>Original!A74</f>
        <v>1</v>
      </c>
      <c r="B18" s="4" t="str">
        <f>Original!C74</f>
        <v>Korea, Republic of</v>
      </c>
      <c r="C18" s="4" t="s">
        <v>289</v>
      </c>
      <c r="D18" s="4" t="str">
        <f>Original!G74</f>
        <v>Basic old-age pension</v>
      </c>
      <c r="E18" s="61" t="str">
        <f t="shared" si="0"/>
        <v>Korea, Republic of  |  Basic old-age pension</v>
      </c>
      <c r="F18" s="139">
        <f>Original!U$74</f>
        <v>3.4782290322285379</v>
      </c>
      <c r="G18" s="109"/>
    </row>
    <row r="19" spans="1:7">
      <c r="A19" s="4">
        <f>Original!A71</f>
        <v>1</v>
      </c>
      <c r="B19" s="4" t="str">
        <f>Original!C71</f>
        <v>Kenya</v>
      </c>
      <c r="C19" s="4" t="s">
        <v>289</v>
      </c>
      <c r="D19" s="4" t="str">
        <f>Original!G71</f>
        <v>Older Persons Cash Transfer</v>
      </c>
      <c r="E19" s="61" t="str">
        <f t="shared" si="0"/>
        <v>Kenya  |  Older Persons Cash Transfer</v>
      </c>
      <c r="F19" s="139">
        <f>Original!U$71</f>
        <v>4.5783353172786372</v>
      </c>
      <c r="G19" s="109"/>
    </row>
    <row r="20" spans="1:7">
      <c r="A20" s="4">
        <f>Original!A128</f>
        <v>1</v>
      </c>
      <c r="B20" s="4" t="str">
        <f>Original!C128</f>
        <v>Turkey</v>
      </c>
      <c r="C20" s="4" t="s">
        <v>289</v>
      </c>
      <c r="D20" s="4" t="str">
        <f>Original!G128</f>
        <v>Means-tested Old Age Pension</v>
      </c>
      <c r="E20" s="61" t="str">
        <f t="shared" si="0"/>
        <v>Turkey  |  Means-tested Old Age Pension</v>
      </c>
      <c r="F20" s="139">
        <f>Original!U$128</f>
        <v>4.8916408668730647</v>
      </c>
      <c r="G20" s="109"/>
    </row>
    <row r="21" spans="1:7">
      <c r="A21" s="4">
        <f>Original!A25</f>
        <v>1</v>
      </c>
      <c r="B21" s="4" t="str">
        <f>Original!C25</f>
        <v>Botswana</v>
      </c>
      <c r="C21" s="4" t="s">
        <v>289</v>
      </c>
      <c r="D21" s="4" t="str">
        <f>Original!G25</f>
        <v>Old Age Pension (OAP)</v>
      </c>
      <c r="E21" s="61" t="str">
        <f t="shared" si="0"/>
        <v>Botswana  |  Old Age Pension (OAP)</v>
      </c>
      <c r="F21" s="139">
        <f>Original!U$25</f>
        <v>4.9316296794440708</v>
      </c>
      <c r="G21" s="109"/>
    </row>
    <row r="22" spans="1:7">
      <c r="A22" s="4">
        <f>Original!A34</f>
        <v>1</v>
      </c>
      <c r="B22" s="4" t="str">
        <f>Original!C34</f>
        <v>Colombia</v>
      </c>
      <c r="C22" s="4" t="s">
        <v>289</v>
      </c>
      <c r="D22" s="4" t="str">
        <f>Original!G34</f>
        <v>Programa de Proteccion Social al Adulto Mayor (PPSAM) (Social Protection Programme for Older People) (Regional scheme)</v>
      </c>
      <c r="E22" s="61" t="str">
        <f t="shared" si="0"/>
        <v>Colombia  |  Programa de Proteccion Social al Adulto Mayor (PPSAM) (Social Protection Programme for Older People) (Regional scheme)</v>
      </c>
      <c r="F22" s="139">
        <f>Original!U$34</f>
        <v>6.5082769011490367</v>
      </c>
      <c r="G22" s="109"/>
    </row>
    <row r="23" spans="1:7">
      <c r="A23" s="4">
        <f>Original!A103</f>
        <v>1</v>
      </c>
      <c r="B23" s="4" t="str">
        <f>Original!C103</f>
        <v>Philippines</v>
      </c>
      <c r="C23" s="4" t="s">
        <v>289</v>
      </c>
      <c r="D23" s="4" t="str">
        <f>Original!G103</f>
        <v>Old Age Grant</v>
      </c>
      <c r="E23" s="61" t="str">
        <f t="shared" si="0"/>
        <v>Philippines  |  Old Age Grant</v>
      </c>
      <c r="F23" s="139">
        <f>Original!U$103</f>
        <v>6.6146315650218277</v>
      </c>
      <c r="G23" s="109"/>
    </row>
    <row r="24" spans="1:7">
      <c r="A24" s="4">
        <f>Original!A125</f>
        <v>1</v>
      </c>
      <c r="B24" s="4" t="str">
        <f>Original!C125</f>
        <v>Thailand</v>
      </c>
      <c r="C24" s="4" t="s">
        <v>289</v>
      </c>
      <c r="D24" s="4" t="str">
        <f>Original!G125</f>
        <v>Old Age Allowance (THA)</v>
      </c>
      <c r="E24" s="61" t="str">
        <f t="shared" si="0"/>
        <v>Thailand  |  Old Age Allowance (THA)</v>
      </c>
      <c r="F24" s="139">
        <f>Original!U$125</f>
        <v>6.9013112491373363</v>
      </c>
      <c r="G24" s="109"/>
    </row>
    <row r="25" spans="1:7">
      <c r="A25" s="4">
        <f>Original!A38</f>
        <v>1</v>
      </c>
      <c r="B25" s="4" t="str">
        <f>Original!C38</f>
        <v>Czech republic</v>
      </c>
      <c r="C25" s="4" t="s">
        <v>289</v>
      </c>
      <c r="D25" s="4" t="str">
        <f>Original!G38</f>
        <v>Basic pension</v>
      </c>
      <c r="E25" s="61" t="str">
        <f t="shared" si="0"/>
        <v>Czech republic  |  Basic pension</v>
      </c>
      <c r="F25" s="139">
        <f>Original!U$38</f>
        <v>7.1066211842910869</v>
      </c>
      <c r="G25" s="109"/>
    </row>
    <row r="26" spans="1:7">
      <c r="A26" s="4">
        <f>Original!A59</f>
        <v>1</v>
      </c>
      <c r="B26" s="4" t="str">
        <f>Original!C59</f>
        <v>Iceland</v>
      </c>
      <c r="C26" s="4" t="s">
        <v>289</v>
      </c>
      <c r="D26" s="4" t="str">
        <f>Original!G59</f>
        <v>lífeyristryggingar almannatrygginga (National Basic Pension)</v>
      </c>
      <c r="E26" s="61" t="str">
        <f t="shared" si="0"/>
        <v>Iceland  |  lífeyristryggingar almannatrygginga (National Basic Pension)</v>
      </c>
      <c r="F26" s="139">
        <f>Original!U$59</f>
        <v>7.6946107784431135</v>
      </c>
      <c r="G26" s="109"/>
    </row>
    <row r="27" spans="1:7">
      <c r="A27" s="4">
        <f>Original!A138</f>
        <v>1</v>
      </c>
      <c r="B27" s="4" t="str">
        <f>Original!C138</f>
        <v>Viet Nam [60-79 years old]</v>
      </c>
      <c r="C27" s="4" t="s">
        <v>289</v>
      </c>
      <c r="D27" s="4" t="str">
        <f>Original!G138</f>
        <v>Social assistance benefit (clause 2)</v>
      </c>
      <c r="E27" s="61" t="str">
        <f t="shared" si="0"/>
        <v>Viet Nam [60-79 years old]  |  Social assistance benefit (clause 2)</v>
      </c>
      <c r="F27" s="139">
        <f>Original!U$138</f>
        <v>8.408189576647656</v>
      </c>
      <c r="G27" s="109"/>
    </row>
    <row r="28" spans="1:7">
      <c r="A28" s="4">
        <f>Original!A88</f>
        <v>1</v>
      </c>
      <c r="B28" s="4" t="str">
        <f>Original!C88</f>
        <v>Mexico</v>
      </c>
      <c r="C28" s="4" t="s">
        <v>289</v>
      </c>
      <c r="D28" s="4" t="str">
        <f>Original!G88</f>
        <v>70 y mas</v>
      </c>
      <c r="E28" s="61" t="str">
        <f t="shared" si="0"/>
        <v>Mexico  |  70 y mas</v>
      </c>
      <c r="F28" s="139">
        <f>Original!U$88</f>
        <v>8.7032201914708445</v>
      </c>
      <c r="G28" s="109"/>
    </row>
    <row r="29" spans="1:7">
      <c r="A29" s="4">
        <f>Original!A43</f>
        <v>1</v>
      </c>
      <c r="B29" s="4" t="str">
        <f>Original!C43</f>
        <v>Ecuador</v>
      </c>
      <c r="C29" s="4" t="s">
        <v>289</v>
      </c>
      <c r="D29" s="4" t="str">
        <f>Original!G43</f>
        <v>Pension para Adultos Mayores (Pension for Older People/ Bono de Desarollo Humano )</v>
      </c>
      <c r="E29" s="61" t="str">
        <f t="shared" si="0"/>
        <v>Ecuador  |  Pension para Adultos Mayores (Pension for Older People/ Bono de Desarollo Humano )</v>
      </c>
      <c r="F29" s="139">
        <f>Original!U$43</f>
        <v>8.7281795511221958</v>
      </c>
      <c r="G29" s="109"/>
    </row>
    <row r="30" spans="1:7">
      <c r="A30" s="4">
        <f>Original!A80</f>
        <v>1</v>
      </c>
      <c r="B30" s="4" t="str">
        <f>Original!C80</f>
        <v>Luxembourg</v>
      </c>
      <c r="C30" s="4" t="s">
        <v>289</v>
      </c>
      <c r="D30" s="4" t="str">
        <f>Original!G80</f>
        <v>Basic pension</v>
      </c>
      <c r="E30" s="61" t="str">
        <f t="shared" si="0"/>
        <v>Luxembourg  |  Basic pension</v>
      </c>
      <c r="F30" s="139">
        <f>Original!U$80</f>
        <v>9.3586224107811322</v>
      </c>
      <c r="G30" s="109"/>
    </row>
    <row r="31" spans="1:7">
      <c r="A31" s="4">
        <f>Original!A129</f>
        <v>1</v>
      </c>
      <c r="B31" s="4" t="str">
        <f>Original!C129</f>
        <v>Turkmenistan</v>
      </c>
      <c r="C31" s="4" t="s">
        <v>289</v>
      </c>
      <c r="D31" s="4" t="str">
        <f>Original!G129</f>
        <v xml:space="preserve">Social Allowance </v>
      </c>
      <c r="E31" s="61" t="str">
        <f t="shared" si="0"/>
        <v xml:space="preserve">Turkmenistan  |  Social Allowance </v>
      </c>
      <c r="F31" s="139">
        <f>Original!U$129</f>
        <v>9.3961965134706809</v>
      </c>
      <c r="G31" s="109"/>
    </row>
    <row r="32" spans="1:7">
      <c r="A32" s="4">
        <f>Original!A77</f>
        <v>1</v>
      </c>
      <c r="B32" s="4" t="str">
        <f>Original!C77</f>
        <v>Latvia</v>
      </c>
      <c r="C32" s="4" t="s">
        <v>289</v>
      </c>
      <c r="D32" s="4" t="str">
        <f>Original!G77</f>
        <v>State social security benefit</v>
      </c>
      <c r="E32" s="61" t="str">
        <f t="shared" si="0"/>
        <v>Latvia  |  State social security benefit</v>
      </c>
      <c r="F32" s="139">
        <f>Original!U$77</f>
        <v>9.7613882863340571</v>
      </c>
      <c r="G32" s="109"/>
    </row>
    <row r="33" spans="1:7">
      <c r="A33" s="4">
        <f>Original!A94</f>
        <v>1</v>
      </c>
      <c r="B33" s="4" t="str">
        <f>Original!C94</f>
        <v>Nepal</v>
      </c>
      <c r="C33" s="4" t="s">
        <v>289</v>
      </c>
      <c r="D33" s="4" t="str">
        <f>Original!G94</f>
        <v>Old Age Allowance</v>
      </c>
      <c r="E33" s="61" t="str">
        <f t="shared" si="0"/>
        <v>Nepal  |  Old Age Allowance</v>
      </c>
      <c r="F33" s="139">
        <f>Original!U$94</f>
        <v>9.7713504006253675</v>
      </c>
      <c r="G33" s="109"/>
    </row>
    <row r="34" spans="1:7">
      <c r="A34" s="4">
        <f>Original!A55</f>
        <v>1</v>
      </c>
      <c r="B34" s="4" t="str">
        <f>Original!C55</f>
        <v>Hong Kong</v>
      </c>
      <c r="C34" s="4" t="s">
        <v>289</v>
      </c>
      <c r="D34" s="4" t="str">
        <f>Original!G55</f>
        <v>Normal/higher old age allowance</v>
      </c>
      <c r="E34" s="61" t="str">
        <f t="shared" si="0"/>
        <v>Hong Kong  |  Normal/higher old age allowance</v>
      </c>
      <c r="F34" s="139">
        <f>Original!U$55</f>
        <v>9.8136310434860903</v>
      </c>
      <c r="G34" s="109"/>
    </row>
    <row r="35" spans="1:7" hidden="1">
      <c r="A35" s="4">
        <f>Original!A40</f>
        <v>0</v>
      </c>
      <c r="B35" s="4" t="str">
        <f>Original!C40</f>
        <v>Czech republic</v>
      </c>
      <c r="C35" s="4" t="s">
        <v>289</v>
      </c>
      <c r="D35" s="4" t="str">
        <f>Original!G40</f>
        <v>Minimum pension</v>
      </c>
      <c r="E35" s="61" t="str">
        <f t="shared" si="0"/>
        <v>Czech republic  |  Minimum pension</v>
      </c>
      <c r="F35" s="139">
        <f>Original!U$40</f>
        <v>9.9930027114493143</v>
      </c>
      <c r="G35" s="109"/>
    </row>
    <row r="36" spans="1:7">
      <c r="A36" s="4">
        <f>Original!A12</f>
        <v>1</v>
      </c>
      <c r="B36" s="4" t="str">
        <f>Original!C12</f>
        <v>Armenia</v>
      </c>
      <c r="C36" s="4" t="s">
        <v>289</v>
      </c>
      <c r="D36" s="4" t="str">
        <f>Original!G12</f>
        <v>Old Age Social Pension</v>
      </c>
      <c r="E36" s="61" t="str">
        <f t="shared" si="0"/>
        <v>Armenia  |  Old Age Social Pension</v>
      </c>
      <c r="F36" s="139">
        <f>Original!U$12</f>
        <v>9.8889980353634588</v>
      </c>
      <c r="G36" s="109"/>
    </row>
    <row r="37" spans="1:7">
      <c r="A37" s="4">
        <f>Original!A57</f>
        <v>1</v>
      </c>
      <c r="B37" s="4" t="str">
        <f>Original!C57</f>
        <v>Hungary</v>
      </c>
      <c r="C37" s="4" t="s">
        <v>289</v>
      </c>
      <c r="D37" s="4" t="str">
        <f>Original!G57</f>
        <v>Idoskoruak jaradeka (Old Age Allowance)</v>
      </c>
      <c r="E37" s="61" t="str">
        <f t="shared" ref="E37:E68" si="1">CONCATENATE(B37,C37,D37)</f>
        <v>Hungary  |  Idoskoruak jaradeka (Old Age Allowance)</v>
      </c>
      <c r="F37" s="139">
        <f>Original!U$57</f>
        <v>11.412839444374921</v>
      </c>
      <c r="G37" s="109"/>
    </row>
    <row r="38" spans="1:7">
      <c r="A38" s="4">
        <f>Original!A92</f>
        <v>1</v>
      </c>
      <c r="B38" s="4" t="str">
        <f>Original!C92</f>
        <v>Mongolia</v>
      </c>
      <c r="C38" s="4" t="s">
        <v>289</v>
      </c>
      <c r="D38" s="4" t="str">
        <f>Original!G92</f>
        <v>Social welfare pension</v>
      </c>
      <c r="E38" s="61" t="str">
        <f t="shared" si="1"/>
        <v>Mongolia  |  Social welfare pension</v>
      </c>
      <c r="F38" s="139">
        <f>Original!U$92</f>
        <v>11.480865224625623</v>
      </c>
      <c r="G38" s="109"/>
    </row>
    <row r="39" spans="1:7">
      <c r="A39" s="4">
        <f>Original!A39</f>
        <v>1</v>
      </c>
      <c r="B39" s="4" t="str">
        <f>Original!C39</f>
        <v>Czech republic</v>
      </c>
      <c r="C39" s="4" t="s">
        <v>289</v>
      </c>
      <c r="D39" s="4" t="str">
        <f>Original!G39</f>
        <v>Targeted pension</v>
      </c>
      <c r="E39" s="61" t="str">
        <f t="shared" si="1"/>
        <v>Czech republic  |  Targeted pension</v>
      </c>
      <c r="F39" s="139">
        <f>Original!U$39</f>
        <v>11.717959290774825</v>
      </c>
      <c r="G39" s="109"/>
    </row>
    <row r="40" spans="1:7">
      <c r="A40" s="4">
        <f>Original!A116</f>
        <v>1</v>
      </c>
      <c r="B40" s="4" t="str">
        <f>Original!C116</f>
        <v>South Africa</v>
      </c>
      <c r="C40" s="4" t="s">
        <v>289</v>
      </c>
      <c r="D40" s="4" t="str">
        <f>Original!G116</f>
        <v>Grant for Older Persons</v>
      </c>
      <c r="E40" s="61" t="str">
        <f t="shared" si="1"/>
        <v>South Africa  |  Grant for Older Persons</v>
      </c>
      <c r="F40" s="139">
        <f>Original!U$116</f>
        <v>11.722184233662206</v>
      </c>
      <c r="G40" s="109"/>
    </row>
    <row r="41" spans="1:7">
      <c r="A41" s="4">
        <f>Original!A70</f>
        <v>1</v>
      </c>
      <c r="B41" s="4" t="str">
        <f>Original!C70</f>
        <v>Kazakhstan</v>
      </c>
      <c r="C41" s="4" t="s">
        <v>289</v>
      </c>
      <c r="D41" s="4" t="str">
        <f>Original!G70</f>
        <v>State social benefit</v>
      </c>
      <c r="E41" s="61" t="str">
        <f t="shared" si="1"/>
        <v>Kazakhstan  |  State social benefit</v>
      </c>
      <c r="F41" s="139">
        <f>Original!U$70</f>
        <v>11.881246936866024</v>
      </c>
      <c r="G41" s="109"/>
    </row>
    <row r="42" spans="1:7">
      <c r="A42" s="4">
        <f>Original!A114</f>
        <v>1</v>
      </c>
      <c r="B42" s="4" t="str">
        <f>Original!C114</f>
        <v>Slovenia</v>
      </c>
      <c r="C42" s="4" t="s">
        <v>289</v>
      </c>
      <c r="D42" s="4" t="str">
        <f>Original!G114</f>
        <v>State pension</v>
      </c>
      <c r="E42" s="61" t="str">
        <f t="shared" si="1"/>
        <v>Slovenia  |  State pension</v>
      </c>
      <c r="F42" s="139">
        <f>Original!U$114</f>
        <v>12.603196664350245</v>
      </c>
      <c r="G42" s="109"/>
    </row>
    <row r="43" spans="1:7" hidden="1">
      <c r="A43" s="4">
        <f>Original!A48</f>
        <v>0</v>
      </c>
      <c r="B43" s="4" t="str">
        <f>Original!C48</f>
        <v>France</v>
      </c>
      <c r="C43" s="4" t="s">
        <v>289</v>
      </c>
      <c r="D43" s="4" t="str">
        <f>Original!G48</f>
        <v>Minimum pension</v>
      </c>
      <c r="E43" s="61" t="str">
        <f t="shared" si="1"/>
        <v>France  |  Minimum pension</v>
      </c>
      <c r="F43" s="139">
        <f>Original!U$48</f>
        <v>22.553543959294757</v>
      </c>
      <c r="G43" s="109"/>
    </row>
    <row r="44" spans="1:7">
      <c r="A44" s="4">
        <f>Original!A137</f>
        <v>1</v>
      </c>
      <c r="B44" s="4" t="str">
        <f>Original!C137</f>
        <v>Viet Nam  [80 years old and over]</v>
      </c>
      <c r="C44" s="4" t="s">
        <v>289</v>
      </c>
      <c r="D44" s="4" t="str">
        <f>Original!G137</f>
        <v>Social assistance benefit (clause 3)</v>
      </c>
      <c r="E44" s="61" t="str">
        <f t="shared" si="1"/>
        <v>Viet Nam  [80 years old and over]  |  Social assistance benefit (clause 3)</v>
      </c>
      <c r="F44" s="139">
        <f>Original!U$137</f>
        <v>12.612284364971483</v>
      </c>
      <c r="G44" s="109"/>
    </row>
    <row r="45" spans="1:7">
      <c r="A45" s="4">
        <f>Original!A124</f>
        <v>1</v>
      </c>
      <c r="B45" s="4" t="str">
        <f>Original!C124</f>
        <v>Tajikistan</v>
      </c>
      <c r="C45" s="4" t="s">
        <v>289</v>
      </c>
      <c r="D45" s="4" t="str">
        <f>Original!G124</f>
        <v>Old age pension</v>
      </c>
      <c r="E45" s="61" t="str">
        <f t="shared" si="1"/>
        <v>Tajikistan  |  Old age pension</v>
      </c>
      <c r="F45" s="139">
        <f>Original!U$124</f>
        <v>13.071895424836603</v>
      </c>
      <c r="G45" s="109"/>
    </row>
    <row r="46" spans="1:7">
      <c r="A46" s="4">
        <f>Original!A20</f>
        <v>1</v>
      </c>
      <c r="B46" s="4" t="str">
        <f>Original!C20</f>
        <v>Belarus</v>
      </c>
      <c r="C46" s="4" t="s">
        <v>289</v>
      </c>
      <c r="D46" s="4" t="str">
        <f>Original!G20</f>
        <v>Social old-age pension (social assistance</v>
      </c>
      <c r="E46" s="61" t="str">
        <f t="shared" si="1"/>
        <v>Belarus  |  Social old-age pension (social assistance</v>
      </c>
      <c r="F46" s="139">
        <f>Original!U$20</f>
        <v>13.334408513826753</v>
      </c>
      <c r="G46" s="109"/>
    </row>
    <row r="47" spans="1:7" hidden="1">
      <c r="A47" s="4">
        <f>Original!A52</f>
        <v>0</v>
      </c>
      <c r="B47" s="4" t="str">
        <f>Original!C52</f>
        <v>Greece</v>
      </c>
      <c r="C47" s="4" t="s">
        <v>289</v>
      </c>
      <c r="D47" s="4" t="str">
        <f>Original!G52</f>
        <v>Minimum pension</v>
      </c>
      <c r="E47" s="61" t="str">
        <f t="shared" si="1"/>
        <v>Greece  |  Minimum pension</v>
      </c>
      <c r="F47" s="139">
        <f>Original!U$52</f>
        <v>33.019687319050377</v>
      </c>
      <c r="G47" s="109"/>
    </row>
    <row r="48" spans="1:7">
      <c r="A48" s="4">
        <f>Original!A49</f>
        <v>1</v>
      </c>
      <c r="B48" s="4" t="str">
        <f>Original!C49</f>
        <v>Georgia</v>
      </c>
      <c r="C48" s="4" t="s">
        <v>289</v>
      </c>
      <c r="D48" s="4" t="str">
        <f>Original!G49</f>
        <v>Old Age Pension</v>
      </c>
      <c r="E48" s="61" t="str">
        <f t="shared" si="1"/>
        <v>Georgia  |  Old Age Pension</v>
      </c>
      <c r="F48" s="139">
        <f>Original!U$49</f>
        <v>13.986013986013987</v>
      </c>
      <c r="G48" s="109"/>
    </row>
    <row r="49" spans="1:7">
      <c r="A49" s="4">
        <f>Original!A41</f>
        <v>1</v>
      </c>
      <c r="B49" s="4" t="str">
        <f>Original!C41</f>
        <v>Denmark</v>
      </c>
      <c r="C49" s="4" t="s">
        <v>289</v>
      </c>
      <c r="D49" s="4" t="str">
        <f>Original!G41</f>
        <v>Folkepension [national pension - Universal basic pension]</v>
      </c>
      <c r="E49" s="61" t="str">
        <f t="shared" si="1"/>
        <v>Denmark  |  Folkepension [national pension - Universal basic pension]</v>
      </c>
      <c r="F49" s="139">
        <f>Original!U$41</f>
        <v>14.306105073371061</v>
      </c>
      <c r="G49" s="109"/>
    </row>
    <row r="50" spans="1:7">
      <c r="A50" s="4">
        <f>Original!A31</f>
        <v>1</v>
      </c>
      <c r="B50" s="4" t="str">
        <f>Original!C31</f>
        <v>Canada basic</v>
      </c>
      <c r="C50" s="4" t="s">
        <v>289</v>
      </c>
      <c r="D50" s="4" t="str">
        <f>Original!G31</f>
        <v>Pension de la Securite Vieillesse (S.V.) (Old Age Security Pension)</v>
      </c>
      <c r="E50" s="61" t="str">
        <f t="shared" si="1"/>
        <v>Canada basic  |  Pension de la Securite Vieillesse (S.V.) (Old Age Security Pension)</v>
      </c>
      <c r="F50" s="139">
        <f>Original!U$31</f>
        <v>15.269823479966377</v>
      </c>
      <c r="G50" s="109"/>
    </row>
    <row r="51" spans="1:7" hidden="1">
      <c r="A51" s="4">
        <f>Original!A56</f>
        <v>0</v>
      </c>
      <c r="B51" s="4" t="str">
        <f>Original!C56</f>
        <v>Hungary</v>
      </c>
      <c r="C51" s="4" t="s">
        <v>289</v>
      </c>
      <c r="D51" s="4" t="str">
        <f>Original!G56</f>
        <v>Minimum pension</v>
      </c>
      <c r="E51" s="61" t="str">
        <f t="shared" si="1"/>
        <v>Hungary  |  Minimum pension</v>
      </c>
      <c r="F51" s="139">
        <f>Original!U$56</f>
        <v>171.19259166562381</v>
      </c>
      <c r="G51" s="109"/>
    </row>
    <row r="52" spans="1:7">
      <c r="A52" s="4">
        <f>Original!A104</f>
        <v>1</v>
      </c>
      <c r="B52" s="4" t="str">
        <f>Original!C104</f>
        <v>Poland</v>
      </c>
      <c r="C52" s="4" t="s">
        <v>289</v>
      </c>
      <c r="D52" s="4" t="str">
        <f>Original!G104</f>
        <v>Targeted pension</v>
      </c>
      <c r="E52" s="61" t="str">
        <f t="shared" si="1"/>
        <v>Poland  |  Targeted pension</v>
      </c>
      <c r="F52" s="139">
        <f>Original!U$104</f>
        <v>15.372220431840155</v>
      </c>
      <c r="G52" s="109"/>
    </row>
    <row r="53" spans="1:7" hidden="1">
      <c r="A53" s="4">
        <f>Original!A58</f>
        <v>0</v>
      </c>
      <c r="B53" s="4" t="str">
        <f>Original!C58</f>
        <v>Iceland</v>
      </c>
      <c r="C53" s="4" t="s">
        <v>289</v>
      </c>
      <c r="D53" s="4" t="str">
        <f>Original!G58</f>
        <v>Targeted pension</v>
      </c>
      <c r="E53" s="61" t="str">
        <f t="shared" si="1"/>
        <v>Iceland  |  Targeted pension</v>
      </c>
      <c r="F53" s="139">
        <f>Original!U$58</f>
        <v>24.281437125748504</v>
      </c>
      <c r="G53" s="109"/>
    </row>
    <row r="54" spans="1:7">
      <c r="A54" s="4">
        <f>Original!A87</f>
        <v>1</v>
      </c>
      <c r="B54" s="4" t="str">
        <f>Original!C87</f>
        <v>Mexico</v>
      </c>
      <c r="C54" s="4" t="s">
        <v>289</v>
      </c>
      <c r="D54" s="4" t="str">
        <f>Original!G87</f>
        <v>Pension Alimentaria Ciudadana</v>
      </c>
      <c r="E54" s="61" t="str">
        <f t="shared" si="1"/>
        <v>Mexico  |  Pension Alimentaria Ciudadana</v>
      </c>
      <c r="F54" s="139">
        <f>Original!U$87</f>
        <v>15.613577023498696</v>
      </c>
      <c r="G54" s="109"/>
    </row>
    <row r="55" spans="1:7">
      <c r="A55" s="4">
        <f>Original!A76</f>
        <v>1</v>
      </c>
      <c r="B55" s="4" t="str">
        <f>Original!C76</f>
        <v>Kyrgyzstan</v>
      </c>
      <c r="C55" s="4" t="s">
        <v>289</v>
      </c>
      <c r="D55" s="4" t="str">
        <f>Original!G76</f>
        <v>Social assistance allowance (old age)</v>
      </c>
      <c r="E55" s="61" t="str">
        <f t="shared" si="1"/>
        <v>Kyrgyzstan  |  Social assistance allowance (old age)</v>
      </c>
      <c r="F55" s="139">
        <f>Original!U$76</f>
        <v>16.231131309852298</v>
      </c>
      <c r="G55" s="109"/>
    </row>
    <row r="56" spans="1:7">
      <c r="A56" s="4">
        <f>Original!A37</f>
        <v>1</v>
      </c>
      <c r="B56" s="4" t="str">
        <f>Original!C37</f>
        <v>Cyprus</v>
      </c>
      <c r="C56" s="4" t="s">
        <v>289</v>
      </c>
      <c r="D56" s="4" t="str">
        <f>Original!G37</f>
        <v>Social Pension Scheme</v>
      </c>
      <c r="E56" s="61" t="str">
        <f t="shared" si="1"/>
        <v>Cyprus  |  Social Pension Scheme</v>
      </c>
      <c r="F56" s="139">
        <f>Original!U$37</f>
        <v>17.087276550998947</v>
      </c>
      <c r="G56" s="109"/>
    </row>
    <row r="57" spans="1:7" hidden="1">
      <c r="A57" s="4">
        <f>Original!A62</f>
        <v>0</v>
      </c>
      <c r="B57" s="4" t="str">
        <f>Original!C62</f>
        <v>Ireland</v>
      </c>
      <c r="C57" s="4" t="s">
        <v>289</v>
      </c>
      <c r="D57" s="4" t="str">
        <f>Original!G62</f>
        <v>Basic pension</v>
      </c>
      <c r="E57" s="61" t="str">
        <f t="shared" si="1"/>
        <v>Ireland  |  Basic pension</v>
      </c>
      <c r="F57" s="139">
        <f>Original!U$62</f>
        <v>32.262021589793918</v>
      </c>
      <c r="G57" s="109"/>
    </row>
    <row r="58" spans="1:7">
      <c r="A58" s="4">
        <f>Original!A98</f>
        <v>1</v>
      </c>
      <c r="B58" s="4" t="str">
        <f>Original!C98</f>
        <v>Norway</v>
      </c>
      <c r="C58" s="4" t="s">
        <v>289</v>
      </c>
      <c r="D58" s="4" t="str">
        <f>Original!G98</f>
        <v>Grunnpensjon (Basic Pension)</v>
      </c>
      <c r="E58" s="61" t="str">
        <f t="shared" si="1"/>
        <v>Norway  |  Grunnpensjon (Basic Pension)</v>
      </c>
      <c r="F58" s="139">
        <f>Original!U$98</f>
        <v>17.25402556818182</v>
      </c>
      <c r="G58" s="109"/>
    </row>
    <row r="59" spans="1:7">
      <c r="A59" s="4">
        <f>Original!A29</f>
        <v>1</v>
      </c>
      <c r="B59" s="4" t="str">
        <f>Original!C29</f>
        <v>Bulgaria</v>
      </c>
      <c r="C59" s="4" t="s">
        <v>289</v>
      </c>
      <c r="D59" s="4" t="str">
        <f>Original!G29</f>
        <v xml:space="preserve">Pensions not Related to Labour Activity Fund </v>
      </c>
      <c r="E59" s="61" t="str">
        <f t="shared" si="1"/>
        <v xml:space="preserve">Bulgaria  |  Pensions not Related to Labour Activity Fund </v>
      </c>
      <c r="F59" s="139">
        <f>Original!U$29</f>
        <v>17.264957264957264</v>
      </c>
      <c r="G59" s="109"/>
    </row>
    <row r="60" spans="1:7">
      <c r="A60" s="4">
        <f>Original!A100</f>
        <v>1</v>
      </c>
      <c r="B60" s="4" t="str">
        <f>Original!C100</f>
        <v>Panama</v>
      </c>
      <c r="C60" s="4" t="s">
        <v>289</v>
      </c>
      <c r="D60" s="4" t="str">
        <f>Original!G100</f>
        <v>100 a los 70</v>
      </c>
      <c r="E60" s="61" t="str">
        <f t="shared" si="1"/>
        <v>Panama  |  100 a los 70</v>
      </c>
      <c r="F60" s="139">
        <f>Original!U$100</f>
        <v>18.248175182481752</v>
      </c>
      <c r="G60" s="109"/>
    </row>
    <row r="61" spans="1:7" hidden="1">
      <c r="A61" s="4">
        <f>Original!A66</f>
        <v>0</v>
      </c>
      <c r="B61" s="4" t="str">
        <f>Original!C66</f>
        <v>Italy</v>
      </c>
      <c r="C61" s="4" t="s">
        <v>289</v>
      </c>
      <c r="D61" s="4" t="str">
        <f>Original!G66</f>
        <v>Minimum pension</v>
      </c>
      <c r="E61" s="61" t="str">
        <f t="shared" si="1"/>
        <v>Italy  |  Minimum pension</v>
      </c>
      <c r="F61" s="139">
        <f>Original!U$66</f>
        <v>20.318007484355835</v>
      </c>
      <c r="G61" s="109"/>
    </row>
    <row r="62" spans="1:7">
      <c r="A62" s="4">
        <f>Original!A64</f>
        <v>1</v>
      </c>
      <c r="B62" s="4" t="str">
        <f>Original!C64</f>
        <v>Israel</v>
      </c>
      <c r="C62" s="4" t="s">
        <v>289</v>
      </c>
      <c r="D62" s="4" t="str">
        <f>Original!G64</f>
        <v>Income support benefit | Special old age benefit</v>
      </c>
      <c r="E62" s="61" t="str">
        <f t="shared" si="1"/>
        <v>Israel  |  Income support benefit | Special old age benefit</v>
      </c>
      <c r="F62" s="139">
        <f>Original!U$64</f>
        <v>18.57286180085277</v>
      </c>
      <c r="G62" s="109"/>
    </row>
    <row r="63" spans="1:7">
      <c r="A63" s="4">
        <f>Original!A86</f>
        <v>1</v>
      </c>
      <c r="B63" s="4" t="str">
        <f>Original!C86</f>
        <v>Mauritius</v>
      </c>
      <c r="C63" s="4" t="s">
        <v>289</v>
      </c>
      <c r="D63" s="4" t="str">
        <f>Original!G86</f>
        <v>Basic Retirement Pension</v>
      </c>
      <c r="E63" s="61" t="str">
        <f t="shared" si="1"/>
        <v>Mauritius  |  Basic Retirement Pension</v>
      </c>
      <c r="F63" s="139">
        <f>Original!U$86</f>
        <v>18.671731260015431</v>
      </c>
      <c r="G63" s="109"/>
    </row>
    <row r="64" spans="1:7">
      <c r="A64" s="4">
        <f>Original!A51</f>
        <v>1</v>
      </c>
      <c r="B64" s="4" t="str">
        <f>Original!C51</f>
        <v>Greece</v>
      </c>
      <c r="C64" s="4" t="s">
        <v>289</v>
      </c>
      <c r="D64" s="4" t="str">
        <f>Original!G51</f>
        <v>Pension to uninsured elderly</v>
      </c>
      <c r="E64" s="61" t="str">
        <f t="shared" si="1"/>
        <v>Greece  |  Pension to uninsured elderly</v>
      </c>
      <c r="F64" s="139">
        <f>Original!U$51</f>
        <v>19.108280254777071</v>
      </c>
      <c r="G64" s="109"/>
    </row>
    <row r="65" spans="1:7">
      <c r="A65" s="4">
        <f>Original!A65</f>
        <v>1</v>
      </c>
      <c r="B65" s="4" t="str">
        <f>Original!C65</f>
        <v>Italy</v>
      </c>
      <c r="C65" s="4" t="s">
        <v>289</v>
      </c>
      <c r="D65" s="4" t="str">
        <f>Original!G65</f>
        <v>Targeted pension [Social allowance]</v>
      </c>
      <c r="E65" s="61" t="str">
        <f t="shared" si="1"/>
        <v>Italy  |  Targeted pension [Social allowance]</v>
      </c>
      <c r="F65" s="139">
        <f>Original!U$65</f>
        <v>19.170652173913044</v>
      </c>
      <c r="G65" s="109"/>
    </row>
    <row r="66" spans="1:7">
      <c r="A66" s="4">
        <f>Original!A117</f>
        <v>1</v>
      </c>
      <c r="B66" s="4" t="str">
        <f>Original!C117</f>
        <v>Spain</v>
      </c>
      <c r="C66" s="4" t="s">
        <v>289</v>
      </c>
      <c r="D66" s="4" t="str">
        <f>Original!G117</f>
        <v>Non Contributory Pension for retirement ( Pension no Contributiva de Jubilacion)</v>
      </c>
      <c r="E66" s="61" t="str">
        <f t="shared" si="1"/>
        <v>Spain  |  Non Contributory Pension for retirement ( Pension no Contributiva de Jubilacion)</v>
      </c>
      <c r="F66" s="139">
        <f>Original!U$117</f>
        <v>19.251883745963401</v>
      </c>
      <c r="G66" s="109"/>
    </row>
    <row r="67" spans="1:7">
      <c r="A67" s="4">
        <f>Original!A106</f>
        <v>1</v>
      </c>
      <c r="B67" s="4" t="str">
        <f>Original!C106</f>
        <v>Portugal</v>
      </c>
      <c r="C67" s="4" t="s">
        <v>289</v>
      </c>
      <c r="D67" s="4" t="str">
        <f>Original!G106</f>
        <v>Pensao Social de Velhice (Old Age Social Pension)</v>
      </c>
      <c r="E67" s="61" t="str">
        <f t="shared" si="1"/>
        <v>Portugal  |  Pensao Social de Velhice (Old Age Social Pension)</v>
      </c>
      <c r="F67" s="139">
        <f>Original!U$106</f>
        <v>19.384920634920636</v>
      </c>
      <c r="G67" s="109"/>
    </row>
    <row r="68" spans="1:7">
      <c r="A68" s="4">
        <f>Original!A15</f>
        <v>1</v>
      </c>
      <c r="B68" s="4" t="str">
        <f>Original!C15</f>
        <v>Azerbaijan</v>
      </c>
      <c r="C68" s="4" t="s">
        <v>289</v>
      </c>
      <c r="D68" s="4" t="str">
        <f>Original!G15</f>
        <v>Social Allowance (Old Age)</v>
      </c>
      <c r="E68" s="61" t="str">
        <f t="shared" si="1"/>
        <v>Azerbaijan  |  Social Allowance (Old Age)</v>
      </c>
      <c r="F68" s="139">
        <f>Original!U$15</f>
        <v>20.134228187919462</v>
      </c>
      <c r="G68" s="109"/>
    </row>
    <row r="69" spans="1:7">
      <c r="A69" s="4">
        <f>Original!A46</f>
        <v>1</v>
      </c>
      <c r="B69" s="4" t="str">
        <f>Original!C46</f>
        <v>Finland</v>
      </c>
      <c r="C69" s="4" t="s">
        <v>289</v>
      </c>
      <c r="D69" s="4" t="str">
        <f>Original!G46</f>
        <v>Kansanelake (Old Age Pension)</v>
      </c>
      <c r="E69" s="61" t="str">
        <f t="shared" ref="E69:E100" si="2">CONCATENATE(B69,C69,D69)</f>
        <v>Finland  |  Kansanelake (Old Age Pension)</v>
      </c>
      <c r="F69" s="139">
        <f>Original!U$46</f>
        <v>20.603588354773191</v>
      </c>
      <c r="G69" s="109"/>
    </row>
    <row r="70" spans="1:7">
      <c r="A70" s="4">
        <f>Original!A133</f>
        <v>1</v>
      </c>
      <c r="B70" s="4" t="str">
        <f>Original!C133</f>
        <v>United States of America</v>
      </c>
      <c r="C70" s="4" t="s">
        <v>289</v>
      </c>
      <c r="D70" s="4" t="str">
        <f>Original!G133</f>
        <v>Old age supplemental income benefit</v>
      </c>
      <c r="E70" s="61" t="str">
        <f t="shared" si="2"/>
        <v>United States of America  |  Old age supplemental income benefit</v>
      </c>
      <c r="F70" s="139">
        <f>Original!U$133</f>
        <v>20.655838185718665</v>
      </c>
      <c r="G70" s="109"/>
    </row>
    <row r="71" spans="1:7">
      <c r="A71" s="4">
        <f>Original!A68</f>
        <v>1</v>
      </c>
      <c r="B71" s="4" t="str">
        <f>Original!C68</f>
        <v>Japan</v>
      </c>
      <c r="C71" s="4" t="s">
        <v>289</v>
      </c>
      <c r="D71" s="4" t="str">
        <f>Original!G68</f>
        <v>Basic pension</v>
      </c>
      <c r="E71" s="61" t="str">
        <f t="shared" si="2"/>
        <v>Japan  |  Basic pension</v>
      </c>
      <c r="F71" s="139">
        <f>Original!U$68</f>
        <v>20.750812113591113</v>
      </c>
      <c r="G71" s="109"/>
    </row>
    <row r="72" spans="1:7">
      <c r="A72" s="4">
        <f>Original!A33</f>
        <v>1</v>
      </c>
      <c r="B72" s="4" t="str">
        <f>Original!C33</f>
        <v>Chile</v>
      </c>
      <c r="C72" s="4" t="s">
        <v>289</v>
      </c>
      <c r="D72" s="4" t="str">
        <f>Original!G33</f>
        <v>Pension Basica Solidaria de Vejez (PBS-Vejez)</v>
      </c>
      <c r="E72" s="61" t="str">
        <f t="shared" si="2"/>
        <v>Chile  |  Pension Basica Solidaria de Vejez (PBS-Vejez)</v>
      </c>
      <c r="F72" s="139">
        <f>Original!U$33</f>
        <v>21.019449602246389</v>
      </c>
      <c r="G72" s="109"/>
    </row>
    <row r="73" spans="1:7">
      <c r="A73" s="4">
        <f>Original!A122</f>
        <v>1</v>
      </c>
      <c r="B73" s="4" t="str">
        <f>Original!C122</f>
        <v>Switzerland</v>
      </c>
      <c r="C73" s="4" t="s">
        <v>289</v>
      </c>
      <c r="D73" s="4" t="str">
        <f>Original!G122</f>
        <v>Targeted pension</v>
      </c>
      <c r="E73" s="61" t="str">
        <f t="shared" si="2"/>
        <v>Switzerland  |  Targeted pension</v>
      </c>
      <c r="F73" s="139">
        <f>Original!U$122</f>
        <v>21.97509327906188</v>
      </c>
      <c r="G73" s="109"/>
    </row>
    <row r="74" spans="1:7">
      <c r="A74" s="4">
        <f>Original!A36</f>
        <v>1</v>
      </c>
      <c r="B74" s="4" t="str">
        <f>Original!C36</f>
        <v>Costa Rica</v>
      </c>
      <c r="C74" s="4" t="s">
        <v>289</v>
      </c>
      <c r="D74" s="4" t="str">
        <f>Original!G36</f>
        <v>Programa Regimen No Contributivo</v>
      </c>
      <c r="E74" s="61" t="str">
        <f t="shared" si="2"/>
        <v>Costa Rica  |  Programa Regimen No Contributivo</v>
      </c>
      <c r="F74" s="139">
        <f>Original!U$36</f>
        <v>22.654437846883461</v>
      </c>
      <c r="G74" s="109"/>
    </row>
    <row r="75" spans="1:7">
      <c r="A75" s="4">
        <f>Original!A121</f>
        <v>1</v>
      </c>
      <c r="B75" s="4" t="str">
        <f>Original!C121</f>
        <v>Sweden</v>
      </c>
      <c r="C75" s="4" t="s">
        <v>289</v>
      </c>
      <c r="D75" s="4" t="str">
        <f>Original!G121</f>
        <v>Garantipension (Guaranteed pension)</v>
      </c>
      <c r="E75" s="61" t="str">
        <f t="shared" si="2"/>
        <v>Sweden  |  Garantipension (Guaranteed pension)</v>
      </c>
      <c r="F75" s="139">
        <f>Original!U$121</f>
        <v>23.981269446172991</v>
      </c>
      <c r="G75" s="109"/>
    </row>
    <row r="76" spans="1:7">
      <c r="A76" s="4">
        <f>Original!A69</f>
        <v>1</v>
      </c>
      <c r="B76" s="4" t="str">
        <f>Original!C69</f>
        <v>Japan</v>
      </c>
      <c r="C76" s="4" t="s">
        <v>289</v>
      </c>
      <c r="D76" s="4" t="str">
        <f>Original!G69</f>
        <v>Targeted pension</v>
      </c>
      <c r="E76" s="61" t="str">
        <f t="shared" si="2"/>
        <v>Japan  |  Targeted pension</v>
      </c>
      <c r="F76" s="139">
        <f>Original!U$69</f>
        <v>25.406318767683118</v>
      </c>
      <c r="G76" s="109"/>
    </row>
    <row r="77" spans="1:7" hidden="1">
      <c r="A77" s="4">
        <f>Original!A82</f>
        <v>0</v>
      </c>
      <c r="B77" s="4" t="str">
        <f>Original!C82</f>
        <v>Luxembourg</v>
      </c>
      <c r="C77" s="4" t="s">
        <v>289</v>
      </c>
      <c r="D77" s="4" t="str">
        <f>Original!G82</f>
        <v>Minimum pension</v>
      </c>
      <c r="E77" s="61" t="str">
        <f t="shared" si="2"/>
        <v>Luxembourg  |  Minimum pension</v>
      </c>
      <c r="F77" s="139">
        <f>Original!U$82</f>
        <v>35.83728475168455</v>
      </c>
      <c r="G77" s="109"/>
    </row>
    <row r="78" spans="1:7" hidden="1">
      <c r="A78" s="4">
        <f>Original!A83</f>
        <v>0</v>
      </c>
      <c r="B78" s="4" t="str">
        <f>Original!C83</f>
        <v>Malaysia</v>
      </c>
      <c r="C78" s="4" t="s">
        <v>289</v>
      </c>
      <c r="D78" s="4" t="str">
        <f>Original!G83</f>
        <v xml:space="preserve">Bantuan Orang Tua </v>
      </c>
      <c r="E78" s="61" t="str">
        <f t="shared" si="2"/>
        <v xml:space="preserve">Malaysia  |  Bantuan Orang Tua </v>
      </c>
      <c r="F78" s="139">
        <f>Original!U$83</f>
        <v>0</v>
      </c>
      <c r="G78" s="109"/>
    </row>
    <row r="79" spans="1:7">
      <c r="A79" s="4">
        <f>Original!A47</f>
        <v>1</v>
      </c>
      <c r="B79" s="4" t="str">
        <f>Original!C47</f>
        <v>France</v>
      </c>
      <c r="C79" s="4" t="s">
        <v>289</v>
      </c>
      <c r="D79" s="4" t="str">
        <f>Original!G47</f>
        <v>ASPA (allocation de solidarité aux personnes âgées)</v>
      </c>
      <c r="E79" s="61" t="str">
        <f t="shared" si="2"/>
        <v>France  |  ASPA (allocation de solidarité aux personnes âgées)</v>
      </c>
      <c r="F79" s="139">
        <f>Original!U$47</f>
        <v>26.340078097266595</v>
      </c>
      <c r="G79" s="109"/>
    </row>
    <row r="80" spans="1:7">
      <c r="A80" s="4">
        <f>Original!A101</f>
        <v>1</v>
      </c>
      <c r="B80" s="4" t="str">
        <f>Original!C101</f>
        <v>Paraguay</v>
      </c>
      <c r="C80" s="4" t="s">
        <v>289</v>
      </c>
      <c r="D80" s="4" t="str">
        <f>Original!G101</f>
        <v>Pension alimentaria</v>
      </c>
      <c r="E80" s="61" t="str">
        <f t="shared" si="2"/>
        <v>Paraguay  |  Pension alimentaria</v>
      </c>
      <c r="F80" s="139">
        <f>Original!U$101</f>
        <v>26.81825638538405</v>
      </c>
      <c r="G80" s="109"/>
    </row>
    <row r="81" spans="1:7">
      <c r="A81" s="4">
        <f>Original!A14</f>
        <v>1</v>
      </c>
      <c r="B81" s="4" t="str">
        <f>Original!C14</f>
        <v>Austria</v>
      </c>
      <c r="C81" s="4" t="s">
        <v>289</v>
      </c>
      <c r="D81" s="4" t="str">
        <f>Original!G14</f>
        <v>Ausgleichszulage (Austrian Compensatory Supplement)</v>
      </c>
      <c r="E81" s="61" t="str">
        <f t="shared" si="2"/>
        <v>Austria  |  Ausgleichszulage (Austrian Compensatory Supplement)</v>
      </c>
      <c r="F81" s="139">
        <f>Original!U$14</f>
        <v>27.257525083612038</v>
      </c>
      <c r="G81" s="109"/>
    </row>
    <row r="82" spans="1:7">
      <c r="A82" s="4">
        <f>Original!A61</f>
        <v>1</v>
      </c>
      <c r="B82" s="4" t="str">
        <f>Original!C61</f>
        <v xml:space="preserve">Indonesia </v>
      </c>
      <c r="C82" s="4" t="s">
        <v>289</v>
      </c>
      <c r="D82" s="4" t="str">
        <f>Original!G61</f>
        <v>Program Jaminan Sosial Lanjut Usia (Elderly Social Security Programme) (Pilot)</v>
      </c>
      <c r="E82" s="61" t="str">
        <f t="shared" si="2"/>
        <v>Indonesia   |  Program Jaminan Sosial Lanjut Usia (Elderly Social Security Programme) (Pilot)</v>
      </c>
      <c r="F82" s="139">
        <f>Original!U$61</f>
        <v>27.470640752695559</v>
      </c>
      <c r="G82" s="109"/>
    </row>
    <row r="83" spans="1:7">
      <c r="A83" s="4">
        <f>Original!A42</f>
        <v>1</v>
      </c>
      <c r="B83" s="4" t="str">
        <f>Original!C42</f>
        <v>Dominican republic</v>
      </c>
      <c r="C83" s="4" t="s">
        <v>289</v>
      </c>
      <c r="D83" s="4" t="str">
        <f>Original!G42</f>
        <v>Programa Nonagenarios (Nonagarians Programme)</v>
      </c>
      <c r="E83" s="61" t="str">
        <f t="shared" si="2"/>
        <v>Dominican republic  |  Programa Nonagenarios (Nonagarians Programme)</v>
      </c>
      <c r="F83" s="139">
        <f>Original!U$42</f>
        <v>27.918181818181822</v>
      </c>
      <c r="G83" s="109"/>
    </row>
    <row r="84" spans="1:7" hidden="1">
      <c r="A84" s="4">
        <f>Original!A89</f>
        <v>0</v>
      </c>
      <c r="B84" s="4" t="str">
        <f>Original!C89</f>
        <v>Mexico</v>
      </c>
      <c r="C84" s="4" t="s">
        <v>289</v>
      </c>
      <c r="D84" s="4" t="str">
        <f>Original!G89</f>
        <v>Amanecer</v>
      </c>
      <c r="E84" s="61" t="str">
        <f t="shared" si="2"/>
        <v>Mexico  |  Amanecer</v>
      </c>
      <c r="F84" s="139">
        <f>Original!U$89</f>
        <v>0</v>
      </c>
      <c r="G84" s="109"/>
    </row>
    <row r="85" spans="1:7" hidden="1">
      <c r="A85" s="4">
        <f>Original!A90</f>
        <v>0</v>
      </c>
      <c r="B85" s="4" t="str">
        <f>Original!C90</f>
        <v>Mexico</v>
      </c>
      <c r="C85" s="4" t="s">
        <v>289</v>
      </c>
      <c r="D85" s="4" t="str">
        <f>Original!G90</f>
        <v>Minimum pension</v>
      </c>
      <c r="E85" s="61" t="str">
        <f t="shared" si="2"/>
        <v>Mexico  |  Minimum pension</v>
      </c>
      <c r="F85" s="139">
        <f>Original!U$90</f>
        <v>31.673919350159562</v>
      </c>
      <c r="G85" s="109"/>
    </row>
    <row r="86" spans="1:7">
      <c r="A86" s="4">
        <f>Original!A132</f>
        <v>1</v>
      </c>
      <c r="B86" s="4" t="str">
        <f>Original!C132</f>
        <v>United Kingdom</v>
      </c>
      <c r="C86" s="4" t="s">
        <v>289</v>
      </c>
      <c r="D86" s="4" t="str">
        <f>Original!G132</f>
        <v>Pension credit (Guarantee Credit)</v>
      </c>
      <c r="E86" s="61" t="str">
        <f t="shared" si="2"/>
        <v>United Kingdom  |  Pension credit (Guarantee Credit)</v>
      </c>
      <c r="F86" s="139">
        <f>Original!U$132</f>
        <v>28.55964491362764</v>
      </c>
      <c r="G86" s="109"/>
    </row>
    <row r="87" spans="1:7">
      <c r="A87" s="4">
        <f>Original!A81</f>
        <v>1</v>
      </c>
      <c r="B87" s="4" t="str">
        <f>Original!C81</f>
        <v>Luxembourg</v>
      </c>
      <c r="C87" s="4" t="s">
        <v>289</v>
      </c>
      <c r="D87" s="4" t="str">
        <f>Original!G81</f>
        <v>Targeted pension</v>
      </c>
      <c r="E87" s="61" t="str">
        <f t="shared" si="2"/>
        <v>Luxembourg  |  Targeted pension</v>
      </c>
      <c r="F87" s="139">
        <f>Original!U$81</f>
        <v>28.624906413775893</v>
      </c>
      <c r="G87" s="109"/>
    </row>
    <row r="88" spans="1:7">
      <c r="A88" s="4">
        <f>Original!A50</f>
        <v>1</v>
      </c>
      <c r="B88" s="4" t="str">
        <f>Original!C50</f>
        <v>Germany</v>
      </c>
      <c r="C88" s="4" t="s">
        <v>289</v>
      </c>
      <c r="D88" s="4" t="str">
        <f>Original!G50</f>
        <v>Targeted pension</v>
      </c>
      <c r="E88" s="61" t="str">
        <f t="shared" si="2"/>
        <v>Germany  |  Targeted pension</v>
      </c>
      <c r="F88" s="139">
        <f>Original!U$50</f>
        <v>30.363321799307958</v>
      </c>
      <c r="G88" s="109"/>
    </row>
    <row r="89" spans="1:7">
      <c r="A89" s="4">
        <f>Original!A63</f>
        <v>1</v>
      </c>
      <c r="B89" s="4" t="str">
        <f>Original!C63</f>
        <v>Ireland</v>
      </c>
      <c r="C89" s="4" t="s">
        <v>289</v>
      </c>
      <c r="D89" s="4" t="str">
        <f>Original!G63</f>
        <v>Targeted pension</v>
      </c>
      <c r="E89" s="61" t="str">
        <f t="shared" si="2"/>
        <v>Ireland  |  Targeted pension</v>
      </c>
      <c r="F89" s="139">
        <f>Original!U$63</f>
        <v>31.043506705920837</v>
      </c>
      <c r="G89" s="109"/>
    </row>
    <row r="90" spans="1:7">
      <c r="A90" s="4">
        <f>Original!A21</f>
        <v>1</v>
      </c>
      <c r="B90" s="4" t="str">
        <f>Original!C21</f>
        <v>Beligium</v>
      </c>
      <c r="C90" s="4" t="s">
        <v>289</v>
      </c>
      <c r="D90" s="4" t="str">
        <f>Original!G21</f>
        <v>IGO/GRAPA (Income Guarantee for the Elderly)</v>
      </c>
      <c r="E90" s="61" t="str">
        <f t="shared" si="2"/>
        <v>Beligium  |  IGO/GRAPA (Income Guarantee for the Elderly)</v>
      </c>
      <c r="F90" s="139">
        <f>Original!U$21</f>
        <v>34.090063267584668</v>
      </c>
      <c r="G90" s="109"/>
    </row>
    <row r="91" spans="1:7">
      <c r="A91" s="4">
        <f>Original!A13</f>
        <v>1</v>
      </c>
      <c r="B91" s="4" t="str">
        <f>Original!C13</f>
        <v>Australia</v>
      </c>
      <c r="C91" s="4" t="s">
        <v>289</v>
      </c>
      <c r="D91" s="4" t="str">
        <f>Original!G13</f>
        <v>Age Pension</v>
      </c>
      <c r="E91" s="61" t="str">
        <f t="shared" si="2"/>
        <v>Australia  |  Age Pension</v>
      </c>
      <c r="F91" s="139">
        <f>Original!U$13</f>
        <v>34.92578849721707</v>
      </c>
      <c r="G91" s="109"/>
    </row>
    <row r="92" spans="1:7">
      <c r="A92" s="4">
        <f>Original!A131</f>
        <v>1</v>
      </c>
      <c r="B92" s="4" t="str">
        <f>Original!C131</f>
        <v>Ukraine</v>
      </c>
      <c r="C92" s="4" t="s">
        <v>289</v>
      </c>
      <c r="D92" s="4" t="str">
        <f>Original!G131</f>
        <v>Social pension + social pension supplement</v>
      </c>
      <c r="E92" s="61" t="str">
        <f t="shared" si="2"/>
        <v>Ukraine  |  Social pension + social pension supplement</v>
      </c>
      <c r="F92" s="139">
        <f>Original!U$131</f>
        <v>36.463798530954875</v>
      </c>
      <c r="G92" s="109"/>
    </row>
    <row r="93" spans="1:7">
      <c r="A93" s="4">
        <f>Original!A85</f>
        <v>1</v>
      </c>
      <c r="B93" s="4" t="str">
        <f>Original!C85</f>
        <v>Malta</v>
      </c>
      <c r="C93" s="4" t="s">
        <v>289</v>
      </c>
      <c r="D93" s="4" t="str">
        <f>Original!G85</f>
        <v>Old-age noncontributory pension</v>
      </c>
      <c r="E93" s="61" t="str">
        <f t="shared" si="2"/>
        <v>Malta  |  Old-age noncontributory pension</v>
      </c>
      <c r="F93" s="139">
        <f>Original!U$85</f>
        <v>37.269662921348313</v>
      </c>
      <c r="G93" s="109"/>
    </row>
    <row r="94" spans="1:7" hidden="1">
      <c r="A94" s="4">
        <f>Original!A99</f>
        <v>0</v>
      </c>
      <c r="B94" s="4" t="str">
        <f>Original!C99</f>
        <v>Norway</v>
      </c>
      <c r="C94" s="4" t="s">
        <v>289</v>
      </c>
      <c r="D94" s="4" t="str">
        <f>Original!G99</f>
        <v>Minimum pension</v>
      </c>
      <c r="E94" s="61" t="str">
        <f t="shared" si="2"/>
        <v>Norway  |  Minimum pension</v>
      </c>
      <c r="F94" s="139">
        <f>Original!U$99</f>
        <v>32.721590909090907</v>
      </c>
      <c r="G94" s="109"/>
    </row>
    <row r="95" spans="1:7">
      <c r="A95" s="4">
        <f>Original!A96</f>
        <v>1</v>
      </c>
      <c r="B95" s="4" t="str">
        <f>Original!C96</f>
        <v>New Zealand</v>
      </c>
      <c r="C95" s="4" t="s">
        <v>289</v>
      </c>
      <c r="D95" s="4" t="str">
        <f>Original!G96</f>
        <v>Superannuation</v>
      </c>
      <c r="E95" s="61" t="str">
        <f t="shared" si="2"/>
        <v>New Zealand  |  Superannuation</v>
      </c>
      <c r="F95" s="139">
        <f>Original!U$96</f>
        <v>41.253764029564742</v>
      </c>
      <c r="G95" s="109"/>
    </row>
    <row r="96" spans="1:7">
      <c r="A96" s="4">
        <f>Original!A11</f>
        <v>1</v>
      </c>
      <c r="B96" s="4" t="str">
        <f>Original!C11</f>
        <v>Argentina</v>
      </c>
      <c r="C96" s="4" t="s">
        <v>289</v>
      </c>
      <c r="D96" s="4" t="str">
        <f>Original!G11</f>
        <v>Pensiones Asistenciales</v>
      </c>
      <c r="E96" s="61" t="str">
        <f t="shared" si="2"/>
        <v>Argentina  |  Pensiones Asistenciales</v>
      </c>
      <c r="F96" s="139">
        <f>Original!U$11</f>
        <v>46.109653725078701</v>
      </c>
      <c r="G96" s="109"/>
    </row>
    <row r="97" spans="1:7">
      <c r="A97" s="4">
        <f>Original!A134</f>
        <v>1</v>
      </c>
      <c r="B97" s="4" t="str">
        <f>Original!C134</f>
        <v>Uruguay</v>
      </c>
      <c r="C97" s="4" t="s">
        <v>289</v>
      </c>
      <c r="D97" s="4" t="str">
        <f>Original!G134</f>
        <v>Pensión por Vejez (Programa de Pensiones No-Contributivas)</v>
      </c>
      <c r="E97" s="61" t="str">
        <f t="shared" si="2"/>
        <v>Uruguay  |  Pensión por Vejez (Programa de Pensiones No-Contributivas)</v>
      </c>
      <c r="F97" s="139">
        <f>Original!U$134</f>
        <v>46.625586854460096</v>
      </c>
      <c r="G97" s="109"/>
    </row>
    <row r="98" spans="1:7">
      <c r="A98" s="4">
        <f>Original!A26</f>
        <v>1</v>
      </c>
      <c r="B98" s="4" t="str">
        <f>Original!C26</f>
        <v>Brazil [Rural pensionn]</v>
      </c>
      <c r="C98" s="4" t="s">
        <v>289</v>
      </c>
      <c r="D98" s="4" t="str">
        <f>Original!G26</f>
        <v>Previdencia Rural (Rural Pension)</v>
      </c>
      <c r="E98" s="61" t="str">
        <f t="shared" si="2"/>
        <v>Brazil [Rural pensionn]  |  Previdencia Rural (Rural Pension)</v>
      </c>
      <c r="F98" s="139">
        <f>Original!U$26</f>
        <v>46.766917293233085</v>
      </c>
      <c r="G98" s="109"/>
    </row>
    <row r="99" spans="1:7">
      <c r="A99" s="4">
        <f>Original!A27</f>
        <v>1</v>
      </c>
      <c r="B99" s="4" t="str">
        <f>Original!C27</f>
        <v>Brazil [BPC]</v>
      </c>
      <c r="C99" s="4" t="s">
        <v>289</v>
      </c>
      <c r="D99" s="4" t="str">
        <f>Original!G27</f>
        <v>Beneficio de Prestacao Continuada (BPC / Continuous Cash Benefit)</v>
      </c>
      <c r="E99" s="61" t="str">
        <f t="shared" si="2"/>
        <v>Brazil [BPC]  |  Beneficio de Prestacao Continuada (BPC / Continuous Cash Benefit)</v>
      </c>
      <c r="F99" s="139">
        <f>Original!U$27</f>
        <v>46.766917293233085</v>
      </c>
      <c r="G99" s="109"/>
    </row>
    <row r="100" spans="1:7" hidden="1">
      <c r="A100" s="4">
        <f>Original!A105</f>
        <v>0</v>
      </c>
      <c r="B100" s="4" t="str">
        <f>Original!C105</f>
        <v>Poland</v>
      </c>
      <c r="C100" s="4" t="s">
        <v>289</v>
      </c>
      <c r="D100" s="4" t="str">
        <f>Original!G105</f>
        <v>Minimum pension</v>
      </c>
      <c r="E100" s="61" t="str">
        <f t="shared" si="2"/>
        <v>Poland  |  Minimum pension</v>
      </c>
      <c r="F100" s="139">
        <f>Original!U$105</f>
        <v>20.504350628424106</v>
      </c>
      <c r="G100" s="109"/>
    </row>
    <row r="101" spans="1:7">
      <c r="A101" s="4">
        <f>Original!A30</f>
        <v>1</v>
      </c>
      <c r="B101" s="4" t="str">
        <f>Original!C30</f>
        <v>Canada Targeted</v>
      </c>
      <c r="C101" s="4" t="s">
        <v>289</v>
      </c>
      <c r="D101" s="4" t="str">
        <f>Original!G30</f>
        <v>Canada targeted pension</v>
      </c>
      <c r="E101" s="61" t="str">
        <f t="shared" ref="E101:E132" si="3">CONCATENATE(B101,C101,D101)</f>
        <v>Canada Targeted  |  Canada targeted pension</v>
      </c>
      <c r="F101" s="139">
        <f>Original!U$30</f>
        <v>170.41188007845335</v>
      </c>
      <c r="G101" s="109"/>
    </row>
    <row r="102" spans="1:7" hidden="1">
      <c r="A102" s="4">
        <f>Original!A107</f>
        <v>0</v>
      </c>
      <c r="B102" s="4" t="str">
        <f>Original!C107</f>
        <v>Portugal</v>
      </c>
      <c r="C102" s="4" t="s">
        <v>289</v>
      </c>
      <c r="D102" s="4" t="str">
        <f>Original!G107</f>
        <v>Minimum pension</v>
      </c>
      <c r="E102" s="61" t="str">
        <f t="shared" si="3"/>
        <v>Portugal  |  Minimum pension</v>
      </c>
      <c r="F102" s="139">
        <f>Original!U$107</f>
        <v>36.094576719576715</v>
      </c>
      <c r="G102" s="109"/>
    </row>
    <row r="103" spans="1:7" hidden="1">
      <c r="A103" s="4">
        <f>Original!A108</f>
        <v>0</v>
      </c>
      <c r="B103" s="4" t="str">
        <f>Original!C108</f>
        <v>Saint Kitts and Nevis</v>
      </c>
      <c r="C103" s="4" t="s">
        <v>289</v>
      </c>
      <c r="D103" s="4" t="str">
        <f>Original!G108</f>
        <v>Old age social assistance pension</v>
      </c>
      <c r="E103" s="61" t="str">
        <f t="shared" si="3"/>
        <v>Saint Kitts and Nevis  |  Old age social assistance pension</v>
      </c>
      <c r="F103" s="139">
        <f>Original!U$108</f>
        <v>0</v>
      </c>
      <c r="G103" s="109"/>
    </row>
    <row r="104" spans="1:7">
      <c r="A104" s="4">
        <f>Original!A113</f>
        <v>1</v>
      </c>
      <c r="B104" s="4" t="str">
        <f>Original!C113</f>
        <v>Slovakia</v>
      </c>
      <c r="C104" s="4" t="s">
        <v>289</v>
      </c>
      <c r="D104" s="4" t="str">
        <f>Original!G113</f>
        <v>Targeted pension</v>
      </c>
      <c r="E104" s="61" t="str">
        <f t="shared" si="3"/>
        <v>Slovakia  |  Targeted pension</v>
      </c>
      <c r="F104" s="139">
        <f>Original!U$113</f>
        <v>677.59443752594427</v>
      </c>
      <c r="G104" s="109"/>
    </row>
    <row r="105" spans="1:7" hidden="1">
      <c r="A105" s="4">
        <f>Original!A110</f>
        <v>0</v>
      </c>
      <c r="B105" s="4" t="str">
        <f>Original!C110</f>
        <v>Saint Vincent and the Grenadines</v>
      </c>
      <c r="C105" s="4" t="s">
        <v>289</v>
      </c>
      <c r="D105" s="4" t="str">
        <f>Original!G110</f>
        <v xml:space="preserve">The Non-Contributory Assistance Age Pension (NAAP) </v>
      </c>
      <c r="E105" s="61" t="str">
        <f t="shared" si="3"/>
        <v xml:space="preserve">Saint Vincent and the Grenadines  |  The Non-Contributory Assistance Age Pension (NAAP) </v>
      </c>
      <c r="F105" s="139">
        <f>Original!U$110</f>
        <v>0</v>
      </c>
      <c r="G105" s="109"/>
    </row>
    <row r="106" spans="1:7" hidden="1">
      <c r="A106" s="4">
        <f>Original!A16</f>
        <v>1</v>
      </c>
      <c r="B106" s="4" t="str">
        <f>Original!C16</f>
        <v>Bahamas</v>
      </c>
      <c r="C106" s="4" t="s">
        <v>289</v>
      </c>
      <c r="D106" s="4" t="str">
        <f>Original!G16</f>
        <v>Old Age Non-Contributory Pension (OANCP)</v>
      </c>
      <c r="E106" s="61" t="str">
        <f t="shared" si="3"/>
        <v>Bahamas  |  Old Age Non-Contributory Pension (OANCP)</v>
      </c>
      <c r="F106" s="139" t="str">
        <f>Original!U$16</f>
        <v>no data</v>
      </c>
      <c r="G106" s="109"/>
    </row>
    <row r="107" spans="1:7" hidden="1">
      <c r="A107" s="4">
        <f>Original!A17</f>
        <v>1</v>
      </c>
      <c r="B107" s="4" t="str">
        <f>Original!C17</f>
        <v>Bangladesh</v>
      </c>
      <c r="C107" s="4" t="s">
        <v>289</v>
      </c>
      <c r="D107" s="4" t="str">
        <f>Original!G17</f>
        <v>Old Age Allowance</v>
      </c>
      <c r="E107" s="61" t="str">
        <f t="shared" si="3"/>
        <v>Bangladesh  |  Old Age Allowance</v>
      </c>
      <c r="F107" s="139" t="str">
        <f>Original!U$17</f>
        <v>no data</v>
      </c>
      <c r="G107" s="109"/>
    </row>
    <row r="108" spans="1:7" hidden="1">
      <c r="A108" s="4">
        <f>Original!A19</f>
        <v>1</v>
      </c>
      <c r="B108" s="4" t="str">
        <f>Original!C19</f>
        <v>Barbados</v>
      </c>
      <c r="C108" s="4" t="s">
        <v>289</v>
      </c>
      <c r="D108" s="4" t="str">
        <f>Original!G19</f>
        <v>Non-contributory Old Age Pension</v>
      </c>
      <c r="E108" s="61" t="str">
        <f t="shared" si="3"/>
        <v>Barbados  |  Non-contributory Old Age Pension</v>
      </c>
      <c r="F108" s="139" t="str">
        <f>Original!U$19</f>
        <v>no data</v>
      </c>
      <c r="G108" s="109"/>
    </row>
    <row r="109" spans="1:7" hidden="1">
      <c r="A109" s="4">
        <f>Original!A22</f>
        <v>1</v>
      </c>
      <c r="B109" s="4" t="str">
        <f>Original!C22</f>
        <v>Belize</v>
      </c>
      <c r="C109" s="4" t="s">
        <v>289</v>
      </c>
      <c r="D109" s="4" t="str">
        <f>Original!G22</f>
        <v>Non-Contributory Pension Programme (NCP)</v>
      </c>
      <c r="E109" s="61" t="str">
        <f t="shared" si="3"/>
        <v>Belize  |  Non-Contributory Pension Programme (NCP)</v>
      </c>
      <c r="F109" s="139" t="str">
        <f>Original!U$22</f>
        <v>no data</v>
      </c>
      <c r="G109" s="109"/>
    </row>
    <row r="110" spans="1:7" hidden="1">
      <c r="A110" s="4">
        <f>Original!A115</f>
        <v>0</v>
      </c>
      <c r="B110" s="4" t="str">
        <f>Original!C115</f>
        <v>Slovenia</v>
      </c>
      <c r="C110" s="4" t="s">
        <v>289</v>
      </c>
      <c r="D110" s="4" t="str">
        <f>Original!G115</f>
        <v>Minimum pension</v>
      </c>
      <c r="E110" s="61" t="str">
        <f t="shared" si="3"/>
        <v>Slovenia  |  Minimum pension</v>
      </c>
      <c r="F110" s="139">
        <f>Original!U$115</f>
        <v>29.337502895529305</v>
      </c>
      <c r="G110" s="109"/>
    </row>
    <row r="111" spans="1:7" hidden="1">
      <c r="A111" s="4">
        <f>Original!A23</f>
        <v>1</v>
      </c>
      <c r="B111" s="4" t="str">
        <f>Original!C23</f>
        <v>Bermuda</v>
      </c>
      <c r="C111" s="4" t="s">
        <v>289</v>
      </c>
      <c r="D111" s="4" t="str">
        <f>Original!G23</f>
        <v>Non-contibutory old age pension</v>
      </c>
      <c r="E111" s="61" t="str">
        <f t="shared" si="3"/>
        <v>Bermuda  |  Non-contibutory old age pension</v>
      </c>
      <c r="F111" s="139" t="str">
        <f>Original!U$23</f>
        <v>no data</v>
      </c>
      <c r="G111" s="109"/>
    </row>
    <row r="112" spans="1:7" hidden="1">
      <c r="A112" s="4">
        <f>Original!A24</f>
        <v>1</v>
      </c>
      <c r="B112" s="4" t="str">
        <f>Original!C24</f>
        <v>Bolivia</v>
      </c>
      <c r="C112" s="4" t="s">
        <v>289</v>
      </c>
      <c r="D112" s="4" t="str">
        <f>Original!G24</f>
        <v>Renta Dignidad or Renta Universal de Vejez (previously Bonosol)</v>
      </c>
      <c r="E112" s="61" t="str">
        <f t="shared" si="3"/>
        <v>Bolivia  |  Renta Dignidad or Renta Universal de Vejez (previously Bonosol)</v>
      </c>
      <c r="F112" s="139" t="str">
        <f>Original!U$24</f>
        <v>no data</v>
      </c>
      <c r="G112" s="109"/>
    </row>
    <row r="113" spans="1:7" hidden="1">
      <c r="A113" s="4">
        <f>Original!A118</f>
        <v>0</v>
      </c>
      <c r="B113" s="4" t="str">
        <f>Original!C118</f>
        <v>Spain</v>
      </c>
      <c r="C113" s="4" t="s">
        <v>289</v>
      </c>
      <c r="D113" s="4" t="str">
        <f>Original!G118</f>
        <v>Minimum pension</v>
      </c>
      <c r="E113" s="61" t="str">
        <f t="shared" si="3"/>
        <v>Spain  |  Minimum pension</v>
      </c>
      <c r="F113" s="139">
        <f>Original!U$118</f>
        <v>28.561176892716176</v>
      </c>
      <c r="G113" s="109"/>
    </row>
    <row r="114" spans="1:7" hidden="1">
      <c r="A114" s="4">
        <f>Original!A28</f>
        <v>1</v>
      </c>
      <c r="B114" s="4" t="str">
        <f>Original!C28</f>
        <v>Brunei Darussalam</v>
      </c>
      <c r="C114" s="4" t="s">
        <v>289</v>
      </c>
      <c r="D114" s="4" t="str">
        <f>Original!G28</f>
        <v>Old Age pension</v>
      </c>
      <c r="E114" s="61" t="str">
        <f t="shared" si="3"/>
        <v>Brunei Darussalam  |  Old Age pension</v>
      </c>
      <c r="F114" s="139" t="str">
        <f>Original!U$28</f>
        <v>no data</v>
      </c>
      <c r="G114" s="109"/>
    </row>
    <row r="115" spans="1:7" hidden="1">
      <c r="A115" s="4">
        <f>Original!A32</f>
        <v>1</v>
      </c>
      <c r="B115" s="4" t="str">
        <f>Original!C32</f>
        <v>Cape Verde</v>
      </c>
      <c r="C115" s="4" t="s">
        <v>289</v>
      </c>
      <c r="D115" s="4" t="str">
        <f>Original!G32</f>
        <v>Pensao Social Minima (Minimum Social Pension)</v>
      </c>
      <c r="E115" s="61" t="str">
        <f t="shared" si="3"/>
        <v>Cape Verde  |  Pensao Social Minima (Minimum Social Pension)</v>
      </c>
      <c r="F115" s="139" t="str">
        <f>Original!U$32</f>
        <v>no data</v>
      </c>
      <c r="G115" s="109"/>
    </row>
    <row r="116" spans="1:7" hidden="1">
      <c r="A116" s="4">
        <f>Original!A35</f>
        <v>1</v>
      </c>
      <c r="B116" s="4" t="str">
        <f>Original!C35</f>
        <v>Cook Islands</v>
      </c>
      <c r="C116" s="4" t="s">
        <v>289</v>
      </c>
      <c r="D116" s="4" t="str">
        <f>Original!G35</f>
        <v>Old Age Pension</v>
      </c>
      <c r="E116" s="61" t="str">
        <f t="shared" si="3"/>
        <v>Cook Islands  |  Old Age Pension</v>
      </c>
      <c r="F116" s="139" t="str">
        <f>Original!U$35</f>
        <v>no data</v>
      </c>
      <c r="G116" s="109"/>
    </row>
    <row r="117" spans="1:7" hidden="1">
      <c r="A117" s="4">
        <f>Original!A44</f>
        <v>1</v>
      </c>
      <c r="B117" s="4" t="str">
        <f>Original!C44</f>
        <v>El Salvador</v>
      </c>
      <c r="C117" s="4" t="s">
        <v>289</v>
      </c>
      <c r="D117" s="4" t="str">
        <f>Original!G44</f>
        <v>Pension Basica Universal (Universal basic pension)</v>
      </c>
      <c r="E117" s="61" t="str">
        <f t="shared" si="3"/>
        <v>El Salvador  |  Pension Basica Universal (Universal basic pension)</v>
      </c>
      <c r="F117" s="139" t="str">
        <f>Original!U$44</f>
        <v>no data</v>
      </c>
      <c r="G117" s="109"/>
    </row>
    <row r="118" spans="1:7" hidden="1">
      <c r="A118" s="4">
        <f>Original!A123</f>
        <v>0</v>
      </c>
      <c r="B118" s="4" t="str">
        <f>Original!C123</f>
        <v>Switzerland</v>
      </c>
      <c r="C118" s="4" t="s">
        <v>289</v>
      </c>
      <c r="D118" s="4" t="str">
        <f>Original!G123</f>
        <v>Minimum pension</v>
      </c>
      <c r="E118" s="61" t="str">
        <f t="shared" si="3"/>
        <v>Switzerland  |  Minimum pension</v>
      </c>
      <c r="F118" s="139">
        <f>Original!U$123</f>
        <v>16.0633813054223</v>
      </c>
      <c r="G118" s="109"/>
    </row>
    <row r="119" spans="1:7" hidden="1">
      <c r="A119" s="4">
        <f>Original!A53</f>
        <v>1</v>
      </c>
      <c r="B119" s="4" t="str">
        <f>Original!C53</f>
        <v>Guatemala</v>
      </c>
      <c r="C119" s="4" t="s">
        <v>289</v>
      </c>
      <c r="D119" s="4" t="str">
        <f>Original!G53</f>
        <v>Programa de aporte economico o del Adulto Mayor (Economic contribution programme for older people)</v>
      </c>
      <c r="E119" s="61" t="str">
        <f t="shared" si="3"/>
        <v>Guatemala  |  Programa de aporte economico o del Adulto Mayor (Economic contribution programme for older people)</v>
      </c>
      <c r="F119" s="139" t="str">
        <f>Original!U$53</f>
        <v>no data</v>
      </c>
      <c r="G119" s="109"/>
    </row>
    <row r="120" spans="1:7" hidden="1">
      <c r="A120" s="4">
        <f>Original!A54</f>
        <v>1</v>
      </c>
      <c r="B120" s="4" t="str">
        <f>Original!C54</f>
        <v>Guyana</v>
      </c>
      <c r="C120" s="4" t="s">
        <v>289</v>
      </c>
      <c r="D120" s="4" t="str">
        <f>Original!G54</f>
        <v>Old Age Pension</v>
      </c>
      <c r="E120" s="61" t="str">
        <f t="shared" si="3"/>
        <v>Guyana  |  Old Age Pension</v>
      </c>
      <c r="F120" s="139" t="str">
        <f>Original!U$54</f>
        <v>no data</v>
      </c>
      <c r="G120" s="109"/>
    </row>
    <row r="121" spans="1:7" hidden="1">
      <c r="A121" s="4">
        <f>Original!A73</f>
        <v>1</v>
      </c>
      <c r="B121" s="4" t="str">
        <f>Original!C73</f>
        <v>Kiribati</v>
      </c>
      <c r="C121" s="4" t="s">
        <v>289</v>
      </c>
      <c r="D121" s="4" t="str">
        <f>Original!G73</f>
        <v>Elderly pension</v>
      </c>
      <c r="E121" s="61" t="str">
        <f t="shared" si="3"/>
        <v>Kiribati  |  Elderly pension</v>
      </c>
      <c r="F121" s="139" t="str">
        <f>Original!U$73</f>
        <v>no data</v>
      </c>
      <c r="G121" s="109"/>
    </row>
    <row r="122" spans="1:7" hidden="1">
      <c r="A122" s="4">
        <f>Original!A75</f>
        <v>1</v>
      </c>
      <c r="B122" s="4" t="str">
        <f>Original!C75</f>
        <v>Kosovo</v>
      </c>
      <c r="C122" s="4" t="s">
        <v>289</v>
      </c>
      <c r="D122" s="4" t="str">
        <f>Original!G75</f>
        <v>Old age "basic pension"</v>
      </c>
      <c r="E122" s="61" t="str">
        <f t="shared" si="3"/>
        <v>Kosovo  |  Old age "basic pension"</v>
      </c>
      <c r="F122" s="139" t="str">
        <f>Original!U$75</f>
        <v>no data</v>
      </c>
      <c r="G122" s="109"/>
    </row>
    <row r="123" spans="1:7" hidden="1">
      <c r="A123" s="4">
        <f>Original!A78</f>
        <v>1</v>
      </c>
      <c r="B123" s="4" t="str">
        <f>Original!C78</f>
        <v>Lesotho</v>
      </c>
      <c r="C123" s="4" t="s">
        <v>289</v>
      </c>
      <c r="D123" s="4" t="str">
        <f>Original!G78</f>
        <v>Old Age Pension</v>
      </c>
      <c r="E123" s="61" t="str">
        <f t="shared" si="3"/>
        <v>Lesotho  |  Old Age Pension</v>
      </c>
      <c r="F123" s="139" t="str">
        <f>Original!U$78</f>
        <v>no data</v>
      </c>
      <c r="G123" s="109"/>
    </row>
    <row r="124" spans="1:7" hidden="1">
      <c r="A124" s="4">
        <f>Original!A84</f>
        <v>1</v>
      </c>
      <c r="B124" s="4" t="str">
        <f>Original!C84</f>
        <v>Maldives</v>
      </c>
      <c r="C124" s="4" t="s">
        <v>289</v>
      </c>
      <c r="D124" s="4" t="str">
        <f>Original!G84</f>
        <v>Old-age Basic Pension</v>
      </c>
      <c r="E124" s="61" t="str">
        <f t="shared" si="3"/>
        <v>Maldives  |  Old-age Basic Pension</v>
      </c>
      <c r="F124" s="139" t="str">
        <f>Original!U$84</f>
        <v>no data</v>
      </c>
      <c r="G124" s="109"/>
    </row>
    <row r="125" spans="1:7" hidden="1">
      <c r="A125" s="4">
        <f>Original!A93</f>
        <v>1</v>
      </c>
      <c r="B125" s="4" t="str">
        <f>Original!C93</f>
        <v>Namibia</v>
      </c>
      <c r="C125" s="4" t="s">
        <v>289</v>
      </c>
      <c r="D125" s="4" t="str">
        <f>Original!G93</f>
        <v>Old Age Pension (OAP)</v>
      </c>
      <c r="E125" s="61" t="str">
        <f t="shared" si="3"/>
        <v>Namibia  |  Old Age Pension (OAP)</v>
      </c>
      <c r="F125" s="139" t="str">
        <f>Original!U$93</f>
        <v>no data</v>
      </c>
      <c r="G125" s="109"/>
    </row>
    <row r="126" spans="1:7" hidden="1">
      <c r="A126" s="4">
        <f>Original!A95</f>
        <v>1</v>
      </c>
      <c r="B126" s="4" t="str">
        <f>Original!C95</f>
        <v>Netherlands</v>
      </c>
      <c r="C126" s="4" t="s">
        <v>289</v>
      </c>
      <c r="D126" s="4" t="str">
        <f>Original!G95</f>
        <v>Old-age pension</v>
      </c>
      <c r="E126" s="61" t="str">
        <f t="shared" si="3"/>
        <v>Netherlands  |  Old-age pension</v>
      </c>
      <c r="F126" s="139" t="str">
        <f>Original!U$95</f>
        <v>no data</v>
      </c>
      <c r="G126" s="109"/>
    </row>
    <row r="127" spans="1:7" hidden="1">
      <c r="A127" s="4">
        <f>Original!A111</f>
        <v>1</v>
      </c>
      <c r="B127" s="4" t="str">
        <f>Original!C111</f>
        <v>Samoa</v>
      </c>
      <c r="C127" s="4" t="s">
        <v>289</v>
      </c>
      <c r="D127" s="4" t="str">
        <f>Original!G111</f>
        <v>Senior Citizens Benefit</v>
      </c>
      <c r="E127" s="61" t="str">
        <f t="shared" si="3"/>
        <v>Samoa  |  Senior Citizens Benefit</v>
      </c>
      <c r="F127" s="139" t="str">
        <f>Original!U$111</f>
        <v>no data</v>
      </c>
      <c r="G127" s="109"/>
    </row>
    <row r="128" spans="1:7" hidden="1">
      <c r="A128" s="4">
        <f>Original!A112</f>
        <v>1</v>
      </c>
      <c r="B128" s="4" t="str">
        <f>Original!C112</f>
        <v>Seychelles</v>
      </c>
      <c r="C128" s="4" t="s">
        <v>289</v>
      </c>
      <c r="D128" s="4" t="str">
        <f>Original!G112</f>
        <v>Old-age pension (social security fund)</v>
      </c>
      <c r="E128" s="61" t="str">
        <f t="shared" si="3"/>
        <v>Seychelles  |  Old-age pension (social security fund)</v>
      </c>
      <c r="F128" s="139" t="str">
        <f>Original!U$112</f>
        <v>no data</v>
      </c>
      <c r="G128" s="109"/>
    </row>
    <row r="129" spans="1:7" hidden="1">
      <c r="A129" s="4">
        <f>Original!A120</f>
        <v>1</v>
      </c>
      <c r="B129" s="4" t="str">
        <f>Original!C120</f>
        <v>Swaziland</v>
      </c>
      <c r="C129" s="4" t="s">
        <v>289</v>
      </c>
      <c r="D129" s="4" t="str">
        <f>Original!G120</f>
        <v>Old Age Grant</v>
      </c>
      <c r="E129" s="61" t="str">
        <f t="shared" si="3"/>
        <v>Swaziland  |  Old Age Grant</v>
      </c>
      <c r="F129" s="139" t="str">
        <f>Original!U$120</f>
        <v>no data</v>
      </c>
      <c r="G129" s="109"/>
    </row>
    <row r="130" spans="1:7" hidden="1">
      <c r="A130" s="4">
        <f>Original!A126</f>
        <v>1</v>
      </c>
      <c r="B130" s="4" t="str">
        <f>Original!C126</f>
        <v>Timor-Leste</v>
      </c>
      <c r="C130" s="4" t="s">
        <v>289</v>
      </c>
      <c r="D130" s="4" t="str">
        <f>Original!G126</f>
        <v>Support allowance for the elderly</v>
      </c>
      <c r="E130" s="61" t="str">
        <f t="shared" si="3"/>
        <v>Timor-Leste  |  Support allowance for the elderly</v>
      </c>
      <c r="F130" s="139" t="str">
        <f>Original!U$126</f>
        <v>no data</v>
      </c>
      <c r="G130" s="109"/>
    </row>
    <row r="131" spans="1:7" hidden="1">
      <c r="A131" s="4">
        <f>Original!A127</f>
        <v>1</v>
      </c>
      <c r="B131" s="4" t="str">
        <f>Original!C127</f>
        <v>Trinidad and Tobago</v>
      </c>
      <c r="C131" s="4" t="s">
        <v>289</v>
      </c>
      <c r="D131" s="4" t="str">
        <f>Original!G127</f>
        <v>Senior Citizens' Pension</v>
      </c>
      <c r="E131" s="61" t="str">
        <f t="shared" si="3"/>
        <v>Trinidad and Tobago  |  Senior Citizens' Pension</v>
      </c>
      <c r="F131" s="139" t="str">
        <f>Original!U$127</f>
        <v>no data</v>
      </c>
      <c r="G131" s="109"/>
    </row>
    <row r="132" spans="1:7" hidden="1">
      <c r="A132" s="4">
        <f>Original!A135</f>
        <v>1</v>
      </c>
      <c r="B132" s="4" t="str">
        <f>Original!C135</f>
        <v>Uzbekestan</v>
      </c>
      <c r="C132" s="4" t="s">
        <v>289</v>
      </c>
      <c r="D132" s="4" t="str">
        <f>Original!G135</f>
        <v>Social pension</v>
      </c>
      <c r="E132" s="61" t="str">
        <f t="shared" si="3"/>
        <v>Uzbekestan  |  Social pension</v>
      </c>
      <c r="F132" s="139" t="str">
        <f>Original!U$135</f>
        <v>no data</v>
      </c>
      <c r="G132" s="109"/>
    </row>
    <row r="133" spans="1:7" hidden="1">
      <c r="A133" s="4">
        <f>Original!A139</f>
        <v>1</v>
      </c>
      <c r="B133" s="4" t="str">
        <f>Original!C139</f>
        <v>Zambia</v>
      </c>
      <c r="C133" s="4" t="s">
        <v>289</v>
      </c>
      <c r="D133" s="4" t="str">
        <f>Original!G139</f>
        <v>Social Cash Transfer Programme, Katete (Pilot)</v>
      </c>
      <c r="E133" s="61" t="str">
        <f t="shared" ref="E133:E134" si="4">CONCATENATE(B133,C133,D133)</f>
        <v>Zambia  |  Social Cash Transfer Programme, Katete (Pilot)</v>
      </c>
      <c r="F133" s="139" t="str">
        <f>Original!U$139</f>
        <v>no data</v>
      </c>
      <c r="G133" s="109"/>
    </row>
    <row r="134" spans="1:7" hidden="1">
      <c r="A134" s="4">
        <f>Original!A79</f>
        <v>1</v>
      </c>
      <c r="B134" s="4" t="str">
        <f>Original!C79</f>
        <v>Lithuania</v>
      </c>
      <c r="C134" s="4" t="s">
        <v>289</v>
      </c>
      <c r="D134" s="4" t="str">
        <f>Original!G79</f>
        <v>Old age social assistance pension</v>
      </c>
      <c r="E134" s="61" t="str">
        <f t="shared" si="4"/>
        <v>Lithuania  |  Old age social assistance pension</v>
      </c>
      <c r="F134" s="139" t="e">
        <f>Original!U$79</f>
        <v>#DIV/0!</v>
      </c>
      <c r="G134" s="109"/>
    </row>
    <row r="135" spans="1:7">
      <c r="E135" s="61"/>
      <c r="F135" s="139"/>
      <c r="G135" s="109"/>
    </row>
  </sheetData>
  <autoFilter ref="A4:V134">
    <filterColumn colId="0">
      <filters>
        <filter val="1"/>
      </filters>
    </filterColumn>
    <filterColumn colId="5">
      <filters>
        <filter val="1,0"/>
        <filter val="1,3"/>
        <filter val="11,4"/>
        <filter val="11,5"/>
        <filter val="11,7"/>
        <filter val="11,9"/>
        <filter val="12,6"/>
        <filter val="13,1"/>
        <filter val="13,3"/>
        <filter val="14,0"/>
        <filter val="14,3"/>
        <filter val="15,3"/>
        <filter val="15,4"/>
        <filter val="15,6"/>
        <filter val="16,2"/>
        <filter val="17,1"/>
        <filter val="17,3"/>
        <filter val="170,4"/>
        <filter val="18,2"/>
        <filter val="18,6"/>
        <filter val="18,7"/>
        <filter val="19,1"/>
        <filter val="19,2"/>
        <filter val="19,3"/>
        <filter val="19,4"/>
        <filter val="2,3"/>
        <filter val="20,1"/>
        <filter val="20,6"/>
        <filter val="20,7"/>
        <filter val="20,8"/>
        <filter val="21,0"/>
        <filter val="22,0"/>
        <filter val="22,7"/>
        <filter val="24,0"/>
        <filter val="25,4"/>
        <filter val="26,3"/>
        <filter val="26,8"/>
        <filter val="27,3"/>
        <filter val="27,5"/>
        <filter val="27,9"/>
        <filter val="28,6"/>
        <filter val="3,3"/>
        <filter val="3,5"/>
        <filter val="30,4"/>
        <filter val="31,0"/>
        <filter val="34,1"/>
        <filter val="34,9"/>
        <filter val="36,5"/>
        <filter val="37,3"/>
        <filter val="4,6"/>
        <filter val="4,9"/>
        <filter val="41,3"/>
        <filter val="46,1"/>
        <filter val="46,6"/>
        <filter val="46,8"/>
        <filter val="6,5"/>
        <filter val="6,6"/>
        <filter val="6,9"/>
        <filter val="677,6"/>
        <filter val="7,1"/>
        <filter val="7,7"/>
        <filter val="8,4"/>
        <filter val="8,7"/>
        <filter val="9,4"/>
        <filter val="9,8"/>
        <filter val="9,9"/>
      </filters>
    </filterColumn>
  </autoFilter>
  <sortState ref="A6:F134">
    <sortCondition ref="F6:F13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F135"/>
  <sheetViews>
    <sheetView workbookViewId="0">
      <selection activeCell="F4" activeCellId="1" sqref="B4:B131 F4:F131"/>
    </sheetView>
  </sheetViews>
  <sheetFormatPr baseColWidth="10" defaultColWidth="9" defaultRowHeight="10.5"/>
  <cols>
    <col min="1" max="3" width="9" style="4"/>
    <col min="4" max="4" width="38.625" style="4" customWidth="1"/>
    <col min="5" max="5" width="36.625" style="4" customWidth="1"/>
    <col min="6" max="6" width="9" style="159"/>
    <col min="7" max="16384" width="9" style="4"/>
  </cols>
  <sheetData>
    <row r="1" spans="1:6">
      <c r="B1" s="4" t="s">
        <v>568</v>
      </c>
    </row>
    <row r="3" spans="1:6" ht="15">
      <c r="B3" s="4" t="s">
        <v>288</v>
      </c>
      <c r="E3" s="115" t="s">
        <v>570</v>
      </c>
    </row>
    <row r="4" spans="1:6">
      <c r="F4" s="159" t="s">
        <v>290</v>
      </c>
    </row>
    <row r="5" spans="1:6" hidden="1">
      <c r="A5" s="4">
        <f>Original!A50</f>
        <v>1</v>
      </c>
      <c r="B5" s="4" t="str">
        <f>Original!C50</f>
        <v>Germany</v>
      </c>
      <c r="C5" s="4" t="s">
        <v>289</v>
      </c>
      <c r="D5" s="4" t="str">
        <f>Original!G50</f>
        <v>Targeted pension</v>
      </c>
      <c r="E5" s="61" t="str">
        <f t="shared" ref="E5:E36" si="0">CONCATENATE(B5,C5,D5)</f>
        <v>Germany  |  Targeted pension</v>
      </c>
      <c r="F5" s="171">
        <f>Original!N$50</f>
        <v>0</v>
      </c>
    </row>
    <row r="6" spans="1:6" hidden="1">
      <c r="A6" s="4">
        <f>Original!A68</f>
        <v>1</v>
      </c>
      <c r="B6" s="4" t="str">
        <f>Original!C68</f>
        <v>Japan</v>
      </c>
      <c r="C6" s="4" t="s">
        <v>289</v>
      </c>
      <c r="D6" s="4" t="str">
        <f>Original!G68</f>
        <v>Basic pension</v>
      </c>
      <c r="E6" s="61" t="str">
        <f t="shared" si="0"/>
        <v>Japan  |  Basic pension</v>
      </c>
      <c r="F6" s="171">
        <f>Original!N$68</f>
        <v>0</v>
      </c>
    </row>
    <row r="7" spans="1:6" hidden="1">
      <c r="A7" s="4">
        <f>Original!A69</f>
        <v>1</v>
      </c>
      <c r="B7" s="4" t="str">
        <f>Original!C69</f>
        <v>Japan</v>
      </c>
      <c r="C7" s="4" t="s">
        <v>289</v>
      </c>
      <c r="D7" s="4" t="str">
        <f>Original!G69</f>
        <v>Targeted pension</v>
      </c>
      <c r="E7" s="61" t="str">
        <f t="shared" si="0"/>
        <v>Japan  |  Targeted pension</v>
      </c>
      <c r="F7" s="171">
        <f>Original!N$69</f>
        <v>0</v>
      </c>
    </row>
    <row r="8" spans="1:6" hidden="1">
      <c r="A8" s="4">
        <f>Original!A80</f>
        <v>1</v>
      </c>
      <c r="B8" s="4" t="str">
        <f>Original!C80</f>
        <v>Luxembourg</v>
      </c>
      <c r="C8" s="4" t="s">
        <v>289</v>
      </c>
      <c r="D8" s="4" t="str">
        <f>Original!G80</f>
        <v>Basic pension</v>
      </c>
      <c r="E8" s="61" t="str">
        <f t="shared" si="0"/>
        <v>Luxembourg  |  Basic pension</v>
      </c>
      <c r="F8" s="171">
        <f>Original!N$80</f>
        <v>0</v>
      </c>
    </row>
    <row r="9" spans="1:6" hidden="1">
      <c r="A9" s="4">
        <f>Original!A81</f>
        <v>1</v>
      </c>
      <c r="B9" s="4" t="str">
        <f>Original!C81</f>
        <v>Luxembourg</v>
      </c>
      <c r="C9" s="4" t="s">
        <v>289</v>
      </c>
      <c r="D9" s="4" t="str">
        <f>Original!G81</f>
        <v>Targeted pension</v>
      </c>
      <c r="E9" s="61" t="str">
        <f t="shared" si="0"/>
        <v>Luxembourg  |  Targeted pension</v>
      </c>
      <c r="F9" s="171">
        <f>Original!N$81</f>
        <v>0</v>
      </c>
    </row>
    <row r="10" spans="1:6" hidden="1">
      <c r="A10" s="4">
        <f>Original!A104</f>
        <v>1</v>
      </c>
      <c r="B10" s="4" t="str">
        <f>Original!C104</f>
        <v>Poland</v>
      </c>
      <c r="C10" s="4" t="s">
        <v>289</v>
      </c>
      <c r="D10" s="4" t="str">
        <f>Original!G104</f>
        <v>Targeted pension</v>
      </c>
      <c r="E10" s="61" t="str">
        <f t="shared" si="0"/>
        <v>Poland  |  Targeted pension</v>
      </c>
      <c r="F10" s="171">
        <f>Original!N$104</f>
        <v>0</v>
      </c>
    </row>
    <row r="11" spans="1:6" hidden="1">
      <c r="A11" s="4">
        <f>Original!A113</f>
        <v>1</v>
      </c>
      <c r="B11" s="4" t="str">
        <f>Original!C113</f>
        <v>Slovakia</v>
      </c>
      <c r="C11" s="4" t="s">
        <v>289</v>
      </c>
      <c r="D11" s="4" t="str">
        <f>Original!G113</f>
        <v>Targeted pension</v>
      </c>
      <c r="E11" s="61" t="str">
        <f t="shared" si="0"/>
        <v>Slovakia  |  Targeted pension</v>
      </c>
      <c r="F11" s="171">
        <f>Original!N$113</f>
        <v>0</v>
      </c>
    </row>
    <row r="12" spans="1:6">
      <c r="A12" s="4">
        <f>Original!A67</f>
        <v>1</v>
      </c>
      <c r="B12" s="4" t="str">
        <f>Original!C67</f>
        <v>Jamaica</v>
      </c>
      <c r="C12" s="4" t="s">
        <v>289</v>
      </c>
      <c r="D12" s="4" t="str">
        <f>Original!G67</f>
        <v>The Programme for Advancement through Health and Education (PATH)</v>
      </c>
      <c r="E12" s="61" t="str">
        <f t="shared" si="0"/>
        <v>Jamaica  |  The Programme for Advancement through Health and Education (PATH)</v>
      </c>
      <c r="F12" s="171">
        <f>Original!N$67</f>
        <v>3.0057890608503383E-2</v>
      </c>
    </row>
    <row r="13" spans="1:6" hidden="1">
      <c r="A13" s="4">
        <f>Original!A18</f>
        <v>0</v>
      </c>
      <c r="B13" s="4" t="str">
        <f>Original!C18</f>
        <v>Bangladesh</v>
      </c>
      <c r="C13" s="4" t="s">
        <v>289</v>
      </c>
      <c r="D13" s="4" t="str">
        <f>Original!G18</f>
        <v>Allowance for Widow, Deserted and Destitute Women</v>
      </c>
      <c r="E13" s="61" t="str">
        <f t="shared" si="0"/>
        <v>Bangladesh  |  Allowance for Widow, Deserted and Destitute Women</v>
      </c>
      <c r="F13" s="62">
        <f>Original!N$18</f>
        <v>7.7095342319132787E-2</v>
      </c>
    </row>
    <row r="14" spans="1:6">
      <c r="A14" s="4">
        <f>Original!A79</f>
        <v>1</v>
      </c>
      <c r="B14" s="4" t="str">
        <f>Original!C79</f>
        <v>Lithuania</v>
      </c>
      <c r="C14" s="4" t="s">
        <v>289</v>
      </c>
      <c r="D14" s="4" t="str">
        <f>Original!G79</f>
        <v>Old age social assistance pension</v>
      </c>
      <c r="E14" s="61" t="str">
        <f t="shared" si="0"/>
        <v>Lithuania  |  Old age social assistance pension</v>
      </c>
      <c r="F14" s="171">
        <f>Original!N$79</f>
        <v>3.1288115247023393E-2</v>
      </c>
    </row>
    <row r="15" spans="1:6">
      <c r="A15" s="4">
        <f>Original!A60</f>
        <v>1</v>
      </c>
      <c r="B15" s="4" t="str">
        <f>Original!C60</f>
        <v>India</v>
      </c>
      <c r="C15" s="4" t="s">
        <v>289</v>
      </c>
      <c r="D15" s="4" t="str">
        <f>Original!G60</f>
        <v>Indira Gandhi National Old Age Pension Scheme</v>
      </c>
      <c r="E15" s="61" t="str">
        <f t="shared" si="0"/>
        <v>India  |  Indira Gandhi National Old Age Pension Scheme</v>
      </c>
      <c r="F15" s="171">
        <f>Original!N$60</f>
        <v>3.3968394164263851E-2</v>
      </c>
    </row>
    <row r="16" spans="1:6">
      <c r="A16" s="4">
        <f>Original!A125</f>
        <v>1</v>
      </c>
      <c r="B16" s="4" t="str">
        <f>Original!C125</f>
        <v>Thailand</v>
      </c>
      <c r="C16" s="4" t="s">
        <v>289</v>
      </c>
      <c r="D16" s="4" t="str">
        <f>Original!G125</f>
        <v>Old Age Allowance (THA)</v>
      </c>
      <c r="E16" s="61" t="str">
        <f t="shared" si="0"/>
        <v>Thailand  |  Old Age Allowance (THA)</v>
      </c>
      <c r="F16" s="171">
        <f>Original!N$125</f>
        <v>4.0539336686589607E-2</v>
      </c>
    </row>
    <row r="17" spans="1:6">
      <c r="A17" s="4">
        <f>Original!A25</f>
        <v>1</v>
      </c>
      <c r="B17" s="4" t="str">
        <f>Original!C25</f>
        <v>Botswana</v>
      </c>
      <c r="C17" s="4" t="s">
        <v>289</v>
      </c>
      <c r="D17" s="4" t="str">
        <f>Original!G25</f>
        <v>Old Age Pension (OAP)</v>
      </c>
      <c r="E17" s="61" t="str">
        <f t="shared" si="0"/>
        <v>Botswana  |  Old Age Pension (OAP)</v>
      </c>
      <c r="F17" s="171">
        <f>Original!N$25</f>
        <v>4.0830308449317308E-2</v>
      </c>
    </row>
    <row r="18" spans="1:6">
      <c r="A18" s="4">
        <f>Original!A74</f>
        <v>1</v>
      </c>
      <c r="B18" s="4" t="str">
        <f>Original!C74</f>
        <v>Korea, Republic of</v>
      </c>
      <c r="C18" s="4" t="s">
        <v>289</v>
      </c>
      <c r="D18" s="4" t="str">
        <f>Original!G74</f>
        <v>Basic old-age pension</v>
      </c>
      <c r="E18" s="61" t="str">
        <f t="shared" si="0"/>
        <v>Korea, Republic of  |  Basic old-age pension</v>
      </c>
      <c r="F18" s="171">
        <f>Original!N$74</f>
        <v>4.3351839659832095E-2</v>
      </c>
    </row>
    <row r="19" spans="1:6">
      <c r="A19" s="4">
        <f>Original!A55</f>
        <v>1</v>
      </c>
      <c r="B19" s="4" t="str">
        <f>Original!C55</f>
        <v>Hong Kong</v>
      </c>
      <c r="C19" s="4" t="s">
        <v>289</v>
      </c>
      <c r="D19" s="4" t="str">
        <f>Original!G55</f>
        <v>Normal/higher old age allowance</v>
      </c>
      <c r="E19" s="61" t="str">
        <f t="shared" si="0"/>
        <v>Hong Kong  |  Normal/higher old age allowance</v>
      </c>
      <c r="F19" s="171">
        <f>Original!N$55</f>
        <v>4.6572183669497974E-2</v>
      </c>
    </row>
    <row r="20" spans="1:6">
      <c r="A20" s="4">
        <f>Original!A88</f>
        <v>1</v>
      </c>
      <c r="B20" s="4" t="str">
        <f>Original!C88</f>
        <v>Mexico</v>
      </c>
      <c r="C20" s="4" t="s">
        <v>289</v>
      </c>
      <c r="D20" s="4" t="str">
        <f>Original!G88</f>
        <v>70 y mas</v>
      </c>
      <c r="E20" s="61" t="str">
        <f t="shared" si="0"/>
        <v>Mexico  |  70 y mas</v>
      </c>
      <c r="F20" s="171">
        <f>Original!N$88</f>
        <v>4.7567060219874453E-2</v>
      </c>
    </row>
    <row r="21" spans="1:6">
      <c r="A21" s="4">
        <f>Original!A138</f>
        <v>1</v>
      </c>
      <c r="B21" s="4" t="str">
        <f>Original!C138</f>
        <v>Viet Nam [60-79 years old]</v>
      </c>
      <c r="C21" s="4" t="s">
        <v>289</v>
      </c>
      <c r="D21" s="4" t="str">
        <f>Original!G138</f>
        <v>Social assistance benefit (clause 2)</v>
      </c>
      <c r="E21" s="61" t="str">
        <f t="shared" si="0"/>
        <v>Viet Nam [60-79 years old]  |  Social assistance benefit (clause 2)</v>
      </c>
      <c r="F21" s="171">
        <f>Original!N$138</f>
        <v>5.0735839180430606E-2</v>
      </c>
    </row>
    <row r="22" spans="1:6">
      <c r="A22" s="4">
        <f>Original!A34</f>
        <v>1</v>
      </c>
      <c r="B22" s="4" t="str">
        <f>Original!C34</f>
        <v>Colombia</v>
      </c>
      <c r="C22" s="4" t="s">
        <v>289</v>
      </c>
      <c r="D22" s="4" t="str">
        <f>Original!G34</f>
        <v>Programa de Proteccion Social al Adulto Mayor (PPSAM) (Social Protection Programme for Older People) (Regional scheme)</v>
      </c>
      <c r="E22" s="61" t="str">
        <f t="shared" si="0"/>
        <v>Colombia  |  Programa de Proteccion Social al Adulto Mayor (PPSAM) (Social Protection Programme for Older People) (Regional scheme)</v>
      </c>
      <c r="F22" s="171">
        <f>Original!N$34</f>
        <v>5.1453174785808312E-2</v>
      </c>
    </row>
    <row r="23" spans="1:6">
      <c r="A23" s="4">
        <f>Original!A91</f>
        <v>1</v>
      </c>
      <c r="B23" s="4" t="str">
        <f>Original!C91</f>
        <v>Moldova, Republic of</v>
      </c>
      <c r="C23" s="4" t="s">
        <v>289</v>
      </c>
      <c r="D23" s="4" t="str">
        <f>Original!G91</f>
        <v>State Social Allocation for Older Persons</v>
      </c>
      <c r="E23" s="61" t="str">
        <f t="shared" si="0"/>
        <v>Moldova, Republic of  |  State Social Allocation for Older Persons</v>
      </c>
      <c r="F23" s="171">
        <f>Original!N$91</f>
        <v>5.3262306369880316E-2</v>
      </c>
    </row>
    <row r="24" spans="1:6">
      <c r="A24" s="4">
        <f>Original!A103</f>
        <v>1</v>
      </c>
      <c r="B24" s="4" t="str">
        <f>Original!C103</f>
        <v>Philippines</v>
      </c>
      <c r="C24" s="4" t="s">
        <v>289</v>
      </c>
      <c r="D24" s="4" t="str">
        <f>Original!G103</f>
        <v>Old Age Grant</v>
      </c>
      <c r="E24" s="61" t="str">
        <f t="shared" si="0"/>
        <v>Philippines  |  Old Age Grant</v>
      </c>
      <c r="F24" s="171">
        <f>Original!N$103</f>
        <v>5.9080227788544652E-2</v>
      </c>
    </row>
    <row r="25" spans="1:6">
      <c r="A25" s="4">
        <f>Original!A70</f>
        <v>1</v>
      </c>
      <c r="B25" s="4" t="str">
        <f>Original!C70</f>
        <v>Kazakhstan</v>
      </c>
      <c r="C25" s="4" t="s">
        <v>289</v>
      </c>
      <c r="D25" s="4" t="str">
        <f>Original!G70</f>
        <v>State social benefit</v>
      </c>
      <c r="E25" s="61" t="str">
        <f t="shared" si="0"/>
        <v>Kazakhstan  |  State social benefit</v>
      </c>
      <c r="F25" s="171">
        <f>Original!N$70</f>
        <v>6.0696450994736591E-2</v>
      </c>
    </row>
    <row r="26" spans="1:6">
      <c r="A26" s="4">
        <f>Original!A59</f>
        <v>1</v>
      </c>
      <c r="B26" s="4" t="str">
        <f>Original!C59</f>
        <v>Iceland</v>
      </c>
      <c r="C26" s="4" t="s">
        <v>289</v>
      </c>
      <c r="D26" s="4" t="str">
        <f>Original!G59</f>
        <v>lífeyristryggingar almannatrygginga (National Basic Pension)</v>
      </c>
      <c r="E26" s="61" t="str">
        <f t="shared" si="0"/>
        <v>Iceland  |  lífeyristryggingar almannatrygginga (National Basic Pension)</v>
      </c>
      <c r="F26" s="171">
        <f>Original!N$59</f>
        <v>6.1681702661720267E-2</v>
      </c>
    </row>
    <row r="27" spans="1:6">
      <c r="A27" s="4">
        <f>Original!A38</f>
        <v>1</v>
      </c>
      <c r="B27" s="4" t="str">
        <f>Original!C38</f>
        <v>Czech republic</v>
      </c>
      <c r="C27" s="4" t="s">
        <v>289</v>
      </c>
      <c r="D27" s="4" t="str">
        <f>Original!G38</f>
        <v>Basic pension</v>
      </c>
      <c r="E27" s="61" t="str">
        <f t="shared" si="0"/>
        <v>Czech republic  |  Basic pension</v>
      </c>
      <c r="F27" s="171">
        <f>Original!N$38</f>
        <v>6.528982497002668E-2</v>
      </c>
    </row>
    <row r="28" spans="1:6">
      <c r="A28" s="4">
        <f>Original!A129</f>
        <v>1</v>
      </c>
      <c r="B28" s="4" t="str">
        <f>Original!C129</f>
        <v>Turkmenistan</v>
      </c>
      <c r="C28" s="4" t="s">
        <v>289</v>
      </c>
      <c r="D28" s="4" t="str">
        <f>Original!G129</f>
        <v xml:space="preserve">Social Allowance </v>
      </c>
      <c r="E28" s="61" t="str">
        <f t="shared" si="0"/>
        <v xml:space="preserve">Turkmenistan  |  Social Allowance </v>
      </c>
      <c r="F28" s="171">
        <f>Original!N$129</f>
        <v>6.7887512144238923E-2</v>
      </c>
    </row>
    <row r="29" spans="1:6">
      <c r="A29" s="4">
        <f>Original!A17</f>
        <v>1</v>
      </c>
      <c r="B29" s="4" t="str">
        <f>Original!C17</f>
        <v>Bangladesh</v>
      </c>
      <c r="C29" s="4" t="s">
        <v>289</v>
      </c>
      <c r="D29" s="4" t="str">
        <f>Original!G17</f>
        <v>Old Age Allowance</v>
      </c>
      <c r="E29" s="61" t="str">
        <f t="shared" si="0"/>
        <v>Bangladesh  |  Old Age Allowance</v>
      </c>
      <c r="F29" s="171">
        <f>Original!N$17</f>
        <v>7.0000000000000007E-2</v>
      </c>
    </row>
    <row r="30" spans="1:6">
      <c r="A30" s="4">
        <f>Original!A28</f>
        <v>1</v>
      </c>
      <c r="B30" s="4" t="str">
        <f>Original!C28</f>
        <v>Brunei Darussalam</v>
      </c>
      <c r="C30" s="4" t="s">
        <v>289</v>
      </c>
      <c r="D30" s="4" t="str">
        <f>Original!G28</f>
        <v>Old Age pension</v>
      </c>
      <c r="E30" s="61" t="str">
        <f t="shared" si="0"/>
        <v>Brunei Darussalam  |  Old Age pension</v>
      </c>
      <c r="F30" s="171">
        <f>Original!N$28</f>
        <v>7.0000000000000007E-2</v>
      </c>
    </row>
    <row r="31" spans="1:6">
      <c r="A31" s="4">
        <f>Original!A137</f>
        <v>1</v>
      </c>
      <c r="B31" s="4" t="str">
        <f>Original!C137</f>
        <v>Viet Nam  [80 years old and over]</v>
      </c>
      <c r="C31" s="4" t="s">
        <v>289</v>
      </c>
      <c r="D31" s="4" t="str">
        <f>Original!G137</f>
        <v>Social assistance benefit (clause 3)</v>
      </c>
      <c r="E31" s="61" t="str">
        <f t="shared" si="0"/>
        <v>Viet Nam  [80 years old and over]  |  Social assistance benefit (clause 3)</v>
      </c>
      <c r="F31" s="171">
        <f>Original!N$137</f>
        <v>7.6103758770645902E-2</v>
      </c>
    </row>
    <row r="32" spans="1:6">
      <c r="A32" s="4">
        <f>Original!A10</f>
        <v>1</v>
      </c>
      <c r="B32" s="4" t="str">
        <f>Original!C10</f>
        <v>Antigua and Barbuda</v>
      </c>
      <c r="C32" s="4" t="s">
        <v>289</v>
      </c>
      <c r="D32" s="4" t="str">
        <f>Original!G10</f>
        <v>Old Age Assistance Programme</v>
      </c>
      <c r="E32" s="61" t="str">
        <f t="shared" si="0"/>
        <v>Antigua and Barbuda  |  Old Age Assistance Programme</v>
      </c>
      <c r="F32" s="171">
        <f>Original!N$10</f>
        <v>8.1759944253611869E-2</v>
      </c>
    </row>
    <row r="33" spans="1:6">
      <c r="A33" s="4">
        <f>Original!A77</f>
        <v>1</v>
      </c>
      <c r="B33" s="4" t="str">
        <f>Original!C77</f>
        <v>Latvia</v>
      </c>
      <c r="C33" s="4" t="s">
        <v>289</v>
      </c>
      <c r="D33" s="4" t="str">
        <f>Original!G77</f>
        <v>State social security benefit</v>
      </c>
      <c r="E33" s="61" t="str">
        <f t="shared" si="0"/>
        <v>Latvia  |  State social security benefit</v>
      </c>
      <c r="F33" s="171">
        <f>Original!N$77</f>
        <v>8.5022512859261448E-2</v>
      </c>
    </row>
    <row r="34" spans="1:6">
      <c r="A34" s="4">
        <f>Original!A87</f>
        <v>1</v>
      </c>
      <c r="B34" s="4" t="str">
        <f>Original!C87</f>
        <v>Mexico</v>
      </c>
      <c r="C34" s="4" t="s">
        <v>289</v>
      </c>
      <c r="D34" s="4" t="str">
        <f>Original!G87</f>
        <v>Pension Alimentaria Ciudadana</v>
      </c>
      <c r="E34" s="61" t="str">
        <f t="shared" si="0"/>
        <v>Mexico  |  Pension Alimentaria Ciudadana</v>
      </c>
      <c r="F34" s="171">
        <f>Original!N$87</f>
        <v>8.5335306034454772E-2</v>
      </c>
    </row>
    <row r="35" spans="1:6" hidden="1">
      <c r="A35" s="4">
        <f>Original!A40</f>
        <v>0</v>
      </c>
      <c r="B35" s="4" t="str">
        <f>Original!C40</f>
        <v>Czech republic</v>
      </c>
      <c r="C35" s="4" t="s">
        <v>289</v>
      </c>
      <c r="D35" s="4" t="str">
        <f>Original!G40</f>
        <v>Minimum pension</v>
      </c>
      <c r="E35" s="61" t="str">
        <f t="shared" si="0"/>
        <v>Czech republic  |  Minimum pension</v>
      </c>
      <c r="F35" s="62">
        <f>Original!N$40</f>
        <v>9.180753849631447E-2</v>
      </c>
    </row>
    <row r="36" spans="1:6">
      <c r="A36" s="4">
        <f>Original!A128</f>
        <v>1</v>
      </c>
      <c r="B36" s="4" t="str">
        <f>Original!C128</f>
        <v>Turkey</v>
      </c>
      <c r="C36" s="4" t="s">
        <v>289</v>
      </c>
      <c r="D36" s="4" t="str">
        <f>Original!G128</f>
        <v>Means-tested Old Age Pension</v>
      </c>
      <c r="E36" s="61" t="str">
        <f t="shared" si="0"/>
        <v>Turkey  |  Means-tested Old Age Pension</v>
      </c>
      <c r="F36" s="171">
        <f>Original!N$128</f>
        <v>8.6046236691140976E-2</v>
      </c>
    </row>
    <row r="37" spans="1:6">
      <c r="A37" s="4">
        <f>Original!A20</f>
        <v>1</v>
      </c>
      <c r="B37" s="4" t="str">
        <f>Original!C20</f>
        <v>Belarus</v>
      </c>
      <c r="C37" s="4" t="s">
        <v>289</v>
      </c>
      <c r="D37" s="4" t="str">
        <f>Original!G20</f>
        <v>Social old-age pension (social assistance</v>
      </c>
      <c r="E37" s="61" t="str">
        <f t="shared" ref="E37:E68" si="1">CONCATENATE(B37,C37,D37)</f>
        <v>Belarus  |  Social old-age pension (social assistance</v>
      </c>
      <c r="F37" s="171">
        <f>Original!N$20</f>
        <v>0.09</v>
      </c>
    </row>
    <row r="38" spans="1:6">
      <c r="A38" s="4">
        <f>Original!A102</f>
        <v>1</v>
      </c>
      <c r="B38" s="4" t="str">
        <f>Original!C102</f>
        <v>Peru</v>
      </c>
      <c r="C38" s="4" t="s">
        <v>289</v>
      </c>
      <c r="D38" s="4" t="str">
        <f>Original!G102</f>
        <v>Pension 65</v>
      </c>
      <c r="E38" s="61" t="str">
        <f t="shared" si="1"/>
        <v>Peru  |  Pension 65</v>
      </c>
      <c r="F38" s="171">
        <f>Original!N$102</f>
        <v>9.2534855412437722E-2</v>
      </c>
    </row>
    <row r="39" spans="1:6">
      <c r="A39" s="4">
        <f>Original!A126</f>
        <v>1</v>
      </c>
      <c r="B39" s="4" t="str">
        <f>Original!C126</f>
        <v>Timor-Leste</v>
      </c>
      <c r="C39" s="4" t="s">
        <v>289</v>
      </c>
      <c r="D39" s="4" t="str">
        <f>Original!G126</f>
        <v>Support allowance for the elderly</v>
      </c>
      <c r="E39" s="61" t="str">
        <f t="shared" si="1"/>
        <v>Timor-Leste  |  Support allowance for the elderly</v>
      </c>
      <c r="F39" s="171">
        <f>Original!N$126</f>
        <v>9.4877560508164219E-2</v>
      </c>
    </row>
    <row r="40" spans="1:6">
      <c r="A40" s="4">
        <f>Original!A120</f>
        <v>1</v>
      </c>
      <c r="B40" s="4" t="str">
        <f>Original!C120</f>
        <v>Swaziland</v>
      </c>
      <c r="C40" s="4" t="s">
        <v>289</v>
      </c>
      <c r="D40" s="4" t="str">
        <f>Original!G120</f>
        <v>Old Age Grant</v>
      </c>
      <c r="E40" s="61" t="str">
        <f t="shared" si="1"/>
        <v>Swaziland  |  Old Age Grant</v>
      </c>
      <c r="F40" s="171">
        <f>Original!N$120</f>
        <v>9.7904497018706085E-2</v>
      </c>
    </row>
    <row r="41" spans="1:6">
      <c r="A41" s="4">
        <f>Original!A61</f>
        <v>1</v>
      </c>
      <c r="B41" s="4" t="str">
        <f>Original!C61</f>
        <v xml:space="preserve">Indonesia </v>
      </c>
      <c r="C41" s="4" t="s">
        <v>289</v>
      </c>
      <c r="D41" s="4" t="str">
        <f>Original!G61</f>
        <v>Program Jaminan Sosial Lanjut Usia (Elderly Social Security Programme) (Pilot)</v>
      </c>
      <c r="E41" s="61" t="str">
        <f t="shared" si="1"/>
        <v>Indonesia   |  Program Jaminan Sosial Lanjut Usia (Elderly Social Security Programme) (Pilot)</v>
      </c>
      <c r="F41" s="171">
        <f>Original!N$61</f>
        <v>0.10151921696922414</v>
      </c>
    </row>
    <row r="42" spans="1:6">
      <c r="A42" s="4">
        <f>Original!A57</f>
        <v>1</v>
      </c>
      <c r="B42" s="4" t="str">
        <f>Original!C57</f>
        <v>Hungary</v>
      </c>
      <c r="C42" s="4" t="s">
        <v>289</v>
      </c>
      <c r="D42" s="4" t="str">
        <f>Original!G57</f>
        <v>Idoskoruak jaradeka (Old Age Allowance)</v>
      </c>
      <c r="E42" s="61" t="str">
        <f t="shared" si="1"/>
        <v>Hungary  |  Idoskoruak jaradeka (Old Age Allowance)</v>
      </c>
      <c r="F42" s="171">
        <f>Original!N$57</f>
        <v>0.1035310359447822</v>
      </c>
    </row>
    <row r="43" spans="1:6" hidden="1">
      <c r="A43" s="4">
        <f>Original!A48</f>
        <v>0</v>
      </c>
      <c r="B43" s="4" t="str">
        <f>Original!C48</f>
        <v>France</v>
      </c>
      <c r="C43" s="4" t="s">
        <v>289</v>
      </c>
      <c r="D43" s="4" t="str">
        <f>Original!G48</f>
        <v>Minimum pension</v>
      </c>
      <c r="E43" s="61" t="str">
        <f t="shared" si="1"/>
        <v>France  |  Minimum pension</v>
      </c>
      <c r="F43" s="62">
        <f>Original!N$48</f>
        <v>0.25590798453930363</v>
      </c>
    </row>
    <row r="44" spans="1:6">
      <c r="A44" s="4">
        <f>Original!A139</f>
        <v>1</v>
      </c>
      <c r="B44" s="4" t="str">
        <f>Original!C139</f>
        <v>Zambia</v>
      </c>
      <c r="C44" s="4" t="s">
        <v>289</v>
      </c>
      <c r="D44" s="4" t="str">
        <f>Original!G139</f>
        <v>Social Cash Transfer Programme, Katete (Pilot)</v>
      </c>
      <c r="E44" s="61" t="str">
        <f t="shared" si="1"/>
        <v>Zambia  |  Social Cash Transfer Programme, Katete (Pilot)</v>
      </c>
      <c r="F44" s="171">
        <f>Original!N$139</f>
        <v>0.10477519091026416</v>
      </c>
    </row>
    <row r="45" spans="1:6">
      <c r="A45" s="4">
        <f>Original!A39</f>
        <v>1</v>
      </c>
      <c r="B45" s="4" t="str">
        <f>Original!C39</f>
        <v>Czech republic</v>
      </c>
      <c r="C45" s="4" t="s">
        <v>289</v>
      </c>
      <c r="D45" s="4" t="str">
        <f>Original!G39</f>
        <v>Targeted pension</v>
      </c>
      <c r="E45" s="61" t="str">
        <f t="shared" si="1"/>
        <v>Czech republic  |  Targeted pension</v>
      </c>
      <c r="F45" s="171">
        <f>Original!N$39</f>
        <v>0.10766682785951902</v>
      </c>
    </row>
    <row r="46" spans="1:6">
      <c r="A46" s="4">
        <f>Original!A109</f>
        <v>1</v>
      </c>
      <c r="B46" s="4" t="str">
        <f>Original!C109</f>
        <v>Saint Vincent and the Grenadines</v>
      </c>
      <c r="C46" s="4" t="s">
        <v>289</v>
      </c>
      <c r="D46" s="4" t="str">
        <f>Original!G109</f>
        <v>Elderly Assistance Benefit</v>
      </c>
      <c r="E46" s="61" t="str">
        <f t="shared" si="1"/>
        <v>Saint Vincent and the Grenadines  |  Elderly Assistance Benefit</v>
      </c>
      <c r="F46" s="171">
        <f>Original!N$109</f>
        <v>0.11745640033478086</v>
      </c>
    </row>
    <row r="47" spans="1:6" hidden="1">
      <c r="A47" s="4">
        <f>Original!A52</f>
        <v>0</v>
      </c>
      <c r="B47" s="4" t="str">
        <f>Original!C52</f>
        <v>Greece</v>
      </c>
      <c r="C47" s="4" t="s">
        <v>289</v>
      </c>
      <c r="D47" s="4" t="str">
        <f>Original!G52</f>
        <v>Minimum pension</v>
      </c>
      <c r="E47" s="61" t="str">
        <f t="shared" si="1"/>
        <v>Greece  |  Minimum pension</v>
      </c>
      <c r="F47" s="62">
        <f>Original!N$52</f>
        <v>0</v>
      </c>
    </row>
    <row r="48" spans="1:6">
      <c r="A48" s="4">
        <f>Original!A43</f>
        <v>1</v>
      </c>
      <c r="B48" s="4" t="str">
        <f>Original!C43</f>
        <v>Ecuador</v>
      </c>
      <c r="C48" s="4" t="s">
        <v>289</v>
      </c>
      <c r="D48" s="4" t="str">
        <f>Original!G43</f>
        <v>Pension para Adultos Mayores (Pension for Older People/ Bono de Desarollo Humano )</v>
      </c>
      <c r="E48" s="61" t="str">
        <f t="shared" si="1"/>
        <v>Ecuador  |  Pension para Adultos Mayores (Pension for Older People/ Bono de Desarollo Humano )</v>
      </c>
      <c r="F48" s="171">
        <f>Original!N$43</f>
        <v>0.11765635268668281</v>
      </c>
    </row>
    <row r="49" spans="1:6">
      <c r="A49" s="4">
        <f>Original!A16</f>
        <v>1</v>
      </c>
      <c r="B49" s="4" t="str">
        <f>Original!C16</f>
        <v>Bahamas</v>
      </c>
      <c r="C49" s="4" t="s">
        <v>289</v>
      </c>
      <c r="D49" s="4" t="str">
        <f>Original!G16</f>
        <v>Old Age Non-Contributory Pension (OANCP)</v>
      </c>
      <c r="E49" s="61" t="str">
        <f t="shared" si="1"/>
        <v>Bahamas  |  Old Age Non-Contributory Pension (OANCP)</v>
      </c>
      <c r="F49" s="171">
        <f>Original!N$16</f>
        <v>0.12</v>
      </c>
    </row>
    <row r="50" spans="1:6">
      <c r="A50" s="4">
        <f>Original!A114</f>
        <v>1</v>
      </c>
      <c r="B50" s="4" t="str">
        <f>Original!C114</f>
        <v>Slovenia</v>
      </c>
      <c r="C50" s="4" t="s">
        <v>289</v>
      </c>
      <c r="D50" s="4" t="str">
        <f>Original!G114</f>
        <v>State pension</v>
      </c>
      <c r="E50" s="61" t="str">
        <f t="shared" si="1"/>
        <v>Slovenia  |  State pension</v>
      </c>
      <c r="F50" s="171">
        <f>Original!N$114</f>
        <v>0.12403578635788731</v>
      </c>
    </row>
    <row r="51" spans="1:6" hidden="1">
      <c r="A51" s="4">
        <f>Original!A56</f>
        <v>0</v>
      </c>
      <c r="B51" s="4" t="str">
        <f>Original!C56</f>
        <v>Hungary</v>
      </c>
      <c r="C51" s="4" t="s">
        <v>289</v>
      </c>
      <c r="D51" s="4" t="str">
        <f>Original!G56</f>
        <v>Minimum pension</v>
      </c>
      <c r="E51" s="61" t="str">
        <f t="shared" si="1"/>
        <v>Hungary  |  Minimum pension</v>
      </c>
      <c r="F51" s="62">
        <f>Original!N$56</f>
        <v>0</v>
      </c>
    </row>
    <row r="52" spans="1:6">
      <c r="A52" s="4">
        <f>Original!A124</f>
        <v>1</v>
      </c>
      <c r="B52" s="4" t="str">
        <f>Original!C124</f>
        <v>Tajikistan</v>
      </c>
      <c r="C52" s="4" t="s">
        <v>289</v>
      </c>
      <c r="D52" s="4" t="str">
        <f>Original!G124</f>
        <v>Old age pension</v>
      </c>
      <c r="E52" s="61" t="str">
        <f t="shared" si="1"/>
        <v>Tajikistan  |  Old age pension</v>
      </c>
      <c r="F52" s="171">
        <f>Original!N$124</f>
        <v>0.12529718927080169</v>
      </c>
    </row>
    <row r="53" spans="1:6" hidden="1">
      <c r="A53" s="4">
        <f>Original!A58</f>
        <v>0</v>
      </c>
      <c r="B53" s="4" t="str">
        <f>Original!C58</f>
        <v>Iceland</v>
      </c>
      <c r="C53" s="4" t="s">
        <v>289</v>
      </c>
      <c r="D53" s="4" t="str">
        <f>Original!G58</f>
        <v>Targeted pension</v>
      </c>
      <c r="E53" s="61" t="str">
        <f t="shared" si="1"/>
        <v>Iceland  |  Targeted pension</v>
      </c>
      <c r="F53" s="62">
        <f>Original!N$58</f>
        <v>0</v>
      </c>
    </row>
    <row r="54" spans="1:6">
      <c r="A54" s="4">
        <f>Original!A31</f>
        <v>1</v>
      </c>
      <c r="B54" s="4" t="str">
        <f>Original!C31</f>
        <v>Canada basic</v>
      </c>
      <c r="C54" s="4" t="s">
        <v>289</v>
      </c>
      <c r="D54" s="4" t="str">
        <f>Original!G31</f>
        <v>Pension de la Securite Vieillesse (S.V.) (Old Age Security Pension)</v>
      </c>
      <c r="E54" s="61" t="str">
        <f t="shared" si="1"/>
        <v>Canada basic  |  Pension de la Securite Vieillesse (S.V.) (Old Age Security Pension)</v>
      </c>
      <c r="F54" s="171">
        <f>Original!N$31</f>
        <v>0.12557590302920207</v>
      </c>
    </row>
    <row r="55" spans="1:6">
      <c r="A55" s="4">
        <f>Original!A12</f>
        <v>1</v>
      </c>
      <c r="B55" s="4" t="str">
        <f>Original!C12</f>
        <v>Armenia</v>
      </c>
      <c r="C55" s="4" t="s">
        <v>289</v>
      </c>
      <c r="D55" s="4" t="str">
        <f>Original!G12</f>
        <v>Old Age Social Pension</v>
      </c>
      <c r="E55" s="61" t="str">
        <f t="shared" si="1"/>
        <v>Armenia  |  Old Age Social Pension</v>
      </c>
      <c r="F55" s="171">
        <f>Original!N$12</f>
        <v>0.12560635787184468</v>
      </c>
    </row>
    <row r="56" spans="1:6">
      <c r="A56" s="4">
        <f>Original!A29</f>
        <v>1</v>
      </c>
      <c r="B56" s="4" t="str">
        <f>Original!C29</f>
        <v>Bulgaria</v>
      </c>
      <c r="C56" s="4" t="s">
        <v>289</v>
      </c>
      <c r="D56" s="4" t="str">
        <f>Original!G29</f>
        <v xml:space="preserve">Pensions not Related to Labour Activity Fund </v>
      </c>
      <c r="E56" s="61" t="str">
        <f t="shared" si="1"/>
        <v xml:space="preserve">Bulgaria  |  Pensions not Related to Labour Activity Fund </v>
      </c>
      <c r="F56" s="171">
        <f>Original!N$29</f>
        <v>0.12899928379853079</v>
      </c>
    </row>
    <row r="57" spans="1:6" hidden="1">
      <c r="A57" s="4">
        <f>Original!A62</f>
        <v>0</v>
      </c>
      <c r="B57" s="4" t="str">
        <f>Original!C62</f>
        <v>Ireland</v>
      </c>
      <c r="C57" s="4" t="s">
        <v>289</v>
      </c>
      <c r="D57" s="4" t="str">
        <f>Original!G62</f>
        <v>Basic pension</v>
      </c>
      <c r="E57" s="61" t="str">
        <f t="shared" si="1"/>
        <v>Ireland  |  Basic pension</v>
      </c>
      <c r="F57" s="62">
        <f>Original!N$62</f>
        <v>0</v>
      </c>
    </row>
    <row r="58" spans="1:6">
      <c r="A58" s="4">
        <f>Original!A45</f>
        <v>1</v>
      </c>
      <c r="B58" s="4" t="str">
        <f>Original!C45</f>
        <v>Estonia</v>
      </c>
      <c r="C58" s="4" t="s">
        <v>289</v>
      </c>
      <c r="D58" s="4" t="str">
        <f>Original!G45</f>
        <v>National Pension</v>
      </c>
      <c r="E58" s="61" t="str">
        <f t="shared" si="1"/>
        <v>Estonia  |  National Pension</v>
      </c>
      <c r="F58" s="171">
        <f>Original!N$45</f>
        <v>0.12932917976403588</v>
      </c>
    </row>
    <row r="59" spans="1:6">
      <c r="A59" s="4">
        <f>Original!A33</f>
        <v>1</v>
      </c>
      <c r="B59" s="4" t="str">
        <f>Original!C33</f>
        <v>Chile</v>
      </c>
      <c r="C59" s="4" t="s">
        <v>289</v>
      </c>
      <c r="D59" s="4" t="str">
        <f>Original!G33</f>
        <v>Pension Basica Solidaria de Vejez (PBS-Vejez)</v>
      </c>
      <c r="E59" s="61" t="str">
        <f t="shared" si="1"/>
        <v>Chile  |  Pension Basica Solidaria de Vejez (PBS-Vejez)</v>
      </c>
      <c r="F59" s="171">
        <f>Original!N$33</f>
        <v>0.13629576476424357</v>
      </c>
    </row>
    <row r="60" spans="1:6">
      <c r="A60" s="4">
        <f>Original!A30</f>
        <v>1</v>
      </c>
      <c r="B60" s="4" t="str">
        <f>Original!C30</f>
        <v>Canada Targeted</v>
      </c>
      <c r="C60" s="4" t="s">
        <v>289</v>
      </c>
      <c r="D60" s="4" t="str">
        <f>Original!G30</f>
        <v>Canada targeted pension</v>
      </c>
      <c r="E60" s="61" t="str">
        <f t="shared" si="1"/>
        <v>Canada Targeted  |  Canada targeted pension</v>
      </c>
      <c r="F60" s="171">
        <f>Original!N$30</f>
        <v>0.13680646639199609</v>
      </c>
    </row>
    <row r="61" spans="1:6" hidden="1">
      <c r="A61" s="4">
        <f>Original!A66</f>
        <v>0</v>
      </c>
      <c r="B61" s="4" t="str">
        <f>Original!C66</f>
        <v>Italy</v>
      </c>
      <c r="C61" s="4" t="s">
        <v>289</v>
      </c>
      <c r="D61" s="4" t="str">
        <f>Original!G66</f>
        <v>Minimum pension</v>
      </c>
      <c r="E61" s="61" t="str">
        <f t="shared" si="1"/>
        <v>Italy  |  Minimum pension</v>
      </c>
      <c r="F61" s="62">
        <f>Original!N$66</f>
        <v>0.21303017763354892</v>
      </c>
    </row>
    <row r="62" spans="1:6">
      <c r="A62" s="4">
        <f>Original!A100</f>
        <v>1</v>
      </c>
      <c r="B62" s="4" t="str">
        <f>Original!C100</f>
        <v>Panama</v>
      </c>
      <c r="C62" s="4" t="s">
        <v>289</v>
      </c>
      <c r="D62" s="4" t="str">
        <f>Original!G100</f>
        <v>100 a los 70</v>
      </c>
      <c r="E62" s="61" t="str">
        <f t="shared" si="1"/>
        <v>Panama  |  100 a los 70</v>
      </c>
      <c r="F62" s="171">
        <f>Original!N$100</f>
        <v>0.14094076788053861</v>
      </c>
    </row>
    <row r="63" spans="1:6">
      <c r="A63" s="4">
        <f>Original!A98</f>
        <v>1</v>
      </c>
      <c r="B63" s="4" t="str">
        <f>Original!C98</f>
        <v>Norway</v>
      </c>
      <c r="C63" s="4" t="s">
        <v>289</v>
      </c>
      <c r="D63" s="4" t="str">
        <f>Original!G98</f>
        <v>Grunnpensjon (Basic Pension)</v>
      </c>
      <c r="E63" s="61" t="str">
        <f t="shared" si="1"/>
        <v>Norway  |  Grunnpensjon (Basic Pension)</v>
      </c>
      <c r="F63" s="171">
        <f>Original!N$98</f>
        <v>0.14176719859516865</v>
      </c>
    </row>
    <row r="64" spans="1:6">
      <c r="A64" s="4">
        <f>Original!A92</f>
        <v>1</v>
      </c>
      <c r="B64" s="4" t="str">
        <f>Original!C92</f>
        <v>Mongolia</v>
      </c>
      <c r="C64" s="4" t="s">
        <v>289</v>
      </c>
      <c r="D64" s="4" t="str">
        <f>Original!G92</f>
        <v>Social welfare pension</v>
      </c>
      <c r="E64" s="61" t="str">
        <f t="shared" si="1"/>
        <v>Mongolia  |  Social welfare pension</v>
      </c>
      <c r="F64" s="171">
        <f>Original!N$92</f>
        <v>0.14393399197140991</v>
      </c>
    </row>
    <row r="65" spans="1:6">
      <c r="A65" s="4">
        <f>Original!A106</f>
        <v>1</v>
      </c>
      <c r="B65" s="4" t="str">
        <f>Original!C106</f>
        <v>Portugal</v>
      </c>
      <c r="C65" s="4" t="s">
        <v>289</v>
      </c>
      <c r="D65" s="4" t="str">
        <f>Original!G106</f>
        <v>Pensao Social de Velhice (Old Age Social Pension)</v>
      </c>
      <c r="E65" s="61" t="str">
        <f t="shared" si="1"/>
        <v>Portugal  |  Pensao Social de Velhice (Old Age Social Pension)</v>
      </c>
      <c r="F65" s="171">
        <f>Original!N$106</f>
        <v>0.14475893390058159</v>
      </c>
    </row>
    <row r="66" spans="1:6">
      <c r="A66" s="4">
        <f>Original!A22</f>
        <v>1</v>
      </c>
      <c r="B66" s="4" t="str">
        <f>Original!C22</f>
        <v>Belize</v>
      </c>
      <c r="C66" s="4" t="s">
        <v>289</v>
      </c>
      <c r="D66" s="4" t="str">
        <f>Original!G22</f>
        <v>Non-Contributory Pension Programme (NCP)</v>
      </c>
      <c r="E66" s="61" t="str">
        <f t="shared" si="1"/>
        <v>Belize  |  Non-Contributory Pension Programme (NCP)</v>
      </c>
      <c r="F66" s="171">
        <f>Original!N$22</f>
        <v>0.14604612964368882</v>
      </c>
    </row>
    <row r="67" spans="1:6">
      <c r="A67" s="4">
        <f>Original!A86</f>
        <v>1</v>
      </c>
      <c r="B67" s="4" t="str">
        <f>Original!C86</f>
        <v>Mauritius</v>
      </c>
      <c r="C67" s="4" t="s">
        <v>289</v>
      </c>
      <c r="D67" s="4" t="str">
        <f>Original!G86</f>
        <v>Basic Retirement Pension</v>
      </c>
      <c r="E67" s="61" t="str">
        <f t="shared" si="1"/>
        <v>Mauritius  |  Basic Retirement Pension</v>
      </c>
      <c r="F67" s="171">
        <f>Original!N$86</f>
        <v>0.14984172075196539</v>
      </c>
    </row>
    <row r="68" spans="1:6">
      <c r="A68" s="4">
        <f>Original!A24</f>
        <v>1</v>
      </c>
      <c r="B68" s="4" t="str">
        <f>Original!C24</f>
        <v>Bolivia</v>
      </c>
      <c r="C68" s="4" t="s">
        <v>289</v>
      </c>
      <c r="D68" s="4" t="str">
        <f>Original!G24</f>
        <v>Renta Dignidad or Renta Universal de Vejez (previously Bonosol)</v>
      </c>
      <c r="E68" s="61" t="str">
        <f t="shared" si="1"/>
        <v>Bolivia  |  Renta Dignidad or Renta Universal de Vejez (previously Bonosol)</v>
      </c>
      <c r="F68" s="171">
        <f>Original!N$24</f>
        <v>0.15015132438160333</v>
      </c>
    </row>
    <row r="69" spans="1:6">
      <c r="A69" s="4">
        <f>Original!A64</f>
        <v>1</v>
      </c>
      <c r="B69" s="4" t="str">
        <f>Original!C64</f>
        <v>Israel</v>
      </c>
      <c r="C69" s="4" t="s">
        <v>289</v>
      </c>
      <c r="D69" s="4" t="str">
        <f>Original!G64</f>
        <v>Income support benefit | Special old age benefit</v>
      </c>
      <c r="E69" s="61" t="str">
        <f t="shared" ref="E69:E100" si="2">CONCATENATE(B69,C69,D69)</f>
        <v>Israel  |  Income support benefit | Special old age benefit</v>
      </c>
      <c r="F69" s="171">
        <f>Original!N$64</f>
        <v>0.15288934669664681</v>
      </c>
    </row>
    <row r="70" spans="1:6">
      <c r="A70" s="4">
        <f>Original!A93</f>
        <v>1</v>
      </c>
      <c r="B70" s="4" t="str">
        <f>Original!C93</f>
        <v>Namibia</v>
      </c>
      <c r="C70" s="4" t="s">
        <v>289</v>
      </c>
      <c r="D70" s="4" t="str">
        <f>Original!G93</f>
        <v>Old Age Pension (OAP)</v>
      </c>
      <c r="E70" s="61" t="str">
        <f t="shared" si="2"/>
        <v>Namibia  |  Old Age Pension (OAP)</v>
      </c>
      <c r="F70" s="171">
        <f>Original!N$93</f>
        <v>0.15608766070330291</v>
      </c>
    </row>
    <row r="71" spans="1:6">
      <c r="A71" s="4">
        <f>Original!A133</f>
        <v>1</v>
      </c>
      <c r="B71" s="4" t="str">
        <f>Original!C133</f>
        <v>United States of America</v>
      </c>
      <c r="C71" s="4" t="s">
        <v>289</v>
      </c>
      <c r="D71" s="4" t="str">
        <f>Original!G133</f>
        <v>Old age supplemental income benefit</v>
      </c>
      <c r="E71" s="61" t="str">
        <f t="shared" si="2"/>
        <v>United States of America  |  Old age supplemental income benefit</v>
      </c>
      <c r="F71" s="171">
        <f>Original!N$133</f>
        <v>0.16715341902109188</v>
      </c>
    </row>
    <row r="72" spans="1:6">
      <c r="A72" s="4">
        <f>Original!A44</f>
        <v>1</v>
      </c>
      <c r="B72" s="4" t="str">
        <f>Original!C44</f>
        <v>El Salvador</v>
      </c>
      <c r="C72" s="4" t="s">
        <v>289</v>
      </c>
      <c r="D72" s="4" t="str">
        <f>Original!G44</f>
        <v>Pension Basica Universal (Universal basic pension)</v>
      </c>
      <c r="E72" s="61" t="str">
        <f t="shared" si="2"/>
        <v>El Salvador  |  Pension Basica Universal (Universal basic pension)</v>
      </c>
      <c r="F72" s="171">
        <f>Original!N$44</f>
        <v>0.16911808021665153</v>
      </c>
    </row>
    <row r="73" spans="1:6">
      <c r="A73" s="4">
        <f>Original!A15</f>
        <v>1</v>
      </c>
      <c r="B73" s="4" t="str">
        <f>Original!C15</f>
        <v>Azerbaijan</v>
      </c>
      <c r="C73" s="4" t="s">
        <v>289</v>
      </c>
      <c r="D73" s="4" t="str">
        <f>Original!G15</f>
        <v>Social Allowance (Old Age)</v>
      </c>
      <c r="E73" s="61" t="str">
        <f t="shared" si="2"/>
        <v>Azerbaijan  |  Social Allowance (Old Age)</v>
      </c>
      <c r="F73" s="171">
        <f>Original!N$15</f>
        <v>0.17</v>
      </c>
    </row>
    <row r="74" spans="1:6">
      <c r="A74" s="4">
        <f>Original!A42</f>
        <v>1</v>
      </c>
      <c r="B74" s="4" t="str">
        <f>Original!C42</f>
        <v>Dominican republic</v>
      </c>
      <c r="C74" s="4" t="s">
        <v>289</v>
      </c>
      <c r="D74" s="4" t="str">
        <f>Original!G42</f>
        <v>Programa Nonagenarios (Nonagarians Programme)</v>
      </c>
      <c r="E74" s="61" t="str">
        <f t="shared" si="2"/>
        <v>Dominican republic  |  Programa Nonagenarios (Nonagarians Programme)</v>
      </c>
      <c r="F74" s="171">
        <f>Original!N$42</f>
        <v>0.1719080054879179</v>
      </c>
    </row>
    <row r="75" spans="1:6">
      <c r="A75" s="4">
        <f>Original!A94</f>
        <v>1</v>
      </c>
      <c r="B75" s="4" t="str">
        <f>Original!C94</f>
        <v>Nepal</v>
      </c>
      <c r="C75" s="4" t="s">
        <v>289</v>
      </c>
      <c r="D75" s="4" t="str">
        <f>Original!G94</f>
        <v>Old Age Allowance</v>
      </c>
      <c r="E75" s="61" t="str">
        <f t="shared" si="2"/>
        <v>Nepal  |  Old Age Allowance</v>
      </c>
      <c r="F75" s="171">
        <f>Original!N$94</f>
        <v>0.17347742908300526</v>
      </c>
    </row>
    <row r="76" spans="1:6">
      <c r="A76" s="4">
        <f>Original!A72</f>
        <v>1</v>
      </c>
      <c r="B76" s="4" t="str">
        <f>Original!C72</f>
        <v>Kenya</v>
      </c>
      <c r="C76" s="4" t="s">
        <v>289</v>
      </c>
      <c r="D76" s="4" t="str">
        <f>Original!G72</f>
        <v>Hunger Safety Net Programme, Pilot (universal pension)</v>
      </c>
      <c r="E76" s="61" t="str">
        <f t="shared" si="2"/>
        <v>Kenya  |  Hunger Safety Net Programme, Pilot (universal pension)</v>
      </c>
      <c r="F76" s="171">
        <f>Original!N$72</f>
        <v>0.17590373783852348</v>
      </c>
    </row>
    <row r="77" spans="1:6" hidden="1">
      <c r="A77" s="4">
        <f>Original!A82</f>
        <v>0</v>
      </c>
      <c r="B77" s="4" t="str">
        <f>Original!C82</f>
        <v>Luxembourg</v>
      </c>
      <c r="C77" s="4" t="s">
        <v>289</v>
      </c>
      <c r="D77" s="4" t="str">
        <f>Original!G82</f>
        <v>Minimum pension</v>
      </c>
      <c r="E77" s="61" t="str">
        <f t="shared" si="2"/>
        <v>Luxembourg  |  Minimum pension</v>
      </c>
      <c r="F77" s="62">
        <f>Original!N$82</f>
        <v>0</v>
      </c>
    </row>
    <row r="78" spans="1:6" hidden="1">
      <c r="A78" s="4">
        <f>Original!A83</f>
        <v>0</v>
      </c>
      <c r="B78" s="4" t="str">
        <f>Original!C83</f>
        <v>Malaysia</v>
      </c>
      <c r="C78" s="4" t="s">
        <v>289</v>
      </c>
      <c r="D78" s="4" t="str">
        <f>Original!G83</f>
        <v xml:space="preserve">Bantuan Orang Tua </v>
      </c>
      <c r="E78" s="61" t="str">
        <f t="shared" si="2"/>
        <v xml:space="preserve">Malaysia  |  Bantuan Orang Tua </v>
      </c>
      <c r="F78" s="62">
        <f>Original!N$83</f>
        <v>0.13277612112929485</v>
      </c>
    </row>
    <row r="79" spans="1:6">
      <c r="A79" s="4">
        <f>Original!A37</f>
        <v>1</v>
      </c>
      <c r="B79" s="4" t="str">
        <f>Original!C37</f>
        <v>Cyprus</v>
      </c>
      <c r="C79" s="4" t="s">
        <v>289</v>
      </c>
      <c r="D79" s="4" t="str">
        <f>Original!G37</f>
        <v>Social Pension Scheme</v>
      </c>
      <c r="E79" s="61" t="str">
        <f t="shared" si="2"/>
        <v>Cyprus  |  Social Pension Scheme</v>
      </c>
      <c r="F79" s="171">
        <f>Original!N$37</f>
        <v>0.17750605090818924</v>
      </c>
    </row>
    <row r="80" spans="1:6">
      <c r="A80" s="4">
        <f>Original!A54</f>
        <v>1</v>
      </c>
      <c r="B80" s="4" t="str">
        <f>Original!C54</f>
        <v>Guyana</v>
      </c>
      <c r="C80" s="4" t="s">
        <v>289</v>
      </c>
      <c r="D80" s="4" t="str">
        <f>Original!G54</f>
        <v>Old Age Pension</v>
      </c>
      <c r="E80" s="61" t="str">
        <f t="shared" si="2"/>
        <v>Guyana  |  Old Age Pension</v>
      </c>
      <c r="F80" s="171">
        <f>Original!N$54</f>
        <v>0.18334451294326168</v>
      </c>
    </row>
    <row r="81" spans="1:6">
      <c r="A81" s="4">
        <f>Original!A51</f>
        <v>1</v>
      </c>
      <c r="B81" s="4" t="str">
        <f>Original!C51</f>
        <v>Greece</v>
      </c>
      <c r="C81" s="4" t="s">
        <v>289</v>
      </c>
      <c r="D81" s="4" t="str">
        <f>Original!G51</f>
        <v>Pension to uninsured elderly</v>
      </c>
      <c r="E81" s="61" t="str">
        <f t="shared" si="2"/>
        <v>Greece  |  Pension to uninsured elderly</v>
      </c>
      <c r="F81" s="171">
        <f>Original!N$51</f>
        <v>0.18615171336434386</v>
      </c>
    </row>
    <row r="82" spans="1:6">
      <c r="A82" s="4">
        <f>Original!A117</f>
        <v>1</v>
      </c>
      <c r="B82" s="4" t="str">
        <f>Original!C117</f>
        <v>Spain</v>
      </c>
      <c r="C82" s="4" t="s">
        <v>289</v>
      </c>
      <c r="D82" s="4" t="str">
        <f>Original!G117</f>
        <v>Non Contributory Pension for retirement ( Pension no Contributiva de Jubilacion)</v>
      </c>
      <c r="E82" s="61" t="str">
        <f t="shared" si="2"/>
        <v>Spain  |  Non Contributory Pension for retirement ( Pension no Contributiva de Jubilacion)</v>
      </c>
      <c r="F82" s="171">
        <f>Original!N$117</f>
        <v>0.18726092592073118</v>
      </c>
    </row>
    <row r="83" spans="1:6">
      <c r="A83" s="4">
        <f>Original!A53</f>
        <v>1</v>
      </c>
      <c r="B83" s="4" t="str">
        <f>Original!C53</f>
        <v>Guatemala</v>
      </c>
      <c r="C83" s="4" t="s">
        <v>289</v>
      </c>
      <c r="D83" s="4" t="str">
        <f>Original!G53</f>
        <v>Programa de aporte economico o del Adulto Mayor (Economic contribution programme for older people)</v>
      </c>
      <c r="E83" s="61" t="str">
        <f t="shared" si="2"/>
        <v>Guatemala  |  Programa de aporte economico o del Adulto Mayor (Economic contribution programme for older people)</v>
      </c>
      <c r="F83" s="171">
        <f>Original!N$53</f>
        <v>0.19518394195684993</v>
      </c>
    </row>
    <row r="84" spans="1:6" hidden="1">
      <c r="A84" s="4">
        <f>Original!A89</f>
        <v>0</v>
      </c>
      <c r="B84" s="4" t="str">
        <f>Original!C89</f>
        <v>Mexico</v>
      </c>
      <c r="C84" s="4" t="s">
        <v>289</v>
      </c>
      <c r="D84" s="4" t="str">
        <f>Original!G89</f>
        <v>Amanecer</v>
      </c>
      <c r="E84" s="61" t="str">
        <f t="shared" si="2"/>
        <v>Mexico  |  Amanecer</v>
      </c>
      <c r="F84" s="62">
        <f>Original!N$89</f>
        <v>5.2323766241861899E-2</v>
      </c>
    </row>
    <row r="85" spans="1:6" hidden="1">
      <c r="A85" s="4">
        <f>Original!A90</f>
        <v>0</v>
      </c>
      <c r="B85" s="4" t="str">
        <f>Original!C90</f>
        <v>Mexico</v>
      </c>
      <c r="C85" s="4" t="s">
        <v>289</v>
      </c>
      <c r="D85" s="4" t="str">
        <f>Original!G90</f>
        <v>Minimum pension</v>
      </c>
      <c r="E85" s="61" t="str">
        <f t="shared" si="2"/>
        <v>Mexico  |  Minimum pension</v>
      </c>
      <c r="F85" s="62">
        <f>Original!N$90</f>
        <v>0</v>
      </c>
    </row>
    <row r="86" spans="1:6">
      <c r="A86" s="4">
        <f>Original!A111</f>
        <v>1</v>
      </c>
      <c r="B86" s="4" t="str">
        <f>Original!C111</f>
        <v>Samoa</v>
      </c>
      <c r="C86" s="4" t="s">
        <v>289</v>
      </c>
      <c r="D86" s="4" t="str">
        <f>Original!G111</f>
        <v>Senior Citizens Benefit</v>
      </c>
      <c r="E86" s="61" t="str">
        <f t="shared" si="2"/>
        <v>Samoa  |  Senior Citizens Benefit</v>
      </c>
      <c r="F86" s="171">
        <f>Original!N$111</f>
        <v>0.19610889776239745</v>
      </c>
    </row>
    <row r="87" spans="1:6">
      <c r="A87" s="4">
        <f>Original!A65</f>
        <v>1</v>
      </c>
      <c r="B87" s="4" t="str">
        <f>Original!C65</f>
        <v>Italy</v>
      </c>
      <c r="C87" s="4" t="s">
        <v>289</v>
      </c>
      <c r="D87" s="4" t="str">
        <f>Original!G65</f>
        <v>Targeted pension [Social allowance]</v>
      </c>
      <c r="E87" s="61" t="str">
        <f t="shared" si="2"/>
        <v>Italy  |  Targeted pension [Social allowance]</v>
      </c>
      <c r="F87" s="171">
        <f>Original!N$65</f>
        <v>0.20099726939595197</v>
      </c>
    </row>
    <row r="88" spans="1:6">
      <c r="A88" s="4">
        <f>Original!A36</f>
        <v>1</v>
      </c>
      <c r="B88" s="4" t="str">
        <f>Original!C36</f>
        <v>Costa Rica</v>
      </c>
      <c r="C88" s="4" t="s">
        <v>289</v>
      </c>
      <c r="D88" s="4" t="str">
        <f>Original!G36</f>
        <v>Programa Regimen No Contributivo</v>
      </c>
      <c r="E88" s="61" t="str">
        <f t="shared" si="2"/>
        <v>Costa Rica  |  Programa Regimen No Contributivo</v>
      </c>
      <c r="F88" s="171">
        <f>Original!N$36</f>
        <v>0.20153562935961622</v>
      </c>
    </row>
    <row r="89" spans="1:6">
      <c r="A89" s="4">
        <f>Original!A46</f>
        <v>1</v>
      </c>
      <c r="B89" s="4" t="str">
        <f>Original!C46</f>
        <v>Finland</v>
      </c>
      <c r="C89" s="4" t="s">
        <v>289</v>
      </c>
      <c r="D89" s="4" t="str">
        <f>Original!G46</f>
        <v>Kansanelake (Old Age Pension)</v>
      </c>
      <c r="E89" s="61" t="str">
        <f t="shared" si="2"/>
        <v>Finland  |  Kansanelake (Old Age Pension)</v>
      </c>
      <c r="F89" s="171">
        <f>Original!N$46</f>
        <v>0.20226384654072954</v>
      </c>
    </row>
    <row r="90" spans="1:6">
      <c r="A90" s="4">
        <f>Original!A49</f>
        <v>1</v>
      </c>
      <c r="B90" s="4" t="str">
        <f>Original!C49</f>
        <v>Georgia</v>
      </c>
      <c r="C90" s="4" t="s">
        <v>289</v>
      </c>
      <c r="D90" s="4" t="str">
        <f>Original!G49</f>
        <v>Old Age Pension</v>
      </c>
      <c r="E90" s="61" t="str">
        <f t="shared" si="2"/>
        <v>Georgia  |  Old Age Pension</v>
      </c>
      <c r="F90" s="171">
        <f>Original!N$49</f>
        <v>0.20531597272719493</v>
      </c>
    </row>
    <row r="91" spans="1:6">
      <c r="A91" s="4">
        <f>Original!A11</f>
        <v>1</v>
      </c>
      <c r="B91" s="4" t="str">
        <f>Original!C11</f>
        <v>Argentina</v>
      </c>
      <c r="C91" s="4" t="s">
        <v>289</v>
      </c>
      <c r="D91" s="4" t="str">
        <f>Original!G11</f>
        <v>Pensiones Asistenciales</v>
      </c>
      <c r="E91" s="61" t="str">
        <f t="shared" si="2"/>
        <v>Argentina  |  Pensiones Asistenciales</v>
      </c>
      <c r="F91" s="171">
        <f>Original!N$11</f>
        <v>0.21566050850635865</v>
      </c>
    </row>
    <row r="92" spans="1:6">
      <c r="A92" s="4">
        <f>Original!A19</f>
        <v>1</v>
      </c>
      <c r="B92" s="4" t="str">
        <f>Original!C19</f>
        <v>Barbados</v>
      </c>
      <c r="C92" s="4" t="s">
        <v>289</v>
      </c>
      <c r="D92" s="4" t="str">
        <f>Original!G19</f>
        <v>Non-contributory Old Age Pension</v>
      </c>
      <c r="E92" s="61" t="str">
        <f t="shared" si="2"/>
        <v>Barbados  |  Non-contributory Old Age Pension</v>
      </c>
      <c r="F92" s="171">
        <f>Original!N$19</f>
        <v>0.22</v>
      </c>
    </row>
    <row r="93" spans="1:6">
      <c r="A93" s="4">
        <f>Original!A112</f>
        <v>1</v>
      </c>
      <c r="B93" s="4" t="str">
        <f>Original!C112</f>
        <v>Seychelles</v>
      </c>
      <c r="C93" s="4" t="s">
        <v>289</v>
      </c>
      <c r="D93" s="4" t="str">
        <f>Original!G112</f>
        <v>Old-age pension (social security fund)</v>
      </c>
      <c r="E93" s="61" t="str">
        <f t="shared" si="2"/>
        <v>Seychelles  |  Old-age pension (social security fund)</v>
      </c>
      <c r="F93" s="171">
        <f>Original!N$112</f>
        <v>0.22246819033173326</v>
      </c>
    </row>
    <row r="94" spans="1:6" hidden="1">
      <c r="A94" s="4">
        <f>Original!A99</f>
        <v>0</v>
      </c>
      <c r="B94" s="4" t="str">
        <f>Original!C99</f>
        <v>Norway</v>
      </c>
      <c r="C94" s="4" t="s">
        <v>289</v>
      </c>
      <c r="D94" s="4" t="str">
        <f>Original!G99</f>
        <v>Minimum pension</v>
      </c>
      <c r="E94" s="61" t="str">
        <f t="shared" si="2"/>
        <v>Norway  |  Minimum pension</v>
      </c>
      <c r="F94" s="62">
        <f>Original!N$99</f>
        <v>0.2688559987597019</v>
      </c>
    </row>
    <row r="95" spans="1:6">
      <c r="A95" s="4">
        <f>Original!A32</f>
        <v>1</v>
      </c>
      <c r="B95" s="4" t="str">
        <f>Original!C32</f>
        <v>Cape Verde</v>
      </c>
      <c r="C95" s="4" t="s">
        <v>289</v>
      </c>
      <c r="D95" s="4" t="str">
        <f>Original!G32</f>
        <v>Pensao Social Minima (Minimum Social Pension)</v>
      </c>
      <c r="E95" s="61" t="str">
        <f t="shared" si="2"/>
        <v>Cape Verde  |  Pensao Social Minima (Minimum Social Pension)</v>
      </c>
      <c r="F95" s="171">
        <f>Original!N$32</f>
        <v>0.22269522771067687</v>
      </c>
    </row>
    <row r="96" spans="1:6">
      <c r="A96" s="4">
        <f>Original!A97</f>
        <v>1</v>
      </c>
      <c r="B96" s="4" t="str">
        <f>Original!C97</f>
        <v>Nigeria</v>
      </c>
      <c r="C96" s="4" t="s">
        <v>289</v>
      </c>
      <c r="D96" s="4" t="str">
        <f>Original!G97</f>
        <v>Ekiti State Social Security Scheme (Ekiti State only)</v>
      </c>
      <c r="E96" s="61" t="str">
        <f t="shared" si="2"/>
        <v>Nigeria  |  Ekiti State Social Security Scheme (Ekiti State only)</v>
      </c>
      <c r="F96" s="171">
        <f>Original!N$97</f>
        <v>0.22652678230111364</v>
      </c>
    </row>
    <row r="97" spans="1:6">
      <c r="A97" s="4">
        <f>Original!A41</f>
        <v>1</v>
      </c>
      <c r="B97" s="4" t="str">
        <f>Original!C41</f>
        <v>Denmark</v>
      </c>
      <c r="C97" s="4" t="s">
        <v>289</v>
      </c>
      <c r="D97" s="4" t="str">
        <f>Original!G41</f>
        <v>Folkepension [national pension - Universal basic pension]</v>
      </c>
      <c r="E97" s="61" t="str">
        <f t="shared" si="2"/>
        <v>Denmark  |  Folkepension [national pension - Universal basic pension]</v>
      </c>
      <c r="F97" s="171">
        <f>Original!N$41</f>
        <v>0.22654646838142631</v>
      </c>
    </row>
    <row r="98" spans="1:6">
      <c r="A98" s="4">
        <f>Original!A71</f>
        <v>1</v>
      </c>
      <c r="B98" s="4" t="str">
        <f>Original!C71</f>
        <v>Kenya</v>
      </c>
      <c r="C98" s="4" t="s">
        <v>289</v>
      </c>
      <c r="D98" s="4" t="str">
        <f>Original!G71</f>
        <v>Older Persons Cash Transfer</v>
      </c>
      <c r="E98" s="61" t="str">
        <f t="shared" si="2"/>
        <v>Kenya  |  Older Persons Cash Transfer</v>
      </c>
      <c r="F98" s="171">
        <f>Original!N$71</f>
        <v>0.24544707605375371</v>
      </c>
    </row>
    <row r="99" spans="1:6">
      <c r="A99" s="4">
        <f>Original!A116</f>
        <v>1</v>
      </c>
      <c r="B99" s="4" t="str">
        <f>Original!C116</f>
        <v>South Africa</v>
      </c>
      <c r="C99" s="4" t="s">
        <v>289</v>
      </c>
      <c r="D99" s="4" t="str">
        <f>Original!G116</f>
        <v>Grant for Older Persons</v>
      </c>
      <c r="E99" s="61" t="str">
        <f t="shared" si="2"/>
        <v>South Africa  |  Grant for Older Persons</v>
      </c>
      <c r="F99" s="171">
        <f>Original!N$116</f>
        <v>0.24613456771642259</v>
      </c>
    </row>
    <row r="100" spans="1:6" hidden="1">
      <c r="A100" s="4">
        <f>Original!A105</f>
        <v>0</v>
      </c>
      <c r="B100" s="4" t="str">
        <f>Original!C105</f>
        <v>Poland</v>
      </c>
      <c r="C100" s="4" t="s">
        <v>289</v>
      </c>
      <c r="D100" s="4" t="str">
        <f>Original!G105</f>
        <v>Minimum pension</v>
      </c>
      <c r="E100" s="61" t="str">
        <f t="shared" si="2"/>
        <v>Poland  |  Minimum pension</v>
      </c>
      <c r="F100" s="62">
        <f>Original!N$105</f>
        <v>0</v>
      </c>
    </row>
    <row r="101" spans="1:6">
      <c r="A101" s="4">
        <f>Original!A122</f>
        <v>1</v>
      </c>
      <c r="B101" s="4" t="str">
        <f>Original!C122</f>
        <v>Switzerland</v>
      </c>
      <c r="C101" s="4" t="s">
        <v>289</v>
      </c>
      <c r="D101" s="4" t="str">
        <f>Original!G122</f>
        <v>Targeted pension</v>
      </c>
      <c r="E101" s="61" t="str">
        <f t="shared" ref="E101:E132" si="3">CONCATENATE(B101,C101,D101)</f>
        <v>Switzerland  |  Targeted pension</v>
      </c>
      <c r="F101" s="171">
        <f>Original!N$122</f>
        <v>0.25782322495681909</v>
      </c>
    </row>
    <row r="102" spans="1:6" hidden="1">
      <c r="A102" s="4">
        <f>Original!A107</f>
        <v>0</v>
      </c>
      <c r="B102" s="4" t="str">
        <f>Original!C107</f>
        <v>Portugal</v>
      </c>
      <c r="C102" s="4" t="s">
        <v>289</v>
      </c>
      <c r="D102" s="4" t="str">
        <f>Original!G107</f>
        <v>Minimum pension</v>
      </c>
      <c r="E102" s="61" t="str">
        <f t="shared" si="3"/>
        <v>Portugal  |  Minimum pension</v>
      </c>
      <c r="F102" s="62">
        <f>Original!N$107</f>
        <v>0</v>
      </c>
    </row>
    <row r="103" spans="1:6" hidden="1">
      <c r="A103" s="4">
        <f>Original!A108</f>
        <v>0</v>
      </c>
      <c r="B103" s="4" t="str">
        <f>Original!C108</f>
        <v>Saint Kitts and Nevis</v>
      </c>
      <c r="C103" s="4" t="s">
        <v>289</v>
      </c>
      <c r="D103" s="4" t="str">
        <f>Original!G108</f>
        <v>Old age social assistance pension</v>
      </c>
      <c r="E103" s="61" t="str">
        <f t="shared" si="3"/>
        <v>Saint Kitts and Nevis  |  Old age social assistance pension</v>
      </c>
      <c r="F103" s="62">
        <f>Original!N$108</f>
        <v>0</v>
      </c>
    </row>
    <row r="104" spans="1:6">
      <c r="A104" s="4">
        <f>Original!A130</f>
        <v>1</v>
      </c>
      <c r="B104" s="4" t="str">
        <f>Original!C130</f>
        <v>Uganda</v>
      </c>
      <c r="C104" s="4" t="s">
        <v>289</v>
      </c>
      <c r="D104" s="4" t="str">
        <f>Original!G130</f>
        <v>Senior Citizens Grant (Pilot in 14 districts)</v>
      </c>
      <c r="E104" s="61" t="str">
        <f t="shared" si="3"/>
        <v>Uganda  |  Senior Citizens Grant (Pilot in 14 districts)</v>
      </c>
      <c r="F104" s="171">
        <f>Original!N$130</f>
        <v>0.26331630630876102</v>
      </c>
    </row>
    <row r="105" spans="1:6" hidden="1">
      <c r="A105" s="4">
        <f>Original!A110</f>
        <v>0</v>
      </c>
      <c r="B105" s="4" t="str">
        <f>Original!C110</f>
        <v>Saint Vincent and the Grenadines</v>
      </c>
      <c r="C105" s="4" t="s">
        <v>289</v>
      </c>
      <c r="D105" s="4" t="str">
        <f>Original!G110</f>
        <v xml:space="preserve">The Non-Contributory Assistance Age Pension (NAAP) </v>
      </c>
      <c r="E105" s="61" t="str">
        <f t="shared" si="3"/>
        <v xml:space="preserve">Saint Vincent and the Grenadines  |  The Non-Contributory Assistance Age Pension (NAAP) </v>
      </c>
      <c r="F105" s="62">
        <f>Original!N$110</f>
        <v>0</v>
      </c>
    </row>
    <row r="106" spans="1:6">
      <c r="A106" s="4">
        <f>Original!A121</f>
        <v>1</v>
      </c>
      <c r="B106" s="4" t="str">
        <f>Original!C121</f>
        <v>Sweden</v>
      </c>
      <c r="C106" s="4" t="s">
        <v>289</v>
      </c>
      <c r="D106" s="4" t="str">
        <f>Original!G121</f>
        <v>Garantipension (Guaranteed pension)</v>
      </c>
      <c r="E106" s="61" t="str">
        <f t="shared" si="3"/>
        <v>Sweden  |  Garantipension (Guaranteed pension)</v>
      </c>
      <c r="F106" s="171">
        <f>Original!N$121</f>
        <v>0.26717943941950356</v>
      </c>
    </row>
    <row r="107" spans="1:6">
      <c r="A107" s="4">
        <f>Original!A14</f>
        <v>1</v>
      </c>
      <c r="B107" s="4" t="str">
        <f>Original!C14</f>
        <v>Austria</v>
      </c>
      <c r="C107" s="4" t="s">
        <v>289</v>
      </c>
      <c r="D107" s="4" t="str">
        <f>Original!G14</f>
        <v>Ausgleichszulage (Austrian Compensatory Supplement)</v>
      </c>
      <c r="E107" s="61" t="str">
        <f t="shared" si="3"/>
        <v>Austria  |  Ausgleichszulage (Austrian Compensatory Supplement)</v>
      </c>
      <c r="F107" s="171">
        <f>Original!N$14</f>
        <v>0.27</v>
      </c>
    </row>
    <row r="108" spans="1:6">
      <c r="A108" s="4">
        <f>Original!A47</f>
        <v>1</v>
      </c>
      <c r="B108" s="4" t="str">
        <f>Original!C47</f>
        <v>France</v>
      </c>
      <c r="C108" s="4" t="s">
        <v>289</v>
      </c>
      <c r="D108" s="4" t="str">
        <f>Original!G47</f>
        <v>ASPA (allocation de solidarité aux personnes âgées)</v>
      </c>
      <c r="E108" s="61" t="str">
        <f t="shared" si="3"/>
        <v>France  |  ASPA (allocation de solidarité aux personnes âgées)</v>
      </c>
      <c r="F108" s="171">
        <f>Original!N$47</f>
        <v>0.27378361527747025</v>
      </c>
    </row>
    <row r="109" spans="1:6">
      <c r="A109" s="4">
        <f>Original!A13</f>
        <v>1</v>
      </c>
      <c r="B109" s="4" t="str">
        <f>Original!C13</f>
        <v>Australia</v>
      </c>
      <c r="C109" s="4" t="s">
        <v>289</v>
      </c>
      <c r="D109" s="4" t="str">
        <f>Original!G13</f>
        <v>Age Pension</v>
      </c>
      <c r="E109" s="61" t="str">
        <f t="shared" si="3"/>
        <v>Australia  |  Age Pension</v>
      </c>
      <c r="F109" s="171">
        <f>Original!N$13</f>
        <v>0.27736136028482405</v>
      </c>
    </row>
    <row r="110" spans="1:6" hidden="1">
      <c r="A110" s="4">
        <f>Original!A115</f>
        <v>0</v>
      </c>
      <c r="B110" s="4" t="str">
        <f>Original!C115</f>
        <v>Slovenia</v>
      </c>
      <c r="C110" s="4" t="s">
        <v>289</v>
      </c>
      <c r="D110" s="4" t="str">
        <f>Original!G115</f>
        <v>Minimum pension</v>
      </c>
      <c r="E110" s="61" t="str">
        <f t="shared" si="3"/>
        <v>Slovenia  |  Minimum pension</v>
      </c>
      <c r="F110" s="62">
        <f>Original!N$115</f>
        <v>0.28872835506224137</v>
      </c>
    </row>
    <row r="111" spans="1:6">
      <c r="A111" s="4">
        <f>Original!A134</f>
        <v>1</v>
      </c>
      <c r="B111" s="4" t="str">
        <f>Original!C134</f>
        <v>Uruguay</v>
      </c>
      <c r="C111" s="4" t="s">
        <v>289</v>
      </c>
      <c r="D111" s="4" t="str">
        <f>Original!G134</f>
        <v>Pensión por Vejez (Programa de Pensiones No-Contributivas)</v>
      </c>
      <c r="E111" s="61" t="str">
        <f t="shared" si="3"/>
        <v>Uruguay  |  Pensión por Vejez (Programa de Pensiones No-Contributivas)</v>
      </c>
      <c r="F111" s="171">
        <f>Original!N$134</f>
        <v>0.27801238292347863</v>
      </c>
    </row>
    <row r="112" spans="1:6">
      <c r="A112" s="4">
        <f>Original!A84</f>
        <v>1</v>
      </c>
      <c r="B112" s="4" t="str">
        <f>Original!C84</f>
        <v>Maldives</v>
      </c>
      <c r="C112" s="4" t="s">
        <v>289</v>
      </c>
      <c r="D112" s="4" t="str">
        <f>Original!G84</f>
        <v>Old-age Basic Pension</v>
      </c>
      <c r="E112" s="61" t="str">
        <f t="shared" si="3"/>
        <v>Maldives  |  Old-age Basic Pension</v>
      </c>
      <c r="F112" s="171">
        <f>Original!N$84</f>
        <v>0.28913509813365706</v>
      </c>
    </row>
    <row r="113" spans="1:6" hidden="1">
      <c r="A113" s="4">
        <f>Original!A118</f>
        <v>0</v>
      </c>
      <c r="B113" s="4" t="str">
        <f>Original!C118</f>
        <v>Spain</v>
      </c>
      <c r="C113" s="4" t="s">
        <v>289</v>
      </c>
      <c r="D113" s="4" t="str">
        <f>Original!G118</f>
        <v>Minimum pension</v>
      </c>
      <c r="E113" s="61" t="str">
        <f t="shared" si="3"/>
        <v>Spain  |  Minimum pension</v>
      </c>
      <c r="F113" s="62">
        <f>Original!N$118</f>
        <v>0.27781138203876993</v>
      </c>
    </row>
    <row r="114" spans="1:6">
      <c r="A114" s="4">
        <f>Original!A132</f>
        <v>1</v>
      </c>
      <c r="B114" s="4" t="str">
        <f>Original!C132</f>
        <v>United Kingdom</v>
      </c>
      <c r="C114" s="4" t="s">
        <v>289</v>
      </c>
      <c r="D114" s="4" t="str">
        <f>Original!G132</f>
        <v>Pension credit (Guarantee Credit)</v>
      </c>
      <c r="E114" s="61" t="str">
        <f t="shared" si="3"/>
        <v>United Kingdom  |  Pension credit (Guarantee Credit)</v>
      </c>
      <c r="F114" s="171">
        <f>Original!N$132</f>
        <v>0.29677731616454556</v>
      </c>
    </row>
    <row r="115" spans="1:6">
      <c r="A115" s="4">
        <f>Original!A76</f>
        <v>1</v>
      </c>
      <c r="B115" s="4" t="str">
        <f>Original!C76</f>
        <v>Kyrgyzstan</v>
      </c>
      <c r="C115" s="4" t="s">
        <v>289</v>
      </c>
      <c r="D115" s="4" t="str">
        <f>Original!G76</f>
        <v>Social assistance allowance (old age)</v>
      </c>
      <c r="E115" s="61" t="str">
        <f t="shared" si="3"/>
        <v>Kyrgyzstan  |  Social assistance allowance (old age)</v>
      </c>
      <c r="F115" s="171">
        <f>Original!N$76</f>
        <v>0.2982774848099084</v>
      </c>
    </row>
    <row r="116" spans="1:6">
      <c r="A116" s="4">
        <f>Original!A101</f>
        <v>1</v>
      </c>
      <c r="B116" s="4" t="str">
        <f>Original!C101</f>
        <v>Paraguay</v>
      </c>
      <c r="C116" s="4" t="s">
        <v>289</v>
      </c>
      <c r="D116" s="4" t="str">
        <f>Original!G101</f>
        <v>Pension alimentaria</v>
      </c>
      <c r="E116" s="61" t="str">
        <f t="shared" si="3"/>
        <v>Paraguay  |  Pension alimentaria</v>
      </c>
      <c r="F116" s="171">
        <f>Original!N$101</f>
        <v>0.3071030802542406</v>
      </c>
    </row>
    <row r="117" spans="1:6">
      <c r="A117" s="4">
        <f>Original!A26</f>
        <v>1</v>
      </c>
      <c r="B117" s="4" t="str">
        <f>Original!C26</f>
        <v>Brazil [Rural pensionn]</v>
      </c>
      <c r="C117" s="4" t="s">
        <v>289</v>
      </c>
      <c r="D117" s="4" t="str">
        <f>Original!G26</f>
        <v>Previdencia Rural (Rural Pension)</v>
      </c>
      <c r="E117" s="61" t="str">
        <f t="shared" si="3"/>
        <v>Brazil [Rural pensionn]  |  Previdencia Rural (Rural Pension)</v>
      </c>
      <c r="F117" s="171">
        <f>Original!N$26</f>
        <v>0.32587175496958792</v>
      </c>
    </row>
    <row r="118" spans="1:6" hidden="1">
      <c r="A118" s="4">
        <f>Original!A123</f>
        <v>0</v>
      </c>
      <c r="B118" s="4" t="str">
        <f>Original!C123</f>
        <v>Switzerland</v>
      </c>
      <c r="C118" s="4" t="s">
        <v>289</v>
      </c>
      <c r="D118" s="4" t="str">
        <f>Original!G123</f>
        <v>Minimum pension</v>
      </c>
      <c r="E118" s="61" t="str">
        <f t="shared" si="3"/>
        <v>Switzerland  |  Minimum pension</v>
      </c>
      <c r="F118" s="62">
        <f>Original!N$123</f>
        <v>0.18846394503458766</v>
      </c>
    </row>
    <row r="119" spans="1:6">
      <c r="A119" s="4">
        <f>Original!A27</f>
        <v>1</v>
      </c>
      <c r="B119" s="4" t="str">
        <f>Original!C27</f>
        <v>Brazil [BPC]</v>
      </c>
      <c r="C119" s="4" t="s">
        <v>289</v>
      </c>
      <c r="D119" s="4" t="str">
        <f>Original!G27</f>
        <v>Beneficio de Prestacao Continuada (BPC / Continuous Cash Benefit)</v>
      </c>
      <c r="E119" s="61" t="str">
        <f t="shared" si="3"/>
        <v>Brazil [BPC]  |  Beneficio de Prestacao Continuada (BPC / Continuous Cash Benefit)</v>
      </c>
      <c r="F119" s="171">
        <f>Original!N$27</f>
        <v>0.32587175496958792</v>
      </c>
    </row>
    <row r="120" spans="1:6">
      <c r="A120" s="4">
        <f>Original!A63</f>
        <v>1</v>
      </c>
      <c r="B120" s="4" t="str">
        <f>Original!C63</f>
        <v>Ireland</v>
      </c>
      <c r="C120" s="4" t="s">
        <v>289</v>
      </c>
      <c r="D120" s="4" t="str">
        <f>Original!G63</f>
        <v>Targeted pension</v>
      </c>
      <c r="E120" s="61" t="str">
        <f t="shared" si="3"/>
        <v>Ireland  |  Targeted pension</v>
      </c>
      <c r="F120" s="171">
        <f>Original!N$63</f>
        <v>0.32667535792939456</v>
      </c>
    </row>
    <row r="121" spans="1:6">
      <c r="A121" s="4">
        <f>Original!A21</f>
        <v>1</v>
      </c>
      <c r="B121" s="4" t="str">
        <f>Original!C21</f>
        <v>Beligium</v>
      </c>
      <c r="C121" s="4" t="s">
        <v>289</v>
      </c>
      <c r="D121" s="4" t="str">
        <f>Original!G21</f>
        <v>IGO/GRAPA (Income Guarantee for the Elderly)</v>
      </c>
      <c r="E121" s="61" t="str">
        <f t="shared" si="3"/>
        <v>Beligium  |  IGO/GRAPA (Income Guarantee for the Elderly)</v>
      </c>
      <c r="F121" s="171">
        <f>Original!N$21</f>
        <v>0.33</v>
      </c>
    </row>
    <row r="122" spans="1:6">
      <c r="A122" s="4">
        <f>Original!A78</f>
        <v>1</v>
      </c>
      <c r="B122" s="4" t="str">
        <f>Original!C78</f>
        <v>Lesotho</v>
      </c>
      <c r="C122" s="4" t="s">
        <v>289</v>
      </c>
      <c r="D122" s="4" t="str">
        <f>Original!G78</f>
        <v>Old Age Pension</v>
      </c>
      <c r="E122" s="61" t="str">
        <f t="shared" si="3"/>
        <v>Lesotho  |  Old Age Pension</v>
      </c>
      <c r="F122" s="171">
        <f>Original!N$78</f>
        <v>0.34230052959596935</v>
      </c>
    </row>
    <row r="123" spans="1:6">
      <c r="A123" s="4">
        <f>Original!A85</f>
        <v>1</v>
      </c>
      <c r="B123" s="4" t="str">
        <f>Original!C85</f>
        <v>Malta</v>
      </c>
      <c r="C123" s="4" t="s">
        <v>289</v>
      </c>
      <c r="D123" s="4" t="str">
        <f>Original!G85</f>
        <v>Old-age noncontributory pension</v>
      </c>
      <c r="E123" s="61" t="str">
        <f t="shared" si="3"/>
        <v>Malta  |  Old-age noncontributory pension</v>
      </c>
      <c r="F123" s="171">
        <f>Original!N$85</f>
        <v>0.34239329373598371</v>
      </c>
    </row>
    <row r="124" spans="1:6">
      <c r="A124" s="4">
        <f>Original!A95</f>
        <v>1</v>
      </c>
      <c r="B124" s="4" t="str">
        <f>Original!C95</f>
        <v>Netherlands</v>
      </c>
      <c r="C124" s="4" t="s">
        <v>289</v>
      </c>
      <c r="D124" s="4" t="str">
        <f>Original!G95</f>
        <v>Old-age pension</v>
      </c>
      <c r="E124" s="61" t="str">
        <f t="shared" si="3"/>
        <v>Netherlands  |  Old-age pension</v>
      </c>
      <c r="F124" s="171">
        <f>Original!N$95</f>
        <v>0.34410048999427073</v>
      </c>
    </row>
    <row r="125" spans="1:6">
      <c r="A125" s="4">
        <f>Original!A96</f>
        <v>1</v>
      </c>
      <c r="B125" s="4" t="str">
        <f>Original!C96</f>
        <v>New Zealand</v>
      </c>
      <c r="C125" s="4" t="s">
        <v>289</v>
      </c>
      <c r="D125" s="4" t="str">
        <f>Original!G96</f>
        <v>Superannuation</v>
      </c>
      <c r="E125" s="61" t="str">
        <f t="shared" si="3"/>
        <v>New Zealand  |  Superannuation</v>
      </c>
      <c r="F125" s="171">
        <f>Original!N$96</f>
        <v>0.34653765159135153</v>
      </c>
    </row>
    <row r="126" spans="1:6">
      <c r="A126" s="4">
        <f>Original!A131</f>
        <v>1</v>
      </c>
      <c r="B126" s="4" t="str">
        <f>Original!C131</f>
        <v>Ukraine</v>
      </c>
      <c r="C126" s="4" t="s">
        <v>289</v>
      </c>
      <c r="D126" s="4" t="str">
        <f>Original!G131</f>
        <v>Social pension + social pension supplement</v>
      </c>
      <c r="E126" s="61" t="str">
        <f t="shared" si="3"/>
        <v>Ukraine  |  Social pension + social pension supplement</v>
      </c>
      <c r="F126" s="171">
        <f>Original!N$131</f>
        <v>0.34882555163059425</v>
      </c>
    </row>
    <row r="127" spans="1:6">
      <c r="A127" s="4">
        <f>Original!A119</f>
        <v>1</v>
      </c>
      <c r="B127" s="4" t="str">
        <f>Original!C119</f>
        <v>Suriname</v>
      </c>
      <c r="C127" s="4" t="s">
        <v>289</v>
      </c>
      <c r="D127" s="4" t="str">
        <f>Original!G119</f>
        <v>State Old Age Pension (Algemene Oudedags Voorzieningsfonds (AOV))</v>
      </c>
      <c r="E127" s="61" t="str">
        <f t="shared" si="3"/>
        <v>Suriname  |  State Old Age Pension (Algemene Oudedags Voorzieningsfonds (AOV))</v>
      </c>
      <c r="F127" s="171">
        <f>Original!N$119</f>
        <v>0.35074399231075637</v>
      </c>
    </row>
    <row r="128" spans="1:6">
      <c r="A128" s="4">
        <f>Original!A127</f>
        <v>1</v>
      </c>
      <c r="B128" s="4" t="str">
        <f>Original!C127</f>
        <v>Trinidad and Tobago</v>
      </c>
      <c r="C128" s="4" t="s">
        <v>289</v>
      </c>
      <c r="D128" s="4" t="str">
        <f>Original!G127</f>
        <v>Senior Citizens' Pension</v>
      </c>
      <c r="E128" s="61" t="str">
        <f t="shared" si="3"/>
        <v>Trinidad and Tobago  |  Senior Citizens' Pension</v>
      </c>
      <c r="F128" s="171">
        <f>Original!N$127</f>
        <v>0.35677962150914927</v>
      </c>
    </row>
    <row r="129" spans="1:6">
      <c r="A129" s="4">
        <f>Original!A75</f>
        <v>1</v>
      </c>
      <c r="B129" s="4" t="str">
        <f>Original!C75</f>
        <v>Kosovo</v>
      </c>
      <c r="C129" s="4" t="s">
        <v>289</v>
      </c>
      <c r="D129" s="4" t="str">
        <f>Original!G75</f>
        <v>Old age "basic pension"</v>
      </c>
      <c r="E129" s="61" t="str">
        <f t="shared" si="3"/>
        <v>Kosovo  |  Old age "basic pension"</v>
      </c>
      <c r="F129" s="171">
        <f>Original!N$75</f>
        <v>0.375</v>
      </c>
    </row>
    <row r="130" spans="1:6">
      <c r="A130" s="4">
        <f>Original!A136</f>
        <v>1</v>
      </c>
      <c r="B130" s="4" t="str">
        <f>Original!C136</f>
        <v>Venezuela</v>
      </c>
      <c r="C130" s="4" t="s">
        <v>289</v>
      </c>
      <c r="D130" s="4" t="str">
        <f>Original!G136</f>
        <v>Gran Mision Amor Mayor</v>
      </c>
      <c r="E130" s="61" t="str">
        <f t="shared" si="3"/>
        <v>Venezuela  |  Gran Mision Amor Mayor</v>
      </c>
      <c r="F130" s="171">
        <f>Original!N$136</f>
        <v>0.40809299194971987</v>
      </c>
    </row>
    <row r="131" spans="1:6">
      <c r="A131" s="4">
        <f>Original!A73</f>
        <v>1</v>
      </c>
      <c r="B131" s="4" t="str">
        <f>Original!C73</f>
        <v>Kiribati</v>
      </c>
      <c r="C131" s="4" t="s">
        <v>289</v>
      </c>
      <c r="D131" s="4" t="str">
        <f>Original!G73</f>
        <v>Elderly pension</v>
      </c>
      <c r="E131" s="61" t="str">
        <f t="shared" si="3"/>
        <v>Kiribati  |  Elderly pension</v>
      </c>
      <c r="F131" s="171">
        <f>Original!N$73</f>
        <v>0.46662467044632649</v>
      </c>
    </row>
    <row r="132" spans="1:6" hidden="1">
      <c r="A132" s="4">
        <f>Original!A23</f>
        <v>1</v>
      </c>
      <c r="B132" s="4" t="str">
        <f>Original!C23</f>
        <v>Bermuda</v>
      </c>
      <c r="C132" s="4" t="s">
        <v>289</v>
      </c>
      <c r="D132" s="4" t="str">
        <f>Original!G23</f>
        <v>Non-contibutory old age pension</v>
      </c>
      <c r="E132" s="61" t="str">
        <f t="shared" si="3"/>
        <v>Bermuda  |  Non-contibutory old age pension</v>
      </c>
      <c r="F132" s="171" t="str">
        <f>Original!N$23</f>
        <v>no data</v>
      </c>
    </row>
    <row r="133" spans="1:6" hidden="1">
      <c r="A133" s="4">
        <f>Original!A35</f>
        <v>1</v>
      </c>
      <c r="B133" s="4" t="str">
        <f>Original!C35</f>
        <v>Cook Islands</v>
      </c>
      <c r="C133" s="4" t="s">
        <v>289</v>
      </c>
      <c r="D133" s="4" t="str">
        <f>Original!G35</f>
        <v>Old Age Pension</v>
      </c>
      <c r="E133" s="61" t="str">
        <f t="shared" ref="E133:E134" si="4">CONCATENATE(B133,C133,D133)</f>
        <v>Cook Islands  |  Old Age Pension</v>
      </c>
      <c r="F133" s="171" t="str">
        <f>Original!N$35</f>
        <v>no data</v>
      </c>
    </row>
    <row r="134" spans="1:6" hidden="1">
      <c r="A134" s="4">
        <f>Original!A135</f>
        <v>1</v>
      </c>
      <c r="B134" s="4" t="str">
        <f>Original!C135</f>
        <v>Uzbekestan</v>
      </c>
      <c r="C134" s="4" t="s">
        <v>289</v>
      </c>
      <c r="D134" s="4" t="str">
        <f>Original!G135</f>
        <v>Social pension</v>
      </c>
      <c r="E134" s="61" t="str">
        <f t="shared" si="4"/>
        <v>Uzbekestan  |  Social pension</v>
      </c>
      <c r="F134" s="171" t="str">
        <f>Original!N$135</f>
        <v>no data</v>
      </c>
    </row>
    <row r="135" spans="1:6">
      <c r="E135" s="61"/>
      <c r="F135" s="171"/>
    </row>
  </sheetData>
  <autoFilter ref="A4:V134">
    <filterColumn colId="0">
      <filters>
        <filter val="1"/>
      </filters>
    </filterColumn>
    <filterColumn colId="5">
      <filters>
        <filter val="10,2%"/>
        <filter val="10,4%"/>
        <filter val="10,5%"/>
        <filter val="10,8%"/>
        <filter val="11,7%"/>
        <filter val="11,8%"/>
        <filter val="12,0%"/>
        <filter val="12,4%"/>
        <filter val="12,5%"/>
        <filter val="12,6%"/>
        <filter val="12,9%"/>
        <filter val="13,6%"/>
        <filter val="13,7%"/>
        <filter val="14,1%"/>
        <filter val="14,2%"/>
        <filter val="14,4%"/>
        <filter val="14,5%"/>
        <filter val="14,6%"/>
        <filter val="15,0%"/>
        <filter val="15,3%"/>
        <filter val="15,6%"/>
        <filter val="16,7%"/>
        <filter val="16,9%"/>
        <filter val="17,0%"/>
        <filter val="17,2%"/>
        <filter val="17,3%"/>
        <filter val="17,6%"/>
        <filter val="17,8%"/>
        <filter val="18,3%"/>
        <filter val="18,6%"/>
        <filter val="18,7%"/>
        <filter val="19,5%"/>
        <filter val="19,6%"/>
        <filter val="20,1%"/>
        <filter val="20,2%"/>
        <filter val="20,5%"/>
        <filter val="21,6%"/>
        <filter val="22,0%"/>
        <filter val="22,2%"/>
        <filter val="22,3%"/>
        <filter val="22,7%"/>
        <filter val="24,5%"/>
        <filter val="24,6%"/>
        <filter val="25,8%"/>
        <filter val="26,3%"/>
        <filter val="26,7%"/>
        <filter val="27,0%"/>
        <filter val="27,4%"/>
        <filter val="27,7%"/>
        <filter val="27,8%"/>
        <filter val="28,9%"/>
        <filter val="29,7%"/>
        <filter val="29,8%"/>
        <filter val="3,0%"/>
        <filter val="3,1%"/>
        <filter val="3,4%"/>
        <filter val="30,7%"/>
        <filter val="32,6%"/>
        <filter val="32,7%"/>
        <filter val="33,0%"/>
        <filter val="34,2%"/>
        <filter val="34,4%"/>
        <filter val="34,7%"/>
        <filter val="34,9%"/>
        <filter val="35,1%"/>
        <filter val="35,7%"/>
        <filter val="37,5%"/>
        <filter val="4,1%"/>
        <filter val="4,3%"/>
        <filter val="4,7%"/>
        <filter val="4,8%"/>
        <filter val="40,8%"/>
        <filter val="46,7%"/>
        <filter val="5,1%"/>
        <filter val="5,3%"/>
        <filter val="5,9%"/>
        <filter val="6,1%"/>
        <filter val="6,2%"/>
        <filter val="6,5%"/>
        <filter val="6,8%"/>
        <filter val="7,0%"/>
        <filter val="7,6%"/>
        <filter val="8,2%"/>
        <filter val="8,5%"/>
        <filter val="8,6%"/>
        <filter val="9,0%"/>
        <filter val="9,3%"/>
        <filter val="9,5%"/>
        <filter val="9,8%"/>
      </filters>
    </filterColumn>
  </autoFilter>
  <sortState ref="A5:F134">
    <sortCondition ref="F5:F13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G135"/>
  <sheetViews>
    <sheetView topLeftCell="A4" workbookViewId="0">
      <selection activeCell="I34" sqref="I34"/>
    </sheetView>
  </sheetViews>
  <sheetFormatPr baseColWidth="10" defaultColWidth="9" defaultRowHeight="10.5"/>
  <cols>
    <col min="1" max="3" width="9" style="4"/>
    <col min="4" max="4" width="38.625" style="4" customWidth="1"/>
    <col min="5" max="5" width="2" style="4" customWidth="1"/>
    <col min="6" max="6" width="51" style="4" customWidth="1"/>
    <col min="7" max="7" width="10.375" style="172" customWidth="1"/>
    <col min="8" max="16384" width="9" style="4"/>
  </cols>
  <sheetData>
    <row r="1" spans="1:7">
      <c r="B1" s="4" t="s">
        <v>568</v>
      </c>
    </row>
    <row r="3" spans="1:7">
      <c r="B3" s="4" t="s">
        <v>288</v>
      </c>
    </row>
    <row r="4" spans="1:7">
      <c r="G4" s="172" t="s">
        <v>554</v>
      </c>
    </row>
    <row r="5" spans="1:7" hidden="1">
      <c r="A5" s="4">
        <f>Original!A10</f>
        <v>1</v>
      </c>
      <c r="B5" s="4" t="str">
        <f>Original!C50</f>
        <v>Germany</v>
      </c>
      <c r="C5" s="4" t="s">
        <v>289</v>
      </c>
      <c r="D5" s="4" t="str">
        <f>Original!G50</f>
        <v>Targeted pension</v>
      </c>
      <c r="F5" s="162" t="str">
        <f t="shared" ref="F5:F36" si="0">CONCATENATE(B5,C5,D5)</f>
        <v>Germany  |  Targeted pension</v>
      </c>
      <c r="G5" s="163">
        <f>Original!O$50</f>
        <v>0</v>
      </c>
    </row>
    <row r="6" spans="1:7" hidden="1">
      <c r="A6" s="4">
        <f>Original!A11</f>
        <v>1</v>
      </c>
      <c r="B6" s="4" t="str">
        <f>Original!C52</f>
        <v>Greece</v>
      </c>
      <c r="C6" s="4" t="s">
        <v>289</v>
      </c>
      <c r="D6" s="4" t="str">
        <f>Original!G52</f>
        <v>Minimum pension</v>
      </c>
      <c r="F6" s="162" t="str">
        <f t="shared" si="0"/>
        <v>Greece  |  Minimum pension</v>
      </c>
      <c r="G6" s="163">
        <f>Original!O$52</f>
        <v>0</v>
      </c>
    </row>
    <row r="7" spans="1:7" hidden="1">
      <c r="A7" s="4">
        <f>Original!A12</f>
        <v>1</v>
      </c>
      <c r="B7" s="4" t="str">
        <f>Original!C56</f>
        <v>Hungary</v>
      </c>
      <c r="C7" s="4" t="s">
        <v>289</v>
      </c>
      <c r="D7" s="4" t="str">
        <f>Original!G56</f>
        <v>Minimum pension</v>
      </c>
      <c r="F7" s="162" t="str">
        <f t="shared" si="0"/>
        <v>Hungary  |  Minimum pension</v>
      </c>
      <c r="G7" s="163">
        <f>Original!O$56</f>
        <v>0</v>
      </c>
    </row>
    <row r="8" spans="1:7" hidden="1">
      <c r="A8" s="4">
        <f>Original!A13</f>
        <v>1</v>
      </c>
      <c r="B8" s="4" t="str">
        <f>Original!C58</f>
        <v>Iceland</v>
      </c>
      <c r="C8" s="4" t="s">
        <v>289</v>
      </c>
      <c r="D8" s="4" t="str">
        <f>Original!G58</f>
        <v>Targeted pension</v>
      </c>
      <c r="F8" s="162" t="str">
        <f t="shared" si="0"/>
        <v>Iceland  |  Targeted pension</v>
      </c>
      <c r="G8" s="163">
        <f>Original!O$58</f>
        <v>0</v>
      </c>
    </row>
    <row r="9" spans="1:7" hidden="1">
      <c r="A9" s="4">
        <f>Original!A14</f>
        <v>1</v>
      </c>
      <c r="B9" s="4" t="str">
        <f>Original!C62</f>
        <v>Ireland</v>
      </c>
      <c r="C9" s="4" t="s">
        <v>289</v>
      </c>
      <c r="D9" s="4" t="str">
        <f>Original!G62</f>
        <v>Basic pension</v>
      </c>
      <c r="F9" s="162" t="str">
        <f t="shared" si="0"/>
        <v>Ireland  |  Basic pension</v>
      </c>
      <c r="G9" s="163">
        <f>Original!O$62</f>
        <v>0</v>
      </c>
    </row>
    <row r="10" spans="1:7" hidden="1">
      <c r="A10" s="4">
        <f>Original!A15</f>
        <v>1</v>
      </c>
      <c r="B10" s="4" t="str">
        <f>Original!C68</f>
        <v>Japan</v>
      </c>
      <c r="C10" s="4" t="s">
        <v>289</v>
      </c>
      <c r="D10" s="4" t="str">
        <f>Original!G68</f>
        <v>Basic pension</v>
      </c>
      <c r="F10" s="162" t="str">
        <f t="shared" si="0"/>
        <v>Japan  |  Basic pension</v>
      </c>
      <c r="G10" s="163">
        <f>Original!O$68</f>
        <v>0</v>
      </c>
    </row>
    <row r="11" spans="1:7" hidden="1">
      <c r="A11" s="4">
        <f>Original!A16</f>
        <v>1</v>
      </c>
      <c r="B11" s="4" t="str">
        <f>Original!C69</f>
        <v>Japan</v>
      </c>
      <c r="C11" s="4" t="s">
        <v>289</v>
      </c>
      <c r="D11" s="4" t="str">
        <f>Original!G69</f>
        <v>Targeted pension</v>
      </c>
      <c r="F11" s="162" t="str">
        <f t="shared" si="0"/>
        <v>Japan  |  Targeted pension</v>
      </c>
      <c r="G11" s="163">
        <f>Original!O$69</f>
        <v>0</v>
      </c>
    </row>
    <row r="12" spans="1:7" hidden="1">
      <c r="A12" s="4">
        <f>Original!A17</f>
        <v>1</v>
      </c>
      <c r="B12" s="4" t="str">
        <f>Original!C80</f>
        <v>Luxembourg</v>
      </c>
      <c r="C12" s="4" t="s">
        <v>289</v>
      </c>
      <c r="D12" s="4" t="str">
        <f>Original!G80</f>
        <v>Basic pension</v>
      </c>
      <c r="F12" s="162" t="str">
        <f t="shared" si="0"/>
        <v>Luxembourg  |  Basic pension</v>
      </c>
      <c r="G12" s="163">
        <f>Original!O$80</f>
        <v>0</v>
      </c>
    </row>
    <row r="13" spans="1:7" hidden="1">
      <c r="A13" s="4">
        <f>Original!A18</f>
        <v>0</v>
      </c>
      <c r="B13" s="4" t="str">
        <f>Original!C81</f>
        <v>Luxembourg</v>
      </c>
      <c r="C13" s="4" t="s">
        <v>289</v>
      </c>
      <c r="D13" s="4" t="str">
        <f>Original!G81</f>
        <v>Targeted pension</v>
      </c>
      <c r="F13" s="162" t="str">
        <f t="shared" si="0"/>
        <v>Luxembourg  |  Targeted pension</v>
      </c>
      <c r="G13" s="163">
        <f>Original!O$81</f>
        <v>0</v>
      </c>
    </row>
    <row r="14" spans="1:7" hidden="1">
      <c r="A14" s="4">
        <f>Original!A19</f>
        <v>1</v>
      </c>
      <c r="B14" s="4" t="str">
        <f>Original!C82</f>
        <v>Luxembourg</v>
      </c>
      <c r="C14" s="4" t="s">
        <v>289</v>
      </c>
      <c r="D14" s="4" t="str">
        <f>Original!G82</f>
        <v>Minimum pension</v>
      </c>
      <c r="F14" s="162" t="str">
        <f t="shared" si="0"/>
        <v>Luxembourg  |  Minimum pension</v>
      </c>
      <c r="G14" s="163">
        <f>Original!O$82</f>
        <v>0</v>
      </c>
    </row>
    <row r="15" spans="1:7" hidden="1">
      <c r="A15" s="4">
        <f>Original!A20</f>
        <v>1</v>
      </c>
      <c r="B15" s="4" t="str">
        <f>Original!C90</f>
        <v>Mexico</v>
      </c>
      <c r="C15" s="4" t="s">
        <v>289</v>
      </c>
      <c r="D15" s="4" t="str">
        <f>Original!G90</f>
        <v>Minimum pension</v>
      </c>
      <c r="F15" s="162" t="str">
        <f t="shared" si="0"/>
        <v>Mexico  |  Minimum pension</v>
      </c>
      <c r="G15" s="163">
        <f>Original!O$90</f>
        <v>0</v>
      </c>
    </row>
    <row r="16" spans="1:7" hidden="1">
      <c r="A16" s="4">
        <f>Original!A21</f>
        <v>1</v>
      </c>
      <c r="B16" s="4" t="str">
        <f>Original!C104</f>
        <v>Poland</v>
      </c>
      <c r="C16" s="4" t="s">
        <v>289</v>
      </c>
      <c r="D16" s="4" t="str">
        <f>Original!G104</f>
        <v>Targeted pension</v>
      </c>
      <c r="F16" s="162" t="str">
        <f t="shared" si="0"/>
        <v>Poland  |  Targeted pension</v>
      </c>
      <c r="G16" s="163">
        <f>Original!O$104</f>
        <v>0</v>
      </c>
    </row>
    <row r="17" spans="1:7" hidden="1">
      <c r="A17" s="4">
        <f>Original!A22</f>
        <v>1</v>
      </c>
      <c r="B17" s="4" t="str">
        <f>Original!C105</f>
        <v>Poland</v>
      </c>
      <c r="C17" s="4" t="s">
        <v>289</v>
      </c>
      <c r="D17" s="4" t="str">
        <f>Original!G105</f>
        <v>Minimum pension</v>
      </c>
      <c r="F17" s="162" t="str">
        <f t="shared" si="0"/>
        <v>Poland  |  Minimum pension</v>
      </c>
      <c r="G17" s="163">
        <f>Original!O$105</f>
        <v>0</v>
      </c>
    </row>
    <row r="18" spans="1:7" hidden="1">
      <c r="A18" s="4">
        <f>Original!A23</f>
        <v>1</v>
      </c>
      <c r="B18" s="4" t="str">
        <f>Original!C107</f>
        <v>Portugal</v>
      </c>
      <c r="C18" s="4" t="s">
        <v>289</v>
      </c>
      <c r="D18" s="4" t="str">
        <f>Original!G107</f>
        <v>Minimum pension</v>
      </c>
      <c r="F18" s="162" t="str">
        <f t="shared" si="0"/>
        <v>Portugal  |  Minimum pension</v>
      </c>
      <c r="G18" s="163">
        <f>Original!O$107</f>
        <v>0</v>
      </c>
    </row>
    <row r="19" spans="1:7" hidden="1">
      <c r="A19" s="4">
        <f>Original!A24</f>
        <v>1</v>
      </c>
      <c r="B19" s="4" t="str">
        <f>Original!C108</f>
        <v>Saint Kitts and Nevis</v>
      </c>
      <c r="C19" s="4" t="s">
        <v>289</v>
      </c>
      <c r="D19" s="4" t="str">
        <f>Original!G108</f>
        <v>Old age social assistance pension</v>
      </c>
      <c r="F19" s="162" t="str">
        <f t="shared" si="0"/>
        <v>Saint Kitts and Nevis  |  Old age social assistance pension</v>
      </c>
      <c r="G19" s="163">
        <f>Original!O$108</f>
        <v>0</v>
      </c>
    </row>
    <row r="20" spans="1:7" hidden="1">
      <c r="A20" s="4">
        <f>Original!A25</f>
        <v>1</v>
      </c>
      <c r="B20" s="4" t="str">
        <f>Original!C110</f>
        <v>Saint Vincent and the Grenadines</v>
      </c>
      <c r="C20" s="4" t="s">
        <v>289</v>
      </c>
      <c r="D20" s="4" t="str">
        <f>Original!G110</f>
        <v xml:space="preserve">The Non-Contributory Assistance Age Pension (NAAP) </v>
      </c>
      <c r="F20" s="162" t="str">
        <f t="shared" si="0"/>
        <v xml:space="preserve">Saint Vincent and the Grenadines  |  The Non-Contributory Assistance Age Pension (NAAP) </v>
      </c>
      <c r="G20" s="163">
        <f>Original!O$110</f>
        <v>0</v>
      </c>
    </row>
    <row r="21" spans="1:7" hidden="1">
      <c r="A21" s="4">
        <f>Original!A26</f>
        <v>1</v>
      </c>
      <c r="B21" s="4" t="str">
        <f>Original!C113</f>
        <v>Slovakia</v>
      </c>
      <c r="C21" s="4" t="s">
        <v>289</v>
      </c>
      <c r="D21" s="4" t="str">
        <f>Original!G113</f>
        <v>Targeted pension</v>
      </c>
      <c r="F21" s="162" t="str">
        <f t="shared" si="0"/>
        <v>Slovakia  |  Targeted pension</v>
      </c>
      <c r="G21" s="163">
        <f>Original!O$113</f>
        <v>0</v>
      </c>
    </row>
    <row r="22" spans="1:7">
      <c r="A22" s="4">
        <f>Original!A27</f>
        <v>1</v>
      </c>
      <c r="B22" s="4" t="str">
        <f>Original!C17</f>
        <v>Bangladesh</v>
      </c>
      <c r="C22" s="4" t="s">
        <v>289</v>
      </c>
      <c r="D22" s="4" t="str">
        <f>Original!G17</f>
        <v>Old Age Allowance</v>
      </c>
      <c r="F22" s="162" t="str">
        <f t="shared" si="0"/>
        <v>Bangladesh  |  Old Age Allowance</v>
      </c>
      <c r="G22" s="173">
        <f>Original!O$17</f>
        <v>10</v>
      </c>
    </row>
    <row r="23" spans="1:7">
      <c r="A23" s="4">
        <f>Original!A28</f>
        <v>1</v>
      </c>
      <c r="B23" s="4" t="str">
        <f>Original!C60</f>
        <v>India</v>
      </c>
      <c r="C23" s="4" t="s">
        <v>289</v>
      </c>
      <c r="D23" s="4" t="str">
        <f>Original!G60</f>
        <v>Indira Gandhi National Old Age Pension Scheme</v>
      </c>
      <c r="F23" s="162" t="str">
        <f t="shared" si="0"/>
        <v>India  |  Indira Gandhi National Old Age Pension Scheme</v>
      </c>
      <c r="G23" s="173">
        <f>Original!O$60</f>
        <v>10.455329604265774</v>
      </c>
    </row>
    <row r="24" spans="1:7">
      <c r="A24" s="4">
        <f>Original!A29</f>
        <v>1</v>
      </c>
      <c r="B24" s="4" t="str">
        <f>Original!C18</f>
        <v>Bangladesh</v>
      </c>
      <c r="C24" s="4" t="s">
        <v>289</v>
      </c>
      <c r="D24" s="4" t="str">
        <f>Original!G18</f>
        <v>Allowance for Widow, Deserted and Destitute Women</v>
      </c>
      <c r="F24" s="162" t="str">
        <f t="shared" si="0"/>
        <v>Bangladesh  |  Allowance for Widow, Deserted and Destitute Women</v>
      </c>
      <c r="G24" s="173">
        <f>Original!O$18</f>
        <v>10.659396839999999</v>
      </c>
    </row>
    <row r="25" spans="1:7">
      <c r="A25" s="4">
        <f>Original!A30</f>
        <v>1</v>
      </c>
      <c r="B25" s="4" t="str">
        <f>Original!C91</f>
        <v>Moldova, Republic of</v>
      </c>
      <c r="C25" s="4" t="s">
        <v>289</v>
      </c>
      <c r="D25" s="4" t="str">
        <f>Original!G91</f>
        <v>State Social Allocation for Older Persons</v>
      </c>
      <c r="F25" s="162" t="str">
        <f t="shared" si="0"/>
        <v>Moldova, Republic of  |  State Social Allocation for Older Persons</v>
      </c>
      <c r="G25" s="173">
        <f>Original!O$91</f>
        <v>13.776105651105651</v>
      </c>
    </row>
    <row r="26" spans="1:7">
      <c r="A26" s="4">
        <f>Original!A31</f>
        <v>1</v>
      </c>
      <c r="B26" s="4" t="str">
        <f>Original!C139</f>
        <v>Zambia</v>
      </c>
      <c r="C26" s="4" t="s">
        <v>289</v>
      </c>
      <c r="D26" s="4" t="str">
        <f>Original!G139</f>
        <v>Social Cash Transfer Programme, Katete (Pilot)</v>
      </c>
      <c r="F26" s="162" t="str">
        <f t="shared" si="0"/>
        <v>Zambia  |  Social Cash Transfer Programme, Katete (Pilot)</v>
      </c>
      <c r="G26" s="173">
        <f>Original!O$139</f>
        <v>14.063642670967017</v>
      </c>
    </row>
    <row r="27" spans="1:7">
      <c r="A27" s="4">
        <f>Original!A32</f>
        <v>1</v>
      </c>
      <c r="B27" s="4" t="str">
        <f>Original!C138</f>
        <v>Viet Nam [60-79 years old]</v>
      </c>
      <c r="C27" s="4" t="s">
        <v>289</v>
      </c>
      <c r="D27" s="4" t="str">
        <f>Original!G138</f>
        <v>Social assistance benefit (clause 2)</v>
      </c>
      <c r="F27" s="162" t="str">
        <f t="shared" si="0"/>
        <v>Viet Nam [60-79 years old]  |  Social assistance benefit (clause 2)</v>
      </c>
      <c r="G27" s="173">
        <f>Original!O$138</f>
        <v>14.200415433153497</v>
      </c>
    </row>
    <row r="28" spans="1:7">
      <c r="A28" s="4">
        <f>Original!A33</f>
        <v>1</v>
      </c>
      <c r="B28" s="4" t="str">
        <f>Original!C94</f>
        <v>Nepal</v>
      </c>
      <c r="C28" s="4" t="s">
        <v>289</v>
      </c>
      <c r="D28" s="4" t="str">
        <f>Original!G94</f>
        <v>Old Age Allowance</v>
      </c>
      <c r="F28" s="162" t="str">
        <f t="shared" si="0"/>
        <v>Nepal  |  Old Age Allowance</v>
      </c>
      <c r="G28" s="173">
        <f>Original!O$94</f>
        <v>17.303433001107418</v>
      </c>
    </row>
    <row r="29" spans="1:7">
      <c r="A29" s="4">
        <f>Original!A34</f>
        <v>1</v>
      </c>
      <c r="B29" s="4" t="str">
        <f>Original!C103</f>
        <v>Philippines</v>
      </c>
      <c r="C29" s="4" t="s">
        <v>289</v>
      </c>
      <c r="D29" s="4" t="str">
        <f>Original!G103</f>
        <v>Old Age Grant</v>
      </c>
      <c r="F29" s="162" t="str">
        <f t="shared" si="0"/>
        <v>Philippines  |  Old Age Grant</v>
      </c>
      <c r="G29" s="173">
        <f>Original!O$103</f>
        <v>20.052135552436336</v>
      </c>
    </row>
    <row r="30" spans="1:7">
      <c r="A30" s="4">
        <f>Original!A35</f>
        <v>1</v>
      </c>
      <c r="B30" s="4" t="str">
        <f>Original!C137</f>
        <v>Viet Nam  [80 years old and over]</v>
      </c>
      <c r="C30" s="4" t="s">
        <v>289</v>
      </c>
      <c r="D30" s="4" t="str">
        <f>Original!G137</f>
        <v>Social assistance benefit (clause 3)</v>
      </c>
      <c r="F30" s="162" t="str">
        <f t="shared" si="0"/>
        <v>Viet Nam  [80 years old and over]  |  Social assistance benefit (clause 3)</v>
      </c>
      <c r="G30" s="173">
        <f>Original!O$137</f>
        <v>21.300623149730246</v>
      </c>
    </row>
    <row r="31" spans="1:7">
      <c r="A31" s="4">
        <f>Original!A36</f>
        <v>1</v>
      </c>
      <c r="B31" s="4" t="str">
        <f>Original!C124</f>
        <v>Tajikistan</v>
      </c>
      <c r="C31" s="4" t="s">
        <v>289</v>
      </c>
      <c r="D31" s="4" t="str">
        <f>Original!G124</f>
        <v>Old age pension</v>
      </c>
      <c r="F31" s="162" t="str">
        <f t="shared" si="0"/>
        <v>Tajikistan  |  Old age pension</v>
      </c>
      <c r="G31" s="173">
        <f>Original!O$124</f>
        <v>21.574973031283712</v>
      </c>
    </row>
    <row r="32" spans="1:7">
      <c r="A32" s="4">
        <f>Original!A37</f>
        <v>1</v>
      </c>
      <c r="B32" s="4" t="str">
        <f>Original!C67</f>
        <v>Jamaica</v>
      </c>
      <c r="C32" s="4" t="s">
        <v>289</v>
      </c>
      <c r="D32" s="4" t="str">
        <f>Original!G67</f>
        <v>The Programme for Advancement through Health and Education (PATH)</v>
      </c>
      <c r="F32" s="162" t="str">
        <f t="shared" si="0"/>
        <v>Jamaica  |  The Programme for Advancement through Health and Education (PATH)</v>
      </c>
      <c r="G32" s="173">
        <f>Original!O$67</f>
        <v>22.610133229602258</v>
      </c>
    </row>
    <row r="33" spans="1:7">
      <c r="A33" s="4">
        <f>Original!A38</f>
        <v>1</v>
      </c>
      <c r="B33" s="4" t="str">
        <f>Original!C72</f>
        <v>Kenya</v>
      </c>
      <c r="C33" s="4" t="s">
        <v>289</v>
      </c>
      <c r="D33" s="4" t="str">
        <f>Original!G72</f>
        <v>Hunger Safety Net Programme, Pilot (universal pension)</v>
      </c>
      <c r="F33" s="162" t="str">
        <f t="shared" si="0"/>
        <v>Kenya  |  Hunger Safety Net Programme, Pilot (universal pension)</v>
      </c>
      <c r="G33" s="173">
        <f>Original!O$72</f>
        <v>25.593409994524201</v>
      </c>
    </row>
    <row r="34" spans="1:7">
      <c r="A34" s="4">
        <f>Original!A39</f>
        <v>1</v>
      </c>
      <c r="B34" s="4" t="str">
        <f>Original!C130</f>
        <v>Uganda</v>
      </c>
      <c r="C34" s="4" t="s">
        <v>289</v>
      </c>
      <c r="D34" s="4" t="str">
        <f>Original!G130</f>
        <v>Senior Citizens Grant (Pilot in 14 districts)</v>
      </c>
      <c r="F34" s="162" t="str">
        <f t="shared" si="0"/>
        <v>Uganda  |  Senior Citizens Grant (Pilot in 14 districts)</v>
      </c>
      <c r="G34" s="173">
        <f>Original!O$130</f>
        <v>27.402384960618008</v>
      </c>
    </row>
    <row r="35" spans="1:7" hidden="1">
      <c r="A35" s="4">
        <f>Original!A40</f>
        <v>0</v>
      </c>
      <c r="B35" s="4" t="str">
        <f>Original!C125</f>
        <v>Thailand</v>
      </c>
      <c r="C35" s="4" t="s">
        <v>289</v>
      </c>
      <c r="D35" s="4" t="str">
        <f>Original!G125</f>
        <v>Old Age Allowance (THA)</v>
      </c>
      <c r="F35" s="162" t="str">
        <f t="shared" si="0"/>
        <v>Thailand  |  Old Age Allowance (THA)</v>
      </c>
      <c r="G35" s="163">
        <f>Original!O$125</f>
        <v>33.713547227060737</v>
      </c>
    </row>
    <row r="36" spans="1:7">
      <c r="A36" s="4">
        <f>Original!A41</f>
        <v>1</v>
      </c>
      <c r="B36" s="4" t="str">
        <f>Original!C71</f>
        <v>Kenya</v>
      </c>
      <c r="C36" s="4" t="s">
        <v>289</v>
      </c>
      <c r="D36" s="4" t="str">
        <f>Original!G71</f>
        <v>Older Persons Cash Transfer</v>
      </c>
      <c r="F36" s="162" t="str">
        <f t="shared" si="0"/>
        <v>Kenya  |  Older Persons Cash Transfer</v>
      </c>
      <c r="G36" s="173">
        <f>Original!O$71</f>
        <v>35.711734876080278</v>
      </c>
    </row>
    <row r="37" spans="1:7">
      <c r="A37" s="4">
        <f>Original!A42</f>
        <v>1</v>
      </c>
      <c r="B37" s="4" t="str">
        <f>Original!C129</f>
        <v>Turkmenistan</v>
      </c>
      <c r="C37" s="4" t="s">
        <v>289</v>
      </c>
      <c r="D37" s="4" t="str">
        <f>Original!G129</f>
        <v xml:space="preserve">Social Allowance </v>
      </c>
      <c r="F37" s="162" t="str">
        <f t="shared" ref="F37:F68" si="1">CONCATENATE(B37,C37,D37)</f>
        <v xml:space="preserve">Turkmenistan  |  Social Allowance </v>
      </c>
      <c r="G37" s="173">
        <f>Original!O$129</f>
        <v>38.5</v>
      </c>
    </row>
    <row r="38" spans="1:7">
      <c r="A38" s="4">
        <f>Original!A43</f>
        <v>1</v>
      </c>
      <c r="B38" s="4" t="str">
        <f>Original!C61</f>
        <v xml:space="preserve">Indonesia </v>
      </c>
      <c r="C38" s="4" t="s">
        <v>289</v>
      </c>
      <c r="D38" s="4" t="str">
        <f>Original!G61</f>
        <v>Program Jaminan Sosial Lanjut Usia (Elderly Social Security Programme) (Pilot)</v>
      </c>
      <c r="F38" s="162" t="str">
        <f t="shared" si="1"/>
        <v>Indonesia   |  Program Jaminan Sosial Lanjut Usia (Elderly Social Security Programme) (Pilot)</v>
      </c>
      <c r="G38" s="173">
        <f>Original!O$61</f>
        <v>41.822239589294455</v>
      </c>
    </row>
    <row r="39" spans="1:7">
      <c r="A39" s="4">
        <f>Original!A44</f>
        <v>1</v>
      </c>
      <c r="B39" s="4" t="str">
        <f>Original!C120</f>
        <v>Swaziland</v>
      </c>
      <c r="C39" s="4" t="s">
        <v>289</v>
      </c>
      <c r="D39" s="4" t="str">
        <f>Original!G120</f>
        <v>Old Age Grant</v>
      </c>
      <c r="F39" s="162" t="str">
        <f t="shared" si="1"/>
        <v>Swaziland  |  Old Age Grant</v>
      </c>
      <c r="G39" s="173">
        <f>Original!O$120</f>
        <v>43.252595155709344</v>
      </c>
    </row>
    <row r="40" spans="1:7">
      <c r="A40" s="4">
        <f>Original!A45</f>
        <v>1</v>
      </c>
      <c r="B40" s="4" t="str">
        <f>Original!C92</f>
        <v>Mongolia</v>
      </c>
      <c r="C40" s="4" t="s">
        <v>289</v>
      </c>
      <c r="D40" s="4" t="str">
        <f>Original!G92</f>
        <v>Social welfare pension</v>
      </c>
      <c r="F40" s="162" t="str">
        <f t="shared" si="1"/>
        <v>Mongolia  |  Social welfare pension</v>
      </c>
      <c r="G40" s="173">
        <f>Original!O$92</f>
        <v>44.707824646840578</v>
      </c>
    </row>
    <row r="41" spans="1:7">
      <c r="A41" s="4">
        <f>Original!A46</f>
        <v>1</v>
      </c>
      <c r="B41" s="4" t="str">
        <f>Original!C34</f>
        <v>Colombia</v>
      </c>
      <c r="C41" s="4" t="s">
        <v>289</v>
      </c>
      <c r="D41" s="4" t="str">
        <f>Original!G34</f>
        <v>Programa de Proteccion Social al Adulto Mayor (PPSAM) (Social Protection Programme for Older People) (Regional scheme)</v>
      </c>
      <c r="F41" s="162" t="str">
        <f t="shared" si="1"/>
        <v>Colombia  |  Programa de Proteccion Social al Adulto Mayor (PPSAM) (Social Protection Programme for Older People) (Regional scheme)</v>
      </c>
      <c r="G41" s="173">
        <f>Original!O$34</f>
        <v>45.428836862775384</v>
      </c>
    </row>
    <row r="42" spans="1:7">
      <c r="A42" s="4">
        <f>Original!A47</f>
        <v>1</v>
      </c>
      <c r="B42" s="4" t="str">
        <f>Original!C79</f>
        <v>Lithuania</v>
      </c>
      <c r="C42" s="4" t="s">
        <v>289</v>
      </c>
      <c r="D42" s="4" t="str">
        <f>Original!G79</f>
        <v>Old age social assistance pension</v>
      </c>
      <c r="F42" s="162" t="str">
        <f t="shared" si="1"/>
        <v>Lithuania  |  Old age social assistance pension</v>
      </c>
      <c r="G42" s="173">
        <f>Original!O$79</f>
        <v>49.157466589192325</v>
      </c>
    </row>
    <row r="43" spans="1:7" hidden="1">
      <c r="A43" s="4">
        <f>Original!A48</f>
        <v>0</v>
      </c>
      <c r="B43" s="4" t="str">
        <f>Original!C97</f>
        <v>Nigeria</v>
      </c>
      <c r="C43" s="4" t="s">
        <v>289</v>
      </c>
      <c r="D43" s="4" t="str">
        <f>Original!G97</f>
        <v>Ekiti State Social Security Scheme (Ekiti State only)</v>
      </c>
      <c r="F43" s="162" t="str">
        <f t="shared" si="1"/>
        <v>Nigeria  |  Ekiti State Social Security Scheme (Ekiti State only)</v>
      </c>
      <c r="G43" s="163">
        <f>Original!O$97</f>
        <v>51.38851774959403</v>
      </c>
    </row>
    <row r="44" spans="1:7">
      <c r="A44" s="4">
        <f>Original!A49</f>
        <v>1</v>
      </c>
      <c r="B44" s="4" t="str">
        <f>Original!C12</f>
        <v>Armenia</v>
      </c>
      <c r="C44" s="4" t="s">
        <v>289</v>
      </c>
      <c r="D44" s="4" t="str">
        <f>Original!G12</f>
        <v>Old Age Social Pension</v>
      </c>
      <c r="F44" s="162" t="str">
        <f t="shared" si="1"/>
        <v>Armenia  |  Old Age Social Pension</v>
      </c>
      <c r="G44" s="173">
        <f>Original!O$12</f>
        <v>52.207419085501513</v>
      </c>
    </row>
    <row r="45" spans="1:7">
      <c r="A45" s="4">
        <f>Original!A50</f>
        <v>1</v>
      </c>
      <c r="B45" s="4" t="str">
        <f>Original!C25</f>
        <v>Botswana</v>
      </c>
      <c r="C45" s="4" t="s">
        <v>289</v>
      </c>
      <c r="D45" s="4" t="str">
        <f>Original!G25</f>
        <v>Old Age Pension (OAP)</v>
      </c>
      <c r="F45" s="162" t="str">
        <f t="shared" si="1"/>
        <v>Botswana  |  Old Age Pension (OAP)</v>
      </c>
      <c r="G45" s="173">
        <f>Original!O$25</f>
        <v>54.536440257808628</v>
      </c>
    </row>
    <row r="46" spans="1:7">
      <c r="A46" s="4">
        <f>Original!A51</f>
        <v>1</v>
      </c>
      <c r="B46" s="4" t="str">
        <f>Original!C76</f>
        <v>Kyrgyzstan</v>
      </c>
      <c r="C46" s="4" t="s">
        <v>289</v>
      </c>
      <c r="D46" s="4" t="str">
        <f>Original!G76</f>
        <v>Social assistance allowance (old age)</v>
      </c>
      <c r="F46" s="162" t="str">
        <f t="shared" si="1"/>
        <v>Kyrgyzstan  |  Social assistance allowance (old age)</v>
      </c>
      <c r="G46" s="173">
        <f>Original!O$76</f>
        <v>55.178502455443358</v>
      </c>
    </row>
    <row r="47" spans="1:7" hidden="1">
      <c r="A47" s="4">
        <f>Original!A52</f>
        <v>0</v>
      </c>
      <c r="B47" s="4" t="str">
        <f>Original!C126</f>
        <v>Timor-Leste</v>
      </c>
      <c r="C47" s="4" t="s">
        <v>289</v>
      </c>
      <c r="D47" s="4" t="str">
        <f>Original!G126</f>
        <v>Support allowance for the elderly</v>
      </c>
      <c r="F47" s="162" t="str">
        <f t="shared" si="1"/>
        <v>Timor-Leste  |  Support allowance for the elderly</v>
      </c>
      <c r="G47" s="163">
        <f>Original!O$126</f>
        <v>57.636887608069166</v>
      </c>
    </row>
    <row r="48" spans="1:7">
      <c r="A48" s="4">
        <f>Original!A53</f>
        <v>1</v>
      </c>
      <c r="B48" s="4" t="str">
        <f>Original!C88</f>
        <v>Mexico</v>
      </c>
      <c r="C48" s="4" t="s">
        <v>289</v>
      </c>
      <c r="D48" s="4" t="str">
        <f>Original!G88</f>
        <v>70 y mas</v>
      </c>
      <c r="F48" s="162" t="str">
        <f t="shared" si="1"/>
        <v>Mexico  |  70 y mas</v>
      </c>
      <c r="G48" s="173">
        <f>Original!O$88</f>
        <v>57.910586055130878</v>
      </c>
    </row>
    <row r="49" spans="1:7">
      <c r="A49" s="4">
        <f>Original!A54</f>
        <v>1</v>
      </c>
      <c r="B49" s="4" t="str">
        <f>Original!C78</f>
        <v>Lesotho</v>
      </c>
      <c r="C49" s="4" t="s">
        <v>289</v>
      </c>
      <c r="D49" s="4" t="str">
        <f>Original!G78</f>
        <v>Old Age Pension</v>
      </c>
      <c r="F49" s="162" t="str">
        <f t="shared" si="1"/>
        <v>Lesotho  |  Old Age Pension</v>
      </c>
      <c r="G49" s="173">
        <f>Original!O$78</f>
        <v>59.124950729207725</v>
      </c>
    </row>
    <row r="50" spans="1:7">
      <c r="A50" s="4">
        <f>Original!A55</f>
        <v>1</v>
      </c>
      <c r="B50" s="4" t="str">
        <f>Original!C24</f>
        <v>Bolivia</v>
      </c>
      <c r="C50" s="4" t="s">
        <v>289</v>
      </c>
      <c r="D50" s="4" t="str">
        <f>Original!G24</f>
        <v>Renta Dignidad or Renta Universal de Vejez (previously Bonosol)</v>
      </c>
      <c r="F50" s="162" t="str">
        <f t="shared" si="1"/>
        <v>Bolivia  |  Renta Dignidad or Renta Universal de Vejez (previously Bonosol)</v>
      </c>
      <c r="G50" s="173">
        <f>Original!O$24</f>
        <v>59.934072520227744</v>
      </c>
    </row>
    <row r="51" spans="1:7" hidden="1">
      <c r="A51" s="4">
        <f>Original!A56</f>
        <v>0</v>
      </c>
      <c r="B51" s="4" t="str">
        <f>Original!C89</f>
        <v>Mexico</v>
      </c>
      <c r="C51" s="4" t="s">
        <v>289</v>
      </c>
      <c r="D51" s="4" t="str">
        <f>Original!G89</f>
        <v>Amanecer</v>
      </c>
      <c r="F51" s="162" t="str">
        <f t="shared" si="1"/>
        <v>Mexico  |  Amanecer</v>
      </c>
      <c r="G51" s="163">
        <f>Original!O$89</f>
        <v>63.701644660643964</v>
      </c>
    </row>
    <row r="52" spans="1:7">
      <c r="A52" s="4">
        <f>Original!A57</f>
        <v>1</v>
      </c>
      <c r="B52" s="4" t="str">
        <f>Original!C70</f>
        <v>Kazakhstan</v>
      </c>
      <c r="C52" s="4" t="s">
        <v>289</v>
      </c>
      <c r="D52" s="4" t="str">
        <f>Original!G70</f>
        <v>State social benefit</v>
      </c>
      <c r="F52" s="162" t="str">
        <f t="shared" si="1"/>
        <v>Kazakhstan  |  State social benefit</v>
      </c>
      <c r="G52" s="173">
        <f>Original!O$70</f>
        <v>65.761352053398213</v>
      </c>
    </row>
    <row r="53" spans="1:7" hidden="1">
      <c r="A53" s="4">
        <f>Original!A58</f>
        <v>0</v>
      </c>
      <c r="B53" s="4" t="str">
        <f>Original!C32</f>
        <v>Cape Verde</v>
      </c>
      <c r="C53" s="4" t="s">
        <v>289</v>
      </c>
      <c r="D53" s="4" t="str">
        <f>Original!G32</f>
        <v>Pensao Social Minima (Minimum Social Pension)</v>
      </c>
      <c r="F53" s="162" t="str">
        <f t="shared" si="1"/>
        <v>Cape Verde  |  Pensao Social Minima (Minimum Social Pension)</v>
      </c>
      <c r="G53" s="163">
        <f>Original!O$32</f>
        <v>69.226189652069166</v>
      </c>
    </row>
    <row r="54" spans="1:7">
      <c r="A54" s="4">
        <f>Original!A59</f>
        <v>1</v>
      </c>
      <c r="B54" s="4" t="str">
        <f>Original!C43</f>
        <v>Ecuador</v>
      </c>
      <c r="C54" s="4" t="s">
        <v>289</v>
      </c>
      <c r="D54" s="4" t="str">
        <f>Original!G43</f>
        <v>Pension para Adultos Mayores (Pension for Older People/ Bono de Desarollo Humano )</v>
      </c>
      <c r="F54" s="162" t="str">
        <f t="shared" si="1"/>
        <v>Ecuador  |  Pension para Adultos Mayores (Pension for Older People/ Bono de Desarollo Humano )</v>
      </c>
      <c r="G54" s="173">
        <f>Original!O$43</f>
        <v>74.309978768577494</v>
      </c>
    </row>
    <row r="55" spans="1:7">
      <c r="A55" s="4">
        <f>Original!A60</f>
        <v>1</v>
      </c>
      <c r="B55" s="4" t="str">
        <f>Original!C102</f>
        <v>Peru</v>
      </c>
      <c r="C55" s="4" t="s">
        <v>289</v>
      </c>
      <c r="D55" s="4" t="str">
        <f>Original!G102</f>
        <v>Pension 65</v>
      </c>
      <c r="F55" s="162" t="str">
        <f t="shared" si="1"/>
        <v>Peru  |  Pension 65</v>
      </c>
      <c r="G55" s="173">
        <f>Original!O$102</f>
        <v>77.591558038485417</v>
      </c>
    </row>
    <row r="56" spans="1:7">
      <c r="A56" s="4">
        <f>Original!A61</f>
        <v>1</v>
      </c>
      <c r="B56" s="4" t="str">
        <f>Original!C53</f>
        <v>Guatemala</v>
      </c>
      <c r="C56" s="4" t="s">
        <v>289</v>
      </c>
      <c r="D56" s="4" t="str">
        <f>Original!G53</f>
        <v>Programa de aporte economico o del Adulto Mayor (Economic contribution programme for older people)</v>
      </c>
      <c r="F56" s="162" t="str">
        <f t="shared" si="1"/>
        <v>Guatemala  |  Programa de aporte economico o del Adulto Mayor (Economic contribution programme for older people)</v>
      </c>
      <c r="G56" s="173">
        <f>Original!O$53</f>
        <v>80.759135877246109</v>
      </c>
    </row>
    <row r="57" spans="1:7" hidden="1">
      <c r="A57" s="4">
        <f>Original!A62</f>
        <v>0</v>
      </c>
      <c r="B57" s="4" t="str">
        <f>Original!C135</f>
        <v>Uzbekestan</v>
      </c>
      <c r="C57" s="4" t="s">
        <v>289</v>
      </c>
      <c r="D57" s="4" t="str">
        <f>Original!G135</f>
        <v>Social pension</v>
      </c>
      <c r="F57" s="162" t="str">
        <f t="shared" si="1"/>
        <v>Uzbekestan  |  Social pension</v>
      </c>
      <c r="G57" s="163">
        <f>Original!O$135</f>
        <v>83.171004266537366</v>
      </c>
    </row>
    <row r="58" spans="1:7">
      <c r="A58" s="4">
        <f>Original!A63</f>
        <v>1</v>
      </c>
      <c r="B58" s="4" t="str">
        <f>Original!C49</f>
        <v>Georgia</v>
      </c>
      <c r="C58" s="4" t="s">
        <v>289</v>
      </c>
      <c r="D58" s="4" t="str">
        <f>Original!G49</f>
        <v>Old Age Pension</v>
      </c>
      <c r="F58" s="162" t="str">
        <f t="shared" si="1"/>
        <v>Georgia  |  Old Age Pension</v>
      </c>
      <c r="G58" s="173">
        <f>Original!O$49</f>
        <v>86.673889490790899</v>
      </c>
    </row>
    <row r="59" spans="1:7">
      <c r="A59" s="4">
        <f>Original!A64</f>
        <v>1</v>
      </c>
      <c r="B59" s="4" t="str">
        <f>Original!C128</f>
        <v>Turkey</v>
      </c>
      <c r="C59" s="4" t="s">
        <v>289</v>
      </c>
      <c r="D59" s="4" t="str">
        <f>Original!G128</f>
        <v>Means-tested Old Age Pension</v>
      </c>
      <c r="F59" s="162" t="str">
        <f t="shared" si="1"/>
        <v>Turkey  |  Means-tested Old Age Pension</v>
      </c>
      <c r="G59" s="173">
        <f>Original!O$128</f>
        <v>87.453874538745382</v>
      </c>
    </row>
    <row r="60" spans="1:7">
      <c r="A60" s="4">
        <f>Original!A65</f>
        <v>1</v>
      </c>
      <c r="B60" s="4" t="str">
        <f>Original!C93</f>
        <v>Namibia</v>
      </c>
      <c r="C60" s="4" t="s">
        <v>289</v>
      </c>
      <c r="D60" s="4" t="str">
        <f>Original!G93</f>
        <v>Old Age Pension (OAP)</v>
      </c>
      <c r="F60" s="162" t="str">
        <f t="shared" si="1"/>
        <v>Namibia  |  Old Age Pension (OAP)</v>
      </c>
      <c r="G60" s="173">
        <f>Original!O$93</f>
        <v>91.257528746121551</v>
      </c>
    </row>
    <row r="61" spans="1:7" hidden="1">
      <c r="A61" s="4">
        <f>Original!A66</f>
        <v>0</v>
      </c>
      <c r="B61" s="4" t="str">
        <f>Original!C111</f>
        <v>Samoa</v>
      </c>
      <c r="C61" s="4" t="s">
        <v>289</v>
      </c>
      <c r="D61" s="4" t="str">
        <f>Original!G111</f>
        <v>Senior Citizens Benefit</v>
      </c>
      <c r="F61" s="162" t="str">
        <f t="shared" si="1"/>
        <v>Samoa  |  Senior Citizens Benefit</v>
      </c>
      <c r="G61" s="163">
        <f>Original!O$111</f>
        <v>93.795093795093806</v>
      </c>
    </row>
    <row r="62" spans="1:7">
      <c r="A62" s="4">
        <f>Original!A67</f>
        <v>1</v>
      </c>
      <c r="B62" s="4" t="str">
        <f>Original!C22</f>
        <v>Belize</v>
      </c>
      <c r="C62" s="4" t="s">
        <v>289</v>
      </c>
      <c r="D62" s="4" t="str">
        <f>Original!G22</f>
        <v>Non-Contributory Pension Programme (NCP)</v>
      </c>
      <c r="F62" s="162" t="str">
        <f t="shared" si="1"/>
        <v>Belize  |  Non-Contributory Pension Programme (NCP)</v>
      </c>
      <c r="G62" s="173">
        <f>Original!O$22</f>
        <v>94.161958568738228</v>
      </c>
    </row>
    <row r="63" spans="1:7">
      <c r="A63" s="4">
        <f>Original!A68</f>
        <v>1</v>
      </c>
      <c r="B63" s="4" t="str">
        <f>Original!C44</f>
        <v>El Salvador</v>
      </c>
      <c r="C63" s="4" t="s">
        <v>289</v>
      </c>
      <c r="D63" s="4" t="str">
        <f>Original!G44</f>
        <v>Pension Basica Universal (Universal basic pension)</v>
      </c>
      <c r="F63" s="162" t="str">
        <f t="shared" si="1"/>
        <v>El Salvador  |  Pension Basica Universal (Universal basic pension)</v>
      </c>
      <c r="G63" s="173">
        <f>Original!O$44</f>
        <v>101.6260162601626</v>
      </c>
    </row>
    <row r="64" spans="1:7">
      <c r="A64" s="4">
        <f>Original!A69</f>
        <v>1</v>
      </c>
      <c r="B64" s="4" t="str">
        <f>Original!C87</f>
        <v>Mexico</v>
      </c>
      <c r="C64" s="4" t="s">
        <v>289</v>
      </c>
      <c r="D64" s="4" t="str">
        <f>Original!G87</f>
        <v>Pension Alimentaria Ciudadana</v>
      </c>
      <c r="F64" s="162" t="str">
        <f t="shared" si="1"/>
        <v>Mexico  |  Pension Alimentaria Ciudadana</v>
      </c>
      <c r="G64" s="173">
        <f>Original!O$87</f>
        <v>103.89159138290479</v>
      </c>
    </row>
    <row r="65" spans="1:7">
      <c r="A65" s="4">
        <f>Original!A70</f>
        <v>1</v>
      </c>
      <c r="B65" s="4" t="str">
        <f>Original!C20</f>
        <v>Belarus</v>
      </c>
      <c r="C65" s="4" t="s">
        <v>289</v>
      </c>
      <c r="D65" s="4" t="str">
        <f>Original!G20</f>
        <v>Social old-age pension (social assistance</v>
      </c>
      <c r="F65" s="162" t="str">
        <f t="shared" si="1"/>
        <v>Belarus  |  Social old-age pension (social assistance</v>
      </c>
      <c r="G65" s="173">
        <f>Original!O$20</f>
        <v>107</v>
      </c>
    </row>
    <row r="66" spans="1:7">
      <c r="A66" s="4">
        <f>Original!A71</f>
        <v>1</v>
      </c>
      <c r="B66" s="4" t="str">
        <f>Original!C77</f>
        <v>Latvia</v>
      </c>
      <c r="C66" s="4" t="s">
        <v>289</v>
      </c>
      <c r="D66" s="4" t="str">
        <f>Original!G77</f>
        <v>State social security benefit</v>
      </c>
      <c r="F66" s="162" t="str">
        <f t="shared" si="1"/>
        <v>Latvia  |  State social security benefit</v>
      </c>
      <c r="G66" s="173">
        <f>Original!O$77</f>
        <v>110.83743842364531</v>
      </c>
    </row>
    <row r="67" spans="1:7">
      <c r="A67" s="4">
        <f>Original!A72</f>
        <v>1</v>
      </c>
      <c r="B67" s="4" t="str">
        <f>Original!C109</f>
        <v>Saint Vincent and the Grenadines</v>
      </c>
      <c r="C67" s="4" t="s">
        <v>289</v>
      </c>
      <c r="D67" s="4" t="str">
        <f>Original!G109</f>
        <v>Elderly Assistance Benefit</v>
      </c>
      <c r="F67" s="162" t="str">
        <f t="shared" si="1"/>
        <v>Saint Vincent and the Grenadines  |  Elderly Assistance Benefit</v>
      </c>
      <c r="G67" s="173">
        <f>Original!O$109</f>
        <v>111.53054221002058</v>
      </c>
    </row>
    <row r="68" spans="1:7">
      <c r="A68" s="4">
        <f>Original!A73</f>
        <v>1</v>
      </c>
      <c r="B68" s="4" t="str">
        <f>Original!C54</f>
        <v>Guyana</v>
      </c>
      <c r="C68" s="4" t="s">
        <v>289</v>
      </c>
      <c r="D68" s="4" t="str">
        <f>Original!G54</f>
        <v>Old Age Pension</v>
      </c>
      <c r="F68" s="162" t="str">
        <f t="shared" si="1"/>
        <v>Guyana  |  Old Age Pension</v>
      </c>
      <c r="G68" s="173">
        <f>Original!O$54</f>
        <v>114.06410402646287</v>
      </c>
    </row>
    <row r="69" spans="1:7">
      <c r="A69" s="4">
        <f>Original!A74</f>
        <v>1</v>
      </c>
      <c r="B69" s="4" t="str">
        <f>Original!C74</f>
        <v>Korea, Republic of</v>
      </c>
      <c r="C69" s="4" t="s">
        <v>289</v>
      </c>
      <c r="D69" s="4" t="str">
        <f>Original!G74</f>
        <v>Basic old-age pension</v>
      </c>
      <c r="F69" s="162" t="str">
        <f t="shared" ref="F69:F100" si="2">CONCATENATE(B69,C69,D69)</f>
        <v>Korea, Republic of  |  Basic old-age pension</v>
      </c>
      <c r="G69" s="173">
        <f>Original!O$74</f>
        <v>114.57056139575084</v>
      </c>
    </row>
    <row r="70" spans="1:7">
      <c r="A70" s="4">
        <f>Original!A75</f>
        <v>1</v>
      </c>
      <c r="B70" s="4" t="str">
        <f>Original!C15</f>
        <v>Azerbaijan</v>
      </c>
      <c r="C70" s="4" t="s">
        <v>289</v>
      </c>
      <c r="D70" s="4" t="str">
        <f>Original!G15</f>
        <v>Social Allowance (Old Age)</v>
      </c>
      <c r="F70" s="162" t="str">
        <f t="shared" si="2"/>
        <v>Azerbaijan  |  Social Allowance (Old Age)</v>
      </c>
      <c r="G70" s="173">
        <f>Original!O$15</f>
        <v>122</v>
      </c>
    </row>
    <row r="71" spans="1:7">
      <c r="A71" s="4">
        <f>Original!A76</f>
        <v>1</v>
      </c>
      <c r="B71" s="4" t="str">
        <f>Original!C75</f>
        <v>Kosovo</v>
      </c>
      <c r="C71" s="4" t="s">
        <v>289</v>
      </c>
      <c r="D71" s="4" t="str">
        <f>Original!G75</f>
        <v>Old age "basic pension"</v>
      </c>
      <c r="F71" s="162" t="str">
        <f t="shared" si="2"/>
        <v>Kosovo  |  Old age "basic pension"</v>
      </c>
      <c r="G71" s="173">
        <f>Original!O$75</f>
        <v>128.2051282051282</v>
      </c>
    </row>
    <row r="72" spans="1:7">
      <c r="A72" s="4">
        <f>Original!A77</f>
        <v>1</v>
      </c>
      <c r="B72" s="4" t="str">
        <f>Original!C10</f>
        <v>Antigua and Barbuda</v>
      </c>
      <c r="C72" s="4" t="s">
        <v>289</v>
      </c>
      <c r="D72" s="4" t="str">
        <f>Original!G10</f>
        <v>Old Age Assistance Programme</v>
      </c>
      <c r="F72" s="162" t="str">
        <f t="shared" si="2"/>
        <v>Antigua and Barbuda  |  Old Age Assistance Programme</v>
      </c>
      <c r="G72" s="173">
        <f>Original!O$10</f>
        <v>130.76923076923077</v>
      </c>
    </row>
    <row r="73" spans="1:7">
      <c r="A73" s="4">
        <f>Original!A78</f>
        <v>1</v>
      </c>
      <c r="B73" s="4" t="str">
        <f>Original!C42</f>
        <v>Dominican republic</v>
      </c>
      <c r="C73" s="4" t="s">
        <v>289</v>
      </c>
      <c r="D73" s="4" t="str">
        <f>Original!G42</f>
        <v>Programa Nonagenarios (Nonagarians Programme)</v>
      </c>
      <c r="F73" s="162" t="str">
        <f t="shared" si="2"/>
        <v>Dominican republic  |  Programa Nonagenarios (Nonagarians Programme)</v>
      </c>
      <c r="G73" s="173">
        <f>Original!O$42</f>
        <v>133.0372616984402</v>
      </c>
    </row>
    <row r="74" spans="1:7">
      <c r="A74" s="4">
        <f>Original!A79</f>
        <v>1</v>
      </c>
      <c r="B74" s="4" t="str">
        <f>Original!C101</f>
        <v>Paraguay</v>
      </c>
      <c r="C74" s="4" t="s">
        <v>289</v>
      </c>
      <c r="D74" s="4" t="str">
        <f>Original!G101</f>
        <v>Pension alimentaria</v>
      </c>
      <c r="F74" s="162" t="str">
        <f t="shared" si="2"/>
        <v>Paraguay  |  Pension alimentaria</v>
      </c>
      <c r="G74" s="173">
        <f>Original!O$101</f>
        <v>138.52140192500539</v>
      </c>
    </row>
    <row r="75" spans="1:7">
      <c r="A75" s="4">
        <f>Original!A80</f>
        <v>1</v>
      </c>
      <c r="B75" s="4" t="str">
        <f>Original!C29</f>
        <v>Bulgaria</v>
      </c>
      <c r="C75" s="4" t="s">
        <v>289</v>
      </c>
      <c r="D75" s="4" t="str">
        <f>Original!G29</f>
        <v xml:space="preserve">Pensions not Related to Labour Activity Fund </v>
      </c>
      <c r="F75" s="162" t="str">
        <f t="shared" si="2"/>
        <v xml:space="preserve">Bulgaria  |  Pensions not Related to Labour Activity Fund </v>
      </c>
      <c r="G75" s="173">
        <f>Original!O$29</f>
        <v>139.31034482758622</v>
      </c>
    </row>
    <row r="76" spans="1:7">
      <c r="A76" s="4">
        <f>Original!A81</f>
        <v>1</v>
      </c>
      <c r="B76" s="4" t="str">
        <f>Original!C38</f>
        <v>Czech republic</v>
      </c>
      <c r="C76" s="4" t="s">
        <v>289</v>
      </c>
      <c r="D76" s="4" t="str">
        <f>Original!G38</f>
        <v>Basic pension</v>
      </c>
      <c r="F76" s="162" t="str">
        <f t="shared" si="2"/>
        <v>Czech republic  |  Basic pension</v>
      </c>
      <c r="G76" s="173">
        <f>Original!O$38</f>
        <v>140.22999999999999</v>
      </c>
    </row>
    <row r="77" spans="1:7" hidden="1">
      <c r="A77" s="4">
        <f>Original!A82</f>
        <v>0</v>
      </c>
      <c r="B77" s="4" t="str">
        <f>Original!C83</f>
        <v>Malaysia</v>
      </c>
      <c r="C77" s="4" t="s">
        <v>289</v>
      </c>
      <c r="D77" s="4" t="str">
        <f>Original!G83</f>
        <v xml:space="preserve">Bantuan Orang Tua </v>
      </c>
      <c r="F77" s="162" t="str">
        <f t="shared" si="2"/>
        <v xml:space="preserve">Malaysia  |  Bantuan Orang Tua </v>
      </c>
      <c r="G77" s="163">
        <f>Original!O$83</f>
        <v>163.1321370309951</v>
      </c>
    </row>
    <row r="78" spans="1:7" hidden="1">
      <c r="A78" s="4">
        <f>Original!A83</f>
        <v>0</v>
      </c>
      <c r="B78" s="4" t="str">
        <f>Original!C100</f>
        <v>Panama</v>
      </c>
      <c r="C78" s="4" t="s">
        <v>289</v>
      </c>
      <c r="D78" s="4" t="str">
        <f>Original!G100</f>
        <v>100 a los 70</v>
      </c>
      <c r="F78" s="162" t="str">
        <f t="shared" si="2"/>
        <v>Panama  |  100 a los 70</v>
      </c>
      <c r="G78" s="163">
        <f>Original!O$100</f>
        <v>165.56291390728478</v>
      </c>
    </row>
    <row r="79" spans="1:7">
      <c r="A79" s="4">
        <f>Original!A84</f>
        <v>1</v>
      </c>
      <c r="B79" s="4" t="str">
        <f>Original!C57</f>
        <v>Hungary</v>
      </c>
      <c r="C79" s="4" t="s">
        <v>289</v>
      </c>
      <c r="D79" s="4" t="str">
        <f>Original!G57</f>
        <v>Idoskoruak jaradeka (Old Age Allowance)</v>
      </c>
      <c r="F79" s="162" t="str">
        <f t="shared" si="2"/>
        <v>Hungary  |  Idoskoruak jaradeka (Old Age Allowance)</v>
      </c>
      <c r="G79" s="173">
        <f>Original!O$57</f>
        <v>167.6865144739939</v>
      </c>
    </row>
    <row r="80" spans="1:7">
      <c r="A80" s="4">
        <f>Original!A85</f>
        <v>1</v>
      </c>
      <c r="B80" s="4" t="str">
        <f>Original!C86</f>
        <v>Mauritius</v>
      </c>
      <c r="C80" s="4" t="s">
        <v>289</v>
      </c>
      <c r="D80" s="4" t="str">
        <f>Original!G86</f>
        <v>Basic Retirement Pension</v>
      </c>
      <c r="F80" s="162" t="str">
        <f t="shared" si="2"/>
        <v>Mauritius  |  Basic Retirement Pension</v>
      </c>
      <c r="G80" s="173">
        <f>Original!O$86</f>
        <v>186.72839506172841</v>
      </c>
    </row>
    <row r="81" spans="1:7">
      <c r="A81" s="4">
        <f>Original!A86</f>
        <v>1</v>
      </c>
      <c r="B81" s="4" t="str">
        <f>Original!C36</f>
        <v>Costa Rica</v>
      </c>
      <c r="C81" s="4" t="s">
        <v>289</v>
      </c>
      <c r="D81" s="4" t="str">
        <f>Original!G36</f>
        <v>Programa Regimen No Contributivo</v>
      </c>
      <c r="F81" s="162" t="str">
        <f t="shared" si="2"/>
        <v>Costa Rica  |  Programa Regimen No Contributivo</v>
      </c>
      <c r="G81" s="173">
        <f>Original!O$36</f>
        <v>190.4354556193735</v>
      </c>
    </row>
    <row r="82" spans="1:7">
      <c r="A82" s="4">
        <f>Original!A87</f>
        <v>1</v>
      </c>
      <c r="B82" s="4" t="str">
        <f>Original!C40</f>
        <v>Czech republic</v>
      </c>
      <c r="C82" s="4" t="s">
        <v>289</v>
      </c>
      <c r="D82" s="4" t="str">
        <f>Original!G40</f>
        <v>Minimum pension</v>
      </c>
      <c r="F82" s="162" t="str">
        <f t="shared" si="2"/>
        <v>Czech republic  |  Minimum pension</v>
      </c>
      <c r="G82" s="173">
        <f>Original!O$40</f>
        <v>193.43324610536868</v>
      </c>
    </row>
    <row r="83" spans="1:7">
      <c r="A83" s="4">
        <f>Original!A88</f>
        <v>1</v>
      </c>
      <c r="B83" s="4" t="str">
        <f>Original!C131</f>
        <v>Ukraine</v>
      </c>
      <c r="C83" s="4" t="s">
        <v>289</v>
      </c>
      <c r="D83" s="4" t="str">
        <f>Original!G131</f>
        <v>Social pension + social pension supplement</v>
      </c>
      <c r="F83" s="162" t="str">
        <f t="shared" si="2"/>
        <v>Ukraine  |  Social pension + social pension supplement</v>
      </c>
      <c r="G83" s="173">
        <f>Original!O$131</f>
        <v>194.67787114845939</v>
      </c>
    </row>
    <row r="84" spans="1:7" hidden="1">
      <c r="A84" s="4">
        <f>Original!A89</f>
        <v>0</v>
      </c>
      <c r="B84" s="4" t="str">
        <f>Original!C84</f>
        <v>Maldives</v>
      </c>
      <c r="C84" s="4" t="s">
        <v>289</v>
      </c>
      <c r="D84" s="4" t="str">
        <f>Original!G84</f>
        <v>Old-age Basic Pension</v>
      </c>
      <c r="F84" s="162" t="str">
        <f t="shared" si="2"/>
        <v>Maldives  |  Old-age Basic Pension</v>
      </c>
      <c r="G84" s="163">
        <f>Original!O$84</f>
        <v>194.96977968414896</v>
      </c>
    </row>
    <row r="85" spans="1:7" hidden="1">
      <c r="A85" s="4">
        <f>Original!A90</f>
        <v>0</v>
      </c>
      <c r="B85" s="4" t="str">
        <f>Original!C33</f>
        <v>Chile</v>
      </c>
      <c r="C85" s="4" t="s">
        <v>289</v>
      </c>
      <c r="D85" s="4" t="str">
        <f>Original!G33</f>
        <v>Pension Basica Solidaria de Vejez (PBS-Vejez)</v>
      </c>
      <c r="F85" s="162" t="str">
        <f t="shared" si="2"/>
        <v>Chile  |  Pension Basica Solidaria de Vejez (PBS-Vejez)</v>
      </c>
      <c r="G85" s="163">
        <f>Original!O$33</f>
        <v>195.60366128843245</v>
      </c>
    </row>
    <row r="86" spans="1:7">
      <c r="A86" s="4">
        <f>Original!A91</f>
        <v>1</v>
      </c>
      <c r="B86" s="4" t="str">
        <f>Original!C59</f>
        <v>Iceland</v>
      </c>
      <c r="C86" s="4" t="s">
        <v>289</v>
      </c>
      <c r="D86" s="4" t="str">
        <f>Original!G59</f>
        <v>lífeyristryggingar almannatrygginga (National Basic Pension)</v>
      </c>
      <c r="F86" s="162" t="str">
        <f t="shared" si="2"/>
        <v>Iceland  |  lífeyristryggingar almannatrygginga (National Basic Pension)</v>
      </c>
      <c r="G86" s="173">
        <f>Original!O$59</f>
        <v>195.63810756289726</v>
      </c>
    </row>
    <row r="87" spans="1:7">
      <c r="A87" s="4">
        <f>Original!A92</f>
        <v>1</v>
      </c>
      <c r="B87" s="4" t="str">
        <f>Original!C55</f>
        <v>Hong Kong</v>
      </c>
      <c r="C87" s="4" t="s">
        <v>289</v>
      </c>
      <c r="D87" s="4" t="str">
        <f>Original!G55</f>
        <v>Normal/higher old age allowance</v>
      </c>
      <c r="F87" s="162" t="str">
        <f t="shared" si="2"/>
        <v>Hong Kong  |  Normal/higher old age allowance</v>
      </c>
      <c r="G87" s="173">
        <f>Original!O$55</f>
        <v>196.82195738533767</v>
      </c>
    </row>
    <row r="88" spans="1:7">
      <c r="A88" s="4">
        <f>Original!A93</f>
        <v>1</v>
      </c>
      <c r="B88" s="4" t="str">
        <f>Original!C45</f>
        <v>Estonia</v>
      </c>
      <c r="C88" s="4" t="s">
        <v>289</v>
      </c>
      <c r="D88" s="4" t="str">
        <f>Original!G45</f>
        <v>National Pension</v>
      </c>
      <c r="F88" s="162" t="str">
        <f t="shared" si="2"/>
        <v>Estonia  |  National Pension</v>
      </c>
      <c r="G88" s="173">
        <f>Original!O$45</f>
        <v>219.57264957264957</v>
      </c>
    </row>
    <row r="89" spans="1:7">
      <c r="A89" s="4">
        <f>Original!A94</f>
        <v>1</v>
      </c>
      <c r="B89" s="4" t="str">
        <f>Original!C73</f>
        <v>Kiribati</v>
      </c>
      <c r="C89" s="4" t="s">
        <v>289</v>
      </c>
      <c r="D89" s="4" t="str">
        <f>Original!G73</f>
        <v>Elderly pension</v>
      </c>
      <c r="F89" s="162" t="str">
        <f t="shared" si="2"/>
        <v>Kiribati  |  Elderly pension</v>
      </c>
      <c r="G89" s="173">
        <f>Original!O$73</f>
        <v>222.2222222222222</v>
      </c>
    </row>
    <row r="90" spans="1:7">
      <c r="A90" s="4">
        <f>Original!A95</f>
        <v>1</v>
      </c>
      <c r="B90" s="4" t="str">
        <f>Original!C116</f>
        <v>South Africa</v>
      </c>
      <c r="C90" s="4" t="s">
        <v>289</v>
      </c>
      <c r="D90" s="4" t="str">
        <f>Original!G116</f>
        <v>Grant for Older Persons</v>
      </c>
      <c r="F90" s="162" t="str">
        <f t="shared" si="2"/>
        <v>South Africa  |  Grant for Older Persons</v>
      </c>
      <c r="G90" s="173">
        <f>Original!O$116</f>
        <v>225.05626406601652</v>
      </c>
    </row>
    <row r="91" spans="1:7">
      <c r="A91" s="4">
        <f>Original!A96</f>
        <v>1</v>
      </c>
      <c r="B91" s="4" t="str">
        <f>Original!C39</f>
        <v>Czech republic</v>
      </c>
      <c r="C91" s="4" t="s">
        <v>289</v>
      </c>
      <c r="D91" s="4" t="str">
        <f>Original!G39</f>
        <v>Targeted pension</v>
      </c>
      <c r="F91" s="162" t="str">
        <f t="shared" si="2"/>
        <v>Czech republic  |  Targeted pension</v>
      </c>
      <c r="G91" s="173">
        <f>Original!O$39</f>
        <v>226.8</v>
      </c>
    </row>
    <row r="92" spans="1:7">
      <c r="A92" s="4">
        <f>Original!A97</f>
        <v>1</v>
      </c>
      <c r="B92" s="4" t="str">
        <f>Original!C11</f>
        <v>Argentina</v>
      </c>
      <c r="C92" s="4" t="s">
        <v>289</v>
      </c>
      <c r="D92" s="4" t="str">
        <f>Original!G11</f>
        <v>Pensiones Asistenciales</v>
      </c>
      <c r="F92" s="162" t="str">
        <f t="shared" si="2"/>
        <v>Argentina  |  Pensiones Asistenciales</v>
      </c>
      <c r="G92" s="173">
        <f>Original!O$11</f>
        <v>239.81900452488688</v>
      </c>
    </row>
    <row r="93" spans="1:7">
      <c r="A93" s="4">
        <f>Original!A98</f>
        <v>1</v>
      </c>
      <c r="B93" s="4" t="str">
        <f>Original!C119</f>
        <v>Suriname</v>
      </c>
      <c r="C93" s="4" t="s">
        <v>289</v>
      </c>
      <c r="D93" s="4" t="str">
        <f>Original!G119</f>
        <v>State Old Age Pension (Algemene Oudedags Voorzieningsfonds (AOV))</v>
      </c>
      <c r="F93" s="162" t="str">
        <f t="shared" si="2"/>
        <v>Suriname  |  State Old Age Pension (Algemene Oudedags Voorzieningsfonds (AOV))</v>
      </c>
      <c r="G93" s="173">
        <f>Original!O$119</f>
        <v>251.13008538422901</v>
      </c>
    </row>
    <row r="94" spans="1:7" hidden="1">
      <c r="A94" s="4">
        <f>Original!A99</f>
        <v>0</v>
      </c>
      <c r="B94" s="4" t="str">
        <f>Original!C28</f>
        <v>Brunei Darussalam</v>
      </c>
      <c r="C94" s="4" t="s">
        <v>289</v>
      </c>
      <c r="D94" s="4" t="str">
        <f>Original!G28</f>
        <v>Old Age pension</v>
      </c>
      <c r="F94" s="162" t="str">
        <f t="shared" si="2"/>
        <v>Brunei Darussalam  |  Old Age pension</v>
      </c>
      <c r="G94" s="163">
        <f>Original!O$28</f>
        <v>268</v>
      </c>
    </row>
    <row r="95" spans="1:7">
      <c r="A95" s="4">
        <f>Original!A100</f>
        <v>1</v>
      </c>
      <c r="B95" s="4" t="str">
        <f>Original!C106</f>
        <v>Portugal</v>
      </c>
      <c r="C95" s="4" t="s">
        <v>289</v>
      </c>
      <c r="D95" s="4" t="str">
        <f>Original!G106</f>
        <v>Pensao Social de Velhice (Old Age Social Pension)</v>
      </c>
      <c r="F95" s="162" t="str">
        <f t="shared" si="2"/>
        <v>Portugal  |  Pensao Social de Velhice (Old Age Social Pension)</v>
      </c>
      <c r="G95" s="173">
        <f>Original!O$106</f>
        <v>279.5422031473534</v>
      </c>
    </row>
    <row r="96" spans="1:7">
      <c r="A96" s="4">
        <f>Original!A101</f>
        <v>1</v>
      </c>
      <c r="B96" s="4" t="str">
        <f>Original!C114</f>
        <v>Slovenia</v>
      </c>
      <c r="C96" s="4" t="s">
        <v>289</v>
      </c>
      <c r="D96" s="4" t="str">
        <f>Original!G114</f>
        <v>State pension</v>
      </c>
      <c r="F96" s="162" t="str">
        <f t="shared" si="2"/>
        <v>Slovenia  |  State pension</v>
      </c>
      <c r="G96" s="173">
        <f>Original!O$114</f>
        <v>290.64102564102564</v>
      </c>
    </row>
    <row r="97" spans="1:7">
      <c r="A97" s="4">
        <f>Original!A102</f>
        <v>1</v>
      </c>
      <c r="B97" s="4" t="str">
        <f>Original!C134</f>
        <v>Uruguay</v>
      </c>
      <c r="C97" s="4" t="s">
        <v>289</v>
      </c>
      <c r="D97" s="4" t="str">
        <f>Original!G134</f>
        <v>Pensión por Vejez (Programa de Pensiones No-Contributivas)</v>
      </c>
      <c r="F97" s="162" t="str">
        <f t="shared" si="2"/>
        <v>Uruguay  |  Pensión por Vejez (Programa de Pensiones No-Contributivas)</v>
      </c>
      <c r="G97" s="173">
        <f>Original!O$134</f>
        <v>296.52898731027619</v>
      </c>
    </row>
    <row r="98" spans="1:7">
      <c r="A98" s="4">
        <f>Original!A103</f>
        <v>1</v>
      </c>
      <c r="B98" s="4" t="str">
        <f>Original!C16</f>
        <v>Bahamas</v>
      </c>
      <c r="C98" s="4" t="s">
        <v>289</v>
      </c>
      <c r="D98" s="4" t="str">
        <f>Original!G16</f>
        <v>Old Age Non-Contributory Pension (OANCP)</v>
      </c>
      <c r="F98" s="162" t="str">
        <f t="shared" si="2"/>
        <v>Bahamas  |  Old Age Non-Contributory Pension (OANCP)</v>
      </c>
      <c r="G98" s="173">
        <f>Original!O$16</f>
        <v>316</v>
      </c>
    </row>
    <row r="99" spans="1:7">
      <c r="A99" s="4">
        <f>Original!A104</f>
        <v>1</v>
      </c>
      <c r="B99" s="4" t="str">
        <f>Original!C26</f>
        <v>Brazil [Rural pensionn]</v>
      </c>
      <c r="C99" s="4" t="s">
        <v>289</v>
      </c>
      <c r="D99" s="4" t="str">
        <f>Original!G26</f>
        <v>Previdencia Rural (Rural Pension)</v>
      </c>
      <c r="F99" s="162" t="str">
        <f t="shared" si="2"/>
        <v>Brazil [Rural pensionn]  |  Previdencia Rural (Rural Pension)</v>
      </c>
      <c r="G99" s="173">
        <f>Original!O$26</f>
        <v>330.85106382978728</v>
      </c>
    </row>
    <row r="100" spans="1:7" hidden="1">
      <c r="A100" s="4">
        <f>Original!A105</f>
        <v>0</v>
      </c>
      <c r="B100" s="4" t="str">
        <f>Original!C27</f>
        <v>Brazil [BPC]</v>
      </c>
      <c r="C100" s="4" t="s">
        <v>289</v>
      </c>
      <c r="D100" s="4" t="str">
        <f>Original!G27</f>
        <v>Beneficio de Prestacao Continuada (BPC / Continuous Cash Benefit)</v>
      </c>
      <c r="F100" s="162" t="str">
        <f t="shared" si="2"/>
        <v>Brazil [BPC]  |  Beneficio de Prestacao Continuada (BPC / Continuous Cash Benefit)</v>
      </c>
      <c r="G100" s="163">
        <f>Original!O$27</f>
        <v>330.85106382978728</v>
      </c>
    </row>
    <row r="101" spans="1:7">
      <c r="A101" s="4">
        <f>Original!A106</f>
        <v>1</v>
      </c>
      <c r="B101" s="4" t="str">
        <f>Original!C64</f>
        <v>Israel</v>
      </c>
      <c r="C101" s="4" t="s">
        <v>289</v>
      </c>
      <c r="D101" s="4" t="str">
        <f>Original!G64</f>
        <v>Income support benefit | Special old age benefit</v>
      </c>
      <c r="F101" s="162" t="str">
        <f t="shared" ref="F101:F134" si="3">CONCATENATE(B101,C101,D101)</f>
        <v>Israel  |  Income support benefit | Special old age benefit</v>
      </c>
      <c r="G101" s="173">
        <f>Original!O$64</f>
        <v>401.57266811279823</v>
      </c>
    </row>
    <row r="102" spans="1:7" hidden="1">
      <c r="A102" s="4">
        <f>Original!A107</f>
        <v>0</v>
      </c>
      <c r="B102" s="4" t="str">
        <f>Original!C19</f>
        <v>Barbados</v>
      </c>
      <c r="C102" s="4" t="s">
        <v>289</v>
      </c>
      <c r="D102" s="4" t="str">
        <f>Original!G19</f>
        <v>Non-contributory Old Age Pension</v>
      </c>
      <c r="F102" s="162" t="str">
        <f t="shared" si="3"/>
        <v>Barbados  |  Non-contributory Old Age Pension</v>
      </c>
      <c r="G102" s="163">
        <f>Original!O$19</f>
        <v>421</v>
      </c>
    </row>
    <row r="103" spans="1:7" hidden="1">
      <c r="A103" s="4">
        <f>Original!A108</f>
        <v>0</v>
      </c>
      <c r="B103" s="4" t="str">
        <f>Original!C136</f>
        <v>Venezuela</v>
      </c>
      <c r="C103" s="4" t="s">
        <v>289</v>
      </c>
      <c r="D103" s="4" t="str">
        <f>Original!G136</f>
        <v>Gran Mision Amor Mayor</v>
      </c>
      <c r="F103" s="162" t="str">
        <f t="shared" si="3"/>
        <v>Venezuela  |  Gran Mision Amor Mayor</v>
      </c>
      <c r="G103" s="163">
        <f>Original!O$136</f>
        <v>427.38818332413035</v>
      </c>
    </row>
    <row r="104" spans="1:7">
      <c r="A104" s="4">
        <f>Original!A109</f>
        <v>1</v>
      </c>
      <c r="B104" s="4" t="str">
        <f>Original!C37</f>
        <v>Cyprus</v>
      </c>
      <c r="C104" s="4" t="s">
        <v>289</v>
      </c>
      <c r="D104" s="4" t="str">
        <f>Original!G37</f>
        <v>Social Pension Scheme</v>
      </c>
      <c r="F104" s="162" t="str">
        <f t="shared" si="3"/>
        <v>Cyprus  |  Social Pension Scheme</v>
      </c>
      <c r="G104" s="173">
        <f>Original!O$37</f>
        <v>429.8941798941799</v>
      </c>
    </row>
    <row r="105" spans="1:7" hidden="1">
      <c r="A105" s="4">
        <f>Original!A110</f>
        <v>0</v>
      </c>
      <c r="B105" s="4" t="str">
        <f>Original!C31</f>
        <v>Canada basic</v>
      </c>
      <c r="C105" s="4" t="s">
        <v>289</v>
      </c>
      <c r="D105" s="4" t="str">
        <f>Original!G31</f>
        <v>Pension de la Securite Vieillesse (S.V.) (Old Age Security Pension)</v>
      </c>
      <c r="F105" s="162" t="str">
        <f t="shared" si="3"/>
        <v>Canada basic  |  Pension de la Securite Vieillesse (S.V.) (Old Age Security Pension)</v>
      </c>
      <c r="G105" s="163">
        <f>Original!O$31</f>
        <v>432.44195356285024</v>
      </c>
    </row>
    <row r="106" spans="1:7">
      <c r="A106" s="4">
        <f>Original!A111</f>
        <v>1</v>
      </c>
      <c r="B106" s="4" t="str">
        <f>Original!C112</f>
        <v>Seychelles</v>
      </c>
      <c r="C106" s="4" t="s">
        <v>289</v>
      </c>
      <c r="D106" s="4" t="str">
        <f>Original!G112</f>
        <v>Old-age pension (social security fund)</v>
      </c>
      <c r="F106" s="162" t="str">
        <f t="shared" si="3"/>
        <v>Seychelles  |  Old-age pension (social security fund)</v>
      </c>
      <c r="G106" s="173">
        <f>Original!O$112</f>
        <v>432.66630611141159</v>
      </c>
    </row>
    <row r="107" spans="1:7">
      <c r="A107" s="4">
        <f>Original!A112</f>
        <v>1</v>
      </c>
      <c r="B107" s="4" t="str">
        <f>Original!C30</f>
        <v>Canada Targeted</v>
      </c>
      <c r="C107" s="4" t="s">
        <v>289</v>
      </c>
      <c r="D107" s="4" t="str">
        <f>Original!G30</f>
        <v>Canada targeted pension</v>
      </c>
      <c r="F107" s="162" t="str">
        <f t="shared" si="3"/>
        <v>Canada Targeted  |  Canada targeted pension</v>
      </c>
      <c r="G107" s="173">
        <f>Original!O$30</f>
        <v>433.32774518021796</v>
      </c>
    </row>
    <row r="108" spans="1:7">
      <c r="A108" s="4">
        <f>Original!A113</f>
        <v>1</v>
      </c>
      <c r="B108" s="4" t="str">
        <f>Original!C51</f>
        <v>Greece</v>
      </c>
      <c r="C108" s="4" t="s">
        <v>289</v>
      </c>
      <c r="D108" s="4" t="str">
        <f>Original!G51</f>
        <v>Pension to uninsured elderly</v>
      </c>
      <c r="F108" s="162" t="str">
        <f t="shared" si="3"/>
        <v>Greece  |  Pension to uninsured elderly</v>
      </c>
      <c r="G108" s="173">
        <f>Original!O$51</f>
        <v>451.43638850889192</v>
      </c>
    </row>
    <row r="109" spans="1:7">
      <c r="A109" s="4">
        <f>Original!A114</f>
        <v>1</v>
      </c>
      <c r="B109" s="4" t="str">
        <f>Original!C65</f>
        <v>Italy</v>
      </c>
      <c r="C109" s="4" t="s">
        <v>289</v>
      </c>
      <c r="D109" s="4" t="str">
        <f>Original!G65</f>
        <v>Targeted pension [Social allowance]</v>
      </c>
      <c r="F109" s="162" t="str">
        <f t="shared" si="3"/>
        <v>Italy  |  Targeted pension [Social allowance]</v>
      </c>
      <c r="G109" s="173">
        <f>Original!O$65</f>
        <v>470.32</v>
      </c>
    </row>
    <row r="110" spans="1:7" hidden="1">
      <c r="A110" s="4">
        <f>Original!A115</f>
        <v>0</v>
      </c>
      <c r="B110" s="4" t="str">
        <f>Original!C117</f>
        <v>Spain</v>
      </c>
      <c r="C110" s="4" t="s">
        <v>289</v>
      </c>
      <c r="D110" s="4" t="str">
        <f>Original!G117</f>
        <v>Non Contributory Pension for retirement ( Pension no Contributiva de Jubilacion)</v>
      </c>
      <c r="F110" s="162" t="str">
        <f t="shared" si="3"/>
        <v>Spain  |  Non Contributory Pension for retirement ( Pension no Contributiva de Jubilacion)</v>
      </c>
      <c r="G110" s="163">
        <f>Original!O$117</f>
        <v>473.14814814814815</v>
      </c>
    </row>
    <row r="111" spans="1:7">
      <c r="A111" s="4">
        <f>Original!A116</f>
        <v>1</v>
      </c>
      <c r="B111" s="4" t="str">
        <f>Original!C66</f>
        <v>Italy</v>
      </c>
      <c r="C111" s="4" t="s">
        <v>289</v>
      </c>
      <c r="D111" s="4" t="str">
        <f>Original!G66</f>
        <v>Minimum pension</v>
      </c>
      <c r="F111" s="162" t="str">
        <f t="shared" si="3"/>
        <v>Italy  |  Minimum pension</v>
      </c>
      <c r="G111" s="173">
        <f>Original!O$66</f>
        <v>498.47619047619054</v>
      </c>
    </row>
    <row r="112" spans="1:7">
      <c r="A112" s="4">
        <f>Original!A117</f>
        <v>1</v>
      </c>
      <c r="B112" s="4" t="str">
        <f>Original!C127</f>
        <v>Trinidad and Tobago</v>
      </c>
      <c r="C112" s="4" t="s">
        <v>289</v>
      </c>
      <c r="D112" s="4" t="str">
        <f>Original!G127</f>
        <v>Senior Citizens' Pension</v>
      </c>
      <c r="F112" s="162" t="str">
        <f t="shared" si="3"/>
        <v>Trinidad and Tobago  |  Senior Citizens' Pension</v>
      </c>
      <c r="G112" s="173">
        <f>Original!O$127</f>
        <v>594.05940594059405</v>
      </c>
    </row>
    <row r="113" spans="1:7" hidden="1">
      <c r="A113" s="4">
        <f>Original!A118</f>
        <v>0</v>
      </c>
      <c r="B113" s="4" t="str">
        <f>Original!C98</f>
        <v>Norway</v>
      </c>
      <c r="C113" s="4" t="s">
        <v>289</v>
      </c>
      <c r="D113" s="4" t="str">
        <f>Original!G98</f>
        <v>Grunnpensjon (Basic Pension)</v>
      </c>
      <c r="F113" s="162" t="str">
        <f t="shared" si="3"/>
        <v>Norway  |  Grunnpensjon (Basic Pension)</v>
      </c>
      <c r="G113" s="163">
        <f>Original!O$98</f>
        <v>616.27772704211066</v>
      </c>
    </row>
    <row r="114" spans="1:7">
      <c r="A114" s="4">
        <f>Original!A119</f>
        <v>1</v>
      </c>
      <c r="B114" s="4" t="str">
        <f>Original!C46</f>
        <v>Finland</v>
      </c>
      <c r="C114" s="4" t="s">
        <v>289</v>
      </c>
      <c r="D114" s="4" t="str">
        <f>Original!G46</f>
        <v>Kansanelake (Old Age Pension)</v>
      </c>
      <c r="F114" s="162" t="str">
        <f t="shared" si="3"/>
        <v>Finland  |  Kansanelake (Old Age Pension)</v>
      </c>
      <c r="G114" s="173">
        <f>Original!O$46</f>
        <v>619.15564598168874</v>
      </c>
    </row>
    <row r="115" spans="1:7">
      <c r="A115" s="4">
        <f>Original!A120</f>
        <v>1</v>
      </c>
      <c r="B115" s="4" t="str">
        <f>Original!C41</f>
        <v>Denmark</v>
      </c>
      <c r="C115" s="4" t="s">
        <v>289</v>
      </c>
      <c r="D115" s="4" t="str">
        <f>Original!G41</f>
        <v>Folkepension [national pension - Universal basic pension]</v>
      </c>
      <c r="F115" s="162" t="str">
        <f t="shared" si="3"/>
        <v>Denmark  |  Folkepension [national pension - Universal basic pension]</v>
      </c>
      <c r="G115" s="173">
        <f>Original!O$41</f>
        <v>669.20463863183784</v>
      </c>
    </row>
    <row r="116" spans="1:7">
      <c r="A116" s="4">
        <f>Original!A121</f>
        <v>1</v>
      </c>
      <c r="B116" s="4" t="str">
        <f>Original!C133</f>
        <v>United States of America</v>
      </c>
      <c r="C116" s="4" t="s">
        <v>289</v>
      </c>
      <c r="D116" s="4" t="str">
        <f>Original!G133</f>
        <v>Old age supplemental income benefit</v>
      </c>
      <c r="F116" s="162" t="str">
        <f t="shared" si="3"/>
        <v>United States of America  |  Old age supplemental income benefit</v>
      </c>
      <c r="G116" s="173">
        <f>Original!O$133</f>
        <v>674</v>
      </c>
    </row>
    <row r="117" spans="1:7">
      <c r="A117" s="4">
        <f>Original!A122</f>
        <v>1</v>
      </c>
      <c r="B117" s="4" t="str">
        <f>Original!C115</f>
        <v>Slovenia</v>
      </c>
      <c r="C117" s="4" t="s">
        <v>289</v>
      </c>
      <c r="D117" s="4" t="str">
        <f>Original!G115</f>
        <v>Minimum pension</v>
      </c>
      <c r="F117" s="162" t="str">
        <f t="shared" si="3"/>
        <v>Slovenia  |  Minimum pension</v>
      </c>
      <c r="G117" s="173">
        <f>Original!O$115</f>
        <v>676.54914529914527</v>
      </c>
    </row>
    <row r="118" spans="1:7" hidden="1">
      <c r="A118" s="4">
        <f>Original!A123</f>
        <v>0</v>
      </c>
      <c r="B118" s="4" t="str">
        <f>Original!C118</f>
        <v>Spain</v>
      </c>
      <c r="C118" s="4" t="s">
        <v>289</v>
      </c>
      <c r="D118" s="4" t="str">
        <f>Original!G118</f>
        <v>Minimum pension</v>
      </c>
      <c r="F118" s="162" t="str">
        <f t="shared" si="3"/>
        <v>Spain  |  Minimum pension</v>
      </c>
      <c r="G118" s="163">
        <f>Original!O$118</f>
        <v>701.94003527336861</v>
      </c>
    </row>
    <row r="119" spans="1:7">
      <c r="A119" s="4">
        <f>Original!A124</f>
        <v>1</v>
      </c>
      <c r="B119" s="4" t="str">
        <f>Original!C48</f>
        <v>France</v>
      </c>
      <c r="C119" s="4" t="s">
        <v>289</v>
      </c>
      <c r="D119" s="4" t="str">
        <f>Original!G48</f>
        <v>Minimum pension</v>
      </c>
      <c r="F119" s="162" t="str">
        <f t="shared" si="3"/>
        <v>France  |  Minimum pension</v>
      </c>
      <c r="G119" s="173">
        <f>Original!O$48</f>
        <v>721.23108994754728</v>
      </c>
    </row>
    <row r="120" spans="1:7">
      <c r="A120" s="4">
        <f>Original!A125</f>
        <v>1</v>
      </c>
      <c r="B120" s="4" t="str">
        <f>Original!C85</f>
        <v>Malta</v>
      </c>
      <c r="C120" s="4" t="s">
        <v>289</v>
      </c>
      <c r="D120" s="4" t="str">
        <f>Original!G85</f>
        <v>Old-age noncontributory pension</v>
      </c>
      <c r="F120" s="162" t="str">
        <f t="shared" si="3"/>
        <v>Malta  |  Old-age noncontributory pension</v>
      </c>
      <c r="G120" s="173">
        <f>Original!O$85</f>
        <v>725.94276094276097</v>
      </c>
    </row>
    <row r="121" spans="1:7">
      <c r="A121" s="4">
        <f>Original!A126</f>
        <v>1</v>
      </c>
      <c r="B121" s="4" t="str">
        <f>Original!C123</f>
        <v>Switzerland</v>
      </c>
      <c r="C121" s="4" t="s">
        <v>289</v>
      </c>
      <c r="D121" s="4" t="str">
        <f>Original!G123</f>
        <v>Minimum pension</v>
      </c>
      <c r="F121" s="162" t="str">
        <f t="shared" si="3"/>
        <v>Switzerland  |  Minimum pension</v>
      </c>
      <c r="G121" s="173">
        <f>Original!O$123</f>
        <v>731.56850572371889</v>
      </c>
    </row>
    <row r="122" spans="1:7">
      <c r="A122" s="4">
        <f>Original!A127</f>
        <v>1</v>
      </c>
      <c r="B122" s="4" t="str">
        <f>Original!C96</f>
        <v>New Zealand</v>
      </c>
      <c r="C122" s="4" t="s">
        <v>289</v>
      </c>
      <c r="D122" s="4" t="str">
        <f>Original!G96</f>
        <v>Superannuation</v>
      </c>
      <c r="F122" s="162" t="str">
        <f t="shared" si="3"/>
        <v>New Zealand  |  Superannuation</v>
      </c>
      <c r="G122" s="173">
        <f>Original!O$96</f>
        <v>782.54573891977259</v>
      </c>
    </row>
    <row r="123" spans="1:7">
      <c r="A123" s="4">
        <f>Original!A128</f>
        <v>1</v>
      </c>
      <c r="B123" s="4" t="str">
        <f>Original!C47</f>
        <v>France</v>
      </c>
      <c r="C123" s="4" t="s">
        <v>289</v>
      </c>
      <c r="D123" s="4" t="str">
        <f>Original!G47</f>
        <v>ASPA (allocation de solidarité aux personnes âgées)</v>
      </c>
      <c r="F123" s="162" t="str">
        <f t="shared" si="3"/>
        <v>France  |  ASPA (allocation de solidarité aux personnes âgées)</v>
      </c>
      <c r="G123" s="173">
        <f>Original!O$47</f>
        <v>812.11159737417938</v>
      </c>
    </row>
    <row r="124" spans="1:7">
      <c r="A124" s="4">
        <f>Original!A129</f>
        <v>1</v>
      </c>
      <c r="B124" s="4" t="str">
        <f>Original!C121</f>
        <v>Sweden</v>
      </c>
      <c r="C124" s="4" t="s">
        <v>289</v>
      </c>
      <c r="D124" s="4" t="str">
        <f>Original!G121</f>
        <v>Garantipension (Guaranteed pension)</v>
      </c>
      <c r="F124" s="162" t="str">
        <f t="shared" si="3"/>
        <v>Sweden  |  Garantipension (Guaranteed pension)</v>
      </c>
      <c r="G124" s="173">
        <f>Original!O$121</f>
        <v>839.69713476413551</v>
      </c>
    </row>
    <row r="125" spans="1:7">
      <c r="A125" s="4">
        <f>Original!A130</f>
        <v>1</v>
      </c>
      <c r="B125" s="4" t="str">
        <f>Original!C132</f>
        <v>United Kingdom</v>
      </c>
      <c r="C125" s="4" t="s">
        <v>289</v>
      </c>
      <c r="D125" s="4" t="str">
        <f>Original!G132</f>
        <v>Pension credit (Guarantee Credit)</v>
      </c>
      <c r="F125" s="162" t="str">
        <f t="shared" si="3"/>
        <v>United Kingdom  |  Pension credit (Guarantee Credit)</v>
      </c>
      <c r="G125" s="173">
        <f>Original!O$132</f>
        <v>892.32833583208389</v>
      </c>
    </row>
    <row r="126" spans="1:7">
      <c r="A126" s="4">
        <f>Original!A131</f>
        <v>1</v>
      </c>
      <c r="B126" s="4" t="str">
        <f>Original!C14</f>
        <v>Austria</v>
      </c>
      <c r="C126" s="4" t="s">
        <v>289</v>
      </c>
      <c r="D126" s="4" t="str">
        <f>Original!G14</f>
        <v>Ausgleichszulage (Austrian Compensatory Supplement)</v>
      </c>
      <c r="F126" s="162" t="str">
        <f t="shared" si="3"/>
        <v>Austria  |  Ausgleichszulage (Austrian Compensatory Supplement)</v>
      </c>
      <c r="G126" s="173">
        <f>Original!O$14</f>
        <v>942</v>
      </c>
    </row>
    <row r="127" spans="1:7">
      <c r="A127" s="4">
        <f>Original!A132</f>
        <v>1</v>
      </c>
      <c r="B127" s="4" t="str">
        <f>Original!C13</f>
        <v>Australia</v>
      </c>
      <c r="C127" s="4" t="s">
        <v>289</v>
      </c>
      <c r="D127" s="4" t="str">
        <f>Original!G13</f>
        <v>Age Pension</v>
      </c>
      <c r="F127" s="162" t="str">
        <f t="shared" si="3"/>
        <v>Australia  |  Age Pension</v>
      </c>
      <c r="G127" s="173">
        <f>Original!O$13</f>
        <v>958.32061068702285</v>
      </c>
    </row>
    <row r="128" spans="1:7">
      <c r="A128" s="4">
        <f>Original!A133</f>
        <v>1</v>
      </c>
      <c r="B128" s="4" t="str">
        <f>Original!C122</f>
        <v>Switzerland</v>
      </c>
      <c r="C128" s="4" t="s">
        <v>289</v>
      </c>
      <c r="D128" s="4" t="str">
        <f>Original!G122</f>
        <v>Targeted pension</v>
      </c>
      <c r="F128" s="162" t="str">
        <f t="shared" si="3"/>
        <v>Switzerland  |  Targeted pension</v>
      </c>
      <c r="G128" s="173">
        <f>Original!O$122</f>
        <v>1000.8033705752837</v>
      </c>
    </row>
    <row r="129" spans="1:7">
      <c r="A129" s="4">
        <f>Original!A134</f>
        <v>1</v>
      </c>
      <c r="B129" s="4" t="str">
        <f>Original!C21</f>
        <v>Beligium</v>
      </c>
      <c r="C129" s="4" t="s">
        <v>289</v>
      </c>
      <c r="D129" s="4" t="str">
        <f>Original!G21</f>
        <v>IGO/GRAPA (Income Guarantee for the Elderly)</v>
      </c>
      <c r="F129" s="162" t="str">
        <f t="shared" si="3"/>
        <v>Beligium  |  IGO/GRAPA (Income Guarantee for the Elderly)</v>
      </c>
      <c r="G129" s="173">
        <f>Original!O$21</f>
        <v>1026</v>
      </c>
    </row>
    <row r="130" spans="1:7">
      <c r="A130" s="4">
        <f>Original!A135</f>
        <v>1</v>
      </c>
      <c r="B130" s="4" t="str">
        <f>Original!C63</f>
        <v>Ireland</v>
      </c>
      <c r="C130" s="4" t="s">
        <v>289</v>
      </c>
      <c r="D130" s="4" t="str">
        <f>Original!G63</f>
        <v>Targeted pension</v>
      </c>
      <c r="F130" s="162" t="str">
        <f t="shared" si="3"/>
        <v>Ireland  |  Targeted pension</v>
      </c>
      <c r="G130" s="173">
        <f>Original!O$63</f>
        <v>1100.9280742459398</v>
      </c>
    </row>
    <row r="131" spans="1:7">
      <c r="A131" s="4">
        <f>Original!A136</f>
        <v>1</v>
      </c>
      <c r="B131" s="4" t="str">
        <f>Original!C95</f>
        <v>Netherlands</v>
      </c>
      <c r="C131" s="4" t="s">
        <v>289</v>
      </c>
      <c r="D131" s="4" t="str">
        <f>Original!G95</f>
        <v>Old-age pension</v>
      </c>
      <c r="F131" s="162" t="str">
        <f t="shared" si="3"/>
        <v>Netherlands  |  Old-age pension</v>
      </c>
      <c r="G131" s="173">
        <f>Original!O$95</f>
        <v>1168.7370838117108</v>
      </c>
    </row>
    <row r="132" spans="1:7">
      <c r="A132" s="4">
        <f>Original!A137</f>
        <v>1</v>
      </c>
      <c r="B132" s="4" t="str">
        <f>Original!C99</f>
        <v>Norway</v>
      </c>
      <c r="C132" s="4" t="s">
        <v>289</v>
      </c>
      <c r="D132" s="4" t="str">
        <f>Original!G99</f>
        <v>Minimum pension</v>
      </c>
      <c r="F132" s="162" t="str">
        <f t="shared" si="3"/>
        <v>Norway  |  Minimum pension</v>
      </c>
      <c r="G132" s="173">
        <f>Original!O$99</f>
        <v>1168.7468290208017</v>
      </c>
    </row>
    <row r="133" spans="1:7" hidden="1">
      <c r="A133" s="4">
        <f>Original!A138</f>
        <v>1</v>
      </c>
      <c r="B133" s="4" t="str">
        <f>Original!C23</f>
        <v>Bermuda</v>
      </c>
      <c r="C133" s="4" t="s">
        <v>289</v>
      </c>
      <c r="D133" s="4" t="str">
        <f>Original!G23</f>
        <v>Non-contibutory old age pension</v>
      </c>
      <c r="F133" s="162" t="str">
        <f t="shared" si="3"/>
        <v>Bermuda  |  Non-contibutory old age pension</v>
      </c>
      <c r="G133" s="163" t="str">
        <f>Original!O$23</f>
        <v>no data</v>
      </c>
    </row>
    <row r="134" spans="1:7" hidden="1">
      <c r="A134" s="4">
        <f>Original!A139</f>
        <v>1</v>
      </c>
      <c r="B134" s="4" t="str">
        <f>Original!C35</f>
        <v>Cook Islands</v>
      </c>
      <c r="C134" s="4" t="s">
        <v>289</v>
      </c>
      <c r="D134" s="4" t="str">
        <f>Original!G35</f>
        <v>Old Age Pension</v>
      </c>
      <c r="F134" s="162" t="str">
        <f t="shared" si="3"/>
        <v>Cook Islands  |  Old Age Pension</v>
      </c>
      <c r="G134" s="163" t="str">
        <f>Original!O$35</f>
        <v>no data</v>
      </c>
    </row>
    <row r="135" spans="1:7">
      <c r="F135" s="162"/>
      <c r="G135" s="173"/>
    </row>
  </sheetData>
  <autoFilter ref="A4:V134">
    <filterColumn colId="0">
      <filters>
        <filter val="1"/>
      </filters>
    </filterColumn>
    <filterColumn colId="6">
      <filters>
        <filter val="10"/>
        <filter val="1001"/>
        <filter val="102"/>
        <filter val="1026"/>
        <filter val="104"/>
        <filter val="107"/>
        <filter val="11"/>
        <filter val="1101"/>
        <filter val="111"/>
        <filter val="112"/>
        <filter val="114"/>
        <filter val="115"/>
        <filter val="1169"/>
        <filter val="122"/>
        <filter val="128"/>
        <filter val="131"/>
        <filter val="133"/>
        <filter val="139"/>
        <filter val="14"/>
        <filter val="140"/>
        <filter val="163"/>
        <filter val="166"/>
        <filter val="168"/>
        <filter val="17"/>
        <filter val="187"/>
        <filter val="190"/>
        <filter val="193"/>
        <filter val="195"/>
        <filter val="196"/>
        <filter val="197"/>
        <filter val="20"/>
        <filter val="21"/>
        <filter val="22"/>
        <filter val="220"/>
        <filter val="222"/>
        <filter val="225"/>
        <filter val="227"/>
        <filter val="23"/>
        <filter val="240"/>
        <filter val="251"/>
        <filter val="26"/>
        <filter val="268"/>
        <filter val="27"/>
        <filter val="280"/>
        <filter val="291"/>
        <filter val="297"/>
        <filter val="316"/>
        <filter val="331"/>
        <filter val="34"/>
        <filter val="36"/>
        <filter val="39"/>
        <filter val="402"/>
        <filter val="42"/>
        <filter val="421"/>
        <filter val="427"/>
        <filter val="43"/>
        <filter val="430"/>
        <filter val="432"/>
        <filter val="433"/>
        <filter val="45"/>
        <filter val="451"/>
        <filter val="470"/>
        <filter val="473"/>
        <filter val="49"/>
        <filter val="498"/>
        <filter val="51"/>
        <filter val="52"/>
        <filter val="55"/>
        <filter val="58"/>
        <filter val="59"/>
        <filter val="594"/>
        <filter val="60"/>
        <filter val="616"/>
        <filter val="619"/>
        <filter val="64"/>
        <filter val="66"/>
        <filter val="669"/>
        <filter val="674"/>
        <filter val="677"/>
        <filter val="69"/>
        <filter val="702"/>
        <filter val="721"/>
        <filter val="726"/>
        <filter val="732"/>
        <filter val="74"/>
        <filter val="78"/>
        <filter val="783"/>
        <filter val="81"/>
        <filter val="812"/>
        <filter val="83"/>
        <filter val="840"/>
        <filter val="87"/>
        <filter val="892"/>
        <filter val="91"/>
        <filter val="94"/>
        <filter val="942"/>
        <filter val="958"/>
      </filters>
    </filterColumn>
  </autoFilter>
  <sortState ref="B5:G134">
    <sortCondition ref="G5:G1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F135"/>
  <sheetViews>
    <sheetView topLeftCell="A4" workbookViewId="0">
      <selection activeCell="A5" sqref="A5:F134"/>
    </sheetView>
  </sheetViews>
  <sheetFormatPr baseColWidth="10" defaultColWidth="9" defaultRowHeight="10.5"/>
  <cols>
    <col min="1" max="3" width="9" style="4"/>
    <col min="4" max="4" width="38.625" style="4" customWidth="1"/>
    <col min="5" max="5" width="36.625" style="4" customWidth="1"/>
    <col min="6" max="16384" width="9" style="4"/>
  </cols>
  <sheetData>
    <row r="1" spans="1:6">
      <c r="B1" s="4" t="s">
        <v>568</v>
      </c>
    </row>
    <row r="3" spans="1:6" ht="15">
      <c r="B3" s="4" t="s">
        <v>288</v>
      </c>
      <c r="E3" s="115" t="s">
        <v>570</v>
      </c>
    </row>
    <row r="4" spans="1:6">
      <c r="F4" s="4" t="s">
        <v>118</v>
      </c>
    </row>
    <row r="5" spans="1:6" hidden="1">
      <c r="A5" s="4">
        <f>Original!A50</f>
        <v>1</v>
      </c>
      <c r="B5" s="4" t="str">
        <f>Original!C50</f>
        <v>Germany</v>
      </c>
      <c r="C5" s="4" t="s">
        <v>289</v>
      </c>
      <c r="D5" s="4" t="str">
        <f>Original!G50</f>
        <v>Targeted pension</v>
      </c>
      <c r="E5" s="61" t="str">
        <f t="shared" ref="E5:E36" si="0">CONCATENATE(B5,C5,D5)</f>
        <v>Germany  |  Targeted pension</v>
      </c>
      <c r="F5" s="140">
        <f>Original!M$50</f>
        <v>0</v>
      </c>
    </row>
    <row r="6" spans="1:6" hidden="1">
      <c r="A6" s="4">
        <f>Original!A68</f>
        <v>1</v>
      </c>
      <c r="B6" s="4" t="str">
        <f>Original!C68</f>
        <v>Japan</v>
      </c>
      <c r="C6" s="4" t="s">
        <v>289</v>
      </c>
      <c r="D6" s="4" t="str">
        <f>Original!G68</f>
        <v>Basic pension</v>
      </c>
      <c r="E6" s="61" t="str">
        <f t="shared" si="0"/>
        <v>Japan  |  Basic pension</v>
      </c>
      <c r="F6" s="140">
        <f>Original!M$68</f>
        <v>0</v>
      </c>
    </row>
    <row r="7" spans="1:6" hidden="1">
      <c r="A7" s="4">
        <f>Original!A69</f>
        <v>1</v>
      </c>
      <c r="B7" s="4" t="str">
        <f>Original!C69</f>
        <v>Japan</v>
      </c>
      <c r="C7" s="4" t="s">
        <v>289</v>
      </c>
      <c r="D7" s="4" t="str">
        <f>Original!G69</f>
        <v>Targeted pension</v>
      </c>
      <c r="E7" s="61" t="str">
        <f t="shared" si="0"/>
        <v>Japan  |  Targeted pension</v>
      </c>
      <c r="F7" s="140">
        <f>Original!M$69</f>
        <v>0</v>
      </c>
    </row>
    <row r="8" spans="1:6" hidden="1">
      <c r="A8" s="4">
        <f>Original!A80</f>
        <v>1</v>
      </c>
      <c r="B8" s="4" t="str">
        <f>Original!C80</f>
        <v>Luxembourg</v>
      </c>
      <c r="C8" s="4" t="s">
        <v>289</v>
      </c>
      <c r="D8" s="4" t="str">
        <f>Original!G80</f>
        <v>Basic pension</v>
      </c>
      <c r="E8" s="61" t="str">
        <f t="shared" si="0"/>
        <v>Luxembourg  |  Basic pension</v>
      </c>
      <c r="F8" s="140">
        <f>Original!M$80</f>
        <v>0</v>
      </c>
    </row>
    <row r="9" spans="1:6" hidden="1">
      <c r="A9" s="4">
        <f>Original!A81</f>
        <v>1</v>
      </c>
      <c r="B9" s="4" t="str">
        <f>Original!C81</f>
        <v>Luxembourg</v>
      </c>
      <c r="C9" s="4" t="s">
        <v>289</v>
      </c>
      <c r="D9" s="4" t="str">
        <f>Original!G81</f>
        <v>Targeted pension</v>
      </c>
      <c r="E9" s="61" t="str">
        <f t="shared" si="0"/>
        <v>Luxembourg  |  Targeted pension</v>
      </c>
      <c r="F9" s="140">
        <f>Original!M$81</f>
        <v>0</v>
      </c>
    </row>
    <row r="10" spans="1:6" hidden="1">
      <c r="A10" s="4">
        <f>Original!A104</f>
        <v>1</v>
      </c>
      <c r="B10" s="4" t="str">
        <f>Original!C104</f>
        <v>Poland</v>
      </c>
      <c r="C10" s="4" t="s">
        <v>289</v>
      </c>
      <c r="D10" s="4" t="str">
        <f>Original!G104</f>
        <v>Targeted pension</v>
      </c>
      <c r="E10" s="61" t="str">
        <f t="shared" si="0"/>
        <v>Poland  |  Targeted pension</v>
      </c>
      <c r="F10" s="140">
        <f>Original!M$104</f>
        <v>0</v>
      </c>
    </row>
    <row r="11" spans="1:6" hidden="1">
      <c r="A11" s="4">
        <f>Original!A113</f>
        <v>1</v>
      </c>
      <c r="B11" s="4" t="str">
        <f>Original!C113</f>
        <v>Slovakia</v>
      </c>
      <c r="C11" s="4" t="s">
        <v>289</v>
      </c>
      <c r="D11" s="4" t="str">
        <f>Original!G113</f>
        <v>Targeted pension</v>
      </c>
      <c r="E11" s="61" t="str">
        <f t="shared" si="0"/>
        <v>Slovakia  |  Targeted pension</v>
      </c>
      <c r="F11" s="140">
        <f>Original!M$113</f>
        <v>0</v>
      </c>
    </row>
    <row r="12" spans="1:6">
      <c r="A12" s="4">
        <f>Original!A60</f>
        <v>1</v>
      </c>
      <c r="B12" s="4" t="str">
        <f>Original!C60</f>
        <v>India</v>
      </c>
      <c r="C12" s="4" t="s">
        <v>289</v>
      </c>
      <c r="D12" s="4" t="str">
        <f>Original!G60</f>
        <v>Indira Gandhi National Old Age Pension Scheme</v>
      </c>
      <c r="E12" s="61" t="str">
        <f t="shared" si="0"/>
        <v>India  |  Indira Gandhi National Old Age Pension Scheme</v>
      </c>
      <c r="F12" s="140">
        <f>Original!M$60</f>
        <v>3.8062612998382339</v>
      </c>
    </row>
    <row r="13" spans="1:6" hidden="1">
      <c r="A13" s="4">
        <f>Original!A18</f>
        <v>0</v>
      </c>
      <c r="B13" s="4" t="str">
        <f>Original!C18</f>
        <v>Bangladesh</v>
      </c>
      <c r="C13" s="4" t="s">
        <v>289</v>
      </c>
      <c r="D13" s="4" t="str">
        <f>Original!G18</f>
        <v>Allowance for Widow, Deserted and Destitute Women</v>
      </c>
      <c r="E13" s="61" t="str">
        <f t="shared" si="0"/>
        <v>Bangladesh  |  Allowance for Widow, Deserted and Destitute Women</v>
      </c>
      <c r="F13" s="140">
        <f>Original!M$18</f>
        <v>4.3361735619999999</v>
      </c>
    </row>
    <row r="14" spans="1:6">
      <c r="A14" s="4">
        <f>Original!A17</f>
        <v>1</v>
      </c>
      <c r="B14" s="4" t="str">
        <f>Original!C17</f>
        <v>Bangladesh</v>
      </c>
      <c r="C14" s="4" t="s">
        <v>289</v>
      </c>
      <c r="D14" s="4" t="str">
        <f>Original!G17</f>
        <v>Old Age Allowance</v>
      </c>
      <c r="E14" s="61" t="str">
        <f t="shared" si="0"/>
        <v>Bangladesh  |  Old Age Allowance</v>
      </c>
      <c r="F14" s="140">
        <f>Original!M$17</f>
        <v>4.3361735619999999</v>
      </c>
    </row>
    <row r="15" spans="1:6">
      <c r="A15" s="4">
        <f>Original!A138</f>
        <v>1</v>
      </c>
      <c r="B15" s="4" t="str">
        <f>Original!C138</f>
        <v>Viet Nam [60-79 years old]</v>
      </c>
      <c r="C15" s="4" t="s">
        <v>289</v>
      </c>
      <c r="D15" s="4" t="str">
        <f>Original!G138</f>
        <v>Social assistance benefit (clause 2)</v>
      </c>
      <c r="E15" s="61" t="str">
        <f t="shared" si="0"/>
        <v>Viet Nam [60-79 years old]  |  Social assistance benefit (clause 2)</v>
      </c>
      <c r="F15" s="140">
        <f>Original!M$138</f>
        <v>5.7692307692307692</v>
      </c>
    </row>
    <row r="16" spans="1:6">
      <c r="A16" s="4">
        <f>Original!A94</f>
        <v>1</v>
      </c>
      <c r="B16" s="4" t="str">
        <f>Original!C94</f>
        <v>Nepal</v>
      </c>
      <c r="C16" s="4" t="s">
        <v>289</v>
      </c>
      <c r="D16" s="4" t="str">
        <f>Original!G94</f>
        <v>Old Age Allowance</v>
      </c>
      <c r="E16" s="61" t="str">
        <f t="shared" si="0"/>
        <v>Nepal  |  Old Age Allowance</v>
      </c>
      <c r="F16" s="140">
        <f>Original!M$94</f>
        <v>6.7385444743935308</v>
      </c>
    </row>
    <row r="17" spans="1:6">
      <c r="A17" s="4">
        <f>Original!A91</f>
        <v>1</v>
      </c>
      <c r="B17" s="4" t="str">
        <f>Original!C91</f>
        <v>Moldova, Republic of</v>
      </c>
      <c r="C17" s="4" t="s">
        <v>289</v>
      </c>
      <c r="D17" s="4" t="str">
        <f>Original!G91</f>
        <v>State Social Allocation for Older Persons</v>
      </c>
      <c r="E17" s="61" t="str">
        <f t="shared" si="0"/>
        <v>Moldova, Republic of  |  State Social Allocation for Older Persons</v>
      </c>
      <c r="F17" s="140">
        <f>Original!M$91</f>
        <v>7.6642460486971373</v>
      </c>
    </row>
    <row r="18" spans="1:6">
      <c r="A18" s="4">
        <f>Original!A124</f>
        <v>1</v>
      </c>
      <c r="B18" s="4" t="str">
        <f>Original!C124</f>
        <v>Tajikistan</v>
      </c>
      <c r="C18" s="4" t="s">
        <v>289</v>
      </c>
      <c r="D18" s="4" t="str">
        <f>Original!G124</f>
        <v>Old age pension</v>
      </c>
      <c r="E18" s="61" t="str">
        <f t="shared" si="0"/>
        <v>Tajikistan  |  Old age pension</v>
      </c>
      <c r="F18" s="140">
        <f>Original!M$124</f>
        <v>8.4067169668565196</v>
      </c>
    </row>
    <row r="19" spans="1:6">
      <c r="A19" s="4">
        <f>Original!A137</f>
        <v>1</v>
      </c>
      <c r="B19" s="4" t="str">
        <f>Original!C137</f>
        <v>Viet Nam  [80 years old and over]</v>
      </c>
      <c r="C19" s="4" t="s">
        <v>289</v>
      </c>
      <c r="D19" s="4" t="str">
        <f>Original!G137</f>
        <v>Social assistance benefit (clause 3)</v>
      </c>
      <c r="E19" s="61" t="str">
        <f t="shared" si="0"/>
        <v>Viet Nam  [80 years old and over]  |  Social assistance benefit (clause 3)</v>
      </c>
      <c r="F19" s="140">
        <f>Original!M$137</f>
        <v>8.6538461538461533</v>
      </c>
    </row>
    <row r="20" spans="1:6">
      <c r="A20" s="4">
        <f>Original!A130</f>
        <v>1</v>
      </c>
      <c r="B20" s="4" t="str">
        <f>Original!C130</f>
        <v>Uganda</v>
      </c>
      <c r="C20" s="4" t="s">
        <v>289</v>
      </c>
      <c r="D20" s="4" t="str">
        <f>Original!G130</f>
        <v>Senior Citizens Grant (Pilot in 14 districts)</v>
      </c>
      <c r="E20" s="61" t="str">
        <f t="shared" si="0"/>
        <v>Uganda  |  Senior Citizens Grant (Pilot in 14 districts)</v>
      </c>
      <c r="F20" s="140">
        <f>Original!M$130</f>
        <v>9.1669988043045034</v>
      </c>
    </row>
    <row r="21" spans="1:6">
      <c r="A21" s="4">
        <f>Original!A67</f>
        <v>1</v>
      </c>
      <c r="B21" s="4" t="str">
        <f>Original!C67</f>
        <v>Jamaica</v>
      </c>
      <c r="C21" s="4" t="s">
        <v>289</v>
      </c>
      <c r="D21" s="4" t="str">
        <f>Original!G67</f>
        <v>The Programme for Advancement through Health and Education (PATH)</v>
      </c>
      <c r="E21" s="61" t="str">
        <f t="shared" si="0"/>
        <v>Jamaica  |  The Programme for Advancement through Health and Education (PATH)</v>
      </c>
      <c r="F21" s="140">
        <f>Original!M$67</f>
        <v>10.776361529548089</v>
      </c>
    </row>
    <row r="22" spans="1:6">
      <c r="A22" s="4">
        <f>Original!A139</f>
        <v>1</v>
      </c>
      <c r="B22" s="4" t="str">
        <f>Original!C139</f>
        <v>Zambia</v>
      </c>
      <c r="C22" s="4" t="s">
        <v>289</v>
      </c>
      <c r="D22" s="4" t="str">
        <f>Original!G139</f>
        <v>Social Cash Transfer Programme, Katete (Pilot)</v>
      </c>
      <c r="E22" s="61" t="str">
        <f t="shared" si="0"/>
        <v>Zambia  |  Social Cash Transfer Programme, Katete (Pilot)</v>
      </c>
      <c r="F22" s="140">
        <f>Original!M$139</f>
        <v>11.551790527531768</v>
      </c>
    </row>
    <row r="23" spans="1:6">
      <c r="A23" s="4">
        <f>Original!A103</f>
        <v>1</v>
      </c>
      <c r="B23" s="4" t="str">
        <f>Original!C103</f>
        <v>Philippines</v>
      </c>
      <c r="C23" s="4" t="s">
        <v>289</v>
      </c>
      <c r="D23" s="4" t="str">
        <f>Original!G103</f>
        <v>Old Age Grant</v>
      </c>
      <c r="E23" s="61" t="str">
        <f t="shared" si="0"/>
        <v>Philippines  |  Old Age Grant</v>
      </c>
      <c r="F23" s="140">
        <f>Original!M$103</f>
        <v>11.725748806318773</v>
      </c>
    </row>
    <row r="24" spans="1:6">
      <c r="A24" s="4">
        <f>Original!A72</f>
        <v>1</v>
      </c>
      <c r="B24" s="4" t="str">
        <f>Original!C72</f>
        <v>Kenya</v>
      </c>
      <c r="C24" s="4" t="s">
        <v>289</v>
      </c>
      <c r="D24" s="4" t="str">
        <f>Original!G72</f>
        <v>Hunger Safety Net Programme, Pilot (universal pension)</v>
      </c>
      <c r="E24" s="61" t="str">
        <f t="shared" si="0"/>
        <v>Kenya  |  Hunger Safety Net Programme, Pilot (universal pension)</v>
      </c>
      <c r="F24" s="140">
        <f>Original!M$72</f>
        <v>12.920673076923077</v>
      </c>
    </row>
    <row r="25" spans="1:6">
      <c r="A25" s="4">
        <f>Original!A20</f>
        <v>1</v>
      </c>
      <c r="B25" s="4" t="str">
        <f>Original!C20</f>
        <v>Belarus</v>
      </c>
      <c r="C25" s="4" t="s">
        <v>289</v>
      </c>
      <c r="D25" s="4" t="str">
        <f>Original!G20</f>
        <v>Social old-age pension (social assistance</v>
      </c>
      <c r="E25" s="61" t="str">
        <f t="shared" si="0"/>
        <v>Belarus  |  Social old-age pension (social assistance</v>
      </c>
      <c r="F25" s="140">
        <f>Original!M$20</f>
        <v>17</v>
      </c>
    </row>
    <row r="26" spans="1:6">
      <c r="A26" s="4">
        <f>Original!A71</f>
        <v>1</v>
      </c>
      <c r="B26" s="4" t="str">
        <f>Original!C71</f>
        <v>Kenya</v>
      </c>
      <c r="C26" s="4" t="s">
        <v>289</v>
      </c>
      <c r="D26" s="4" t="str">
        <f>Original!G71</f>
        <v>Older Persons Cash Transfer</v>
      </c>
      <c r="E26" s="61" t="str">
        <f t="shared" si="0"/>
        <v>Kenya  |  Older Persons Cash Transfer</v>
      </c>
      <c r="F26" s="140">
        <f>Original!M$71</f>
        <v>18.028846153846153</v>
      </c>
    </row>
    <row r="27" spans="1:6">
      <c r="A27" s="4">
        <f>Original!A125</f>
        <v>1</v>
      </c>
      <c r="B27" s="4" t="str">
        <f>Original!C125</f>
        <v>Thailand</v>
      </c>
      <c r="C27" s="4" t="s">
        <v>289</v>
      </c>
      <c r="D27" s="4" t="str">
        <f>Original!G125</f>
        <v>Old Age Allowance (THA)</v>
      </c>
      <c r="E27" s="61" t="str">
        <f t="shared" si="0"/>
        <v>Thailand  |  Old Age Allowance (THA)</v>
      </c>
      <c r="F27" s="140">
        <f>Original!M$125</f>
        <v>19.389238972370336</v>
      </c>
    </row>
    <row r="28" spans="1:6">
      <c r="A28" s="4">
        <f>Original!A126</f>
        <v>1</v>
      </c>
      <c r="B28" s="4" t="str">
        <f>Original!C126</f>
        <v>Timor-Leste</v>
      </c>
      <c r="C28" s="4" t="s">
        <v>289</v>
      </c>
      <c r="D28" s="4" t="str">
        <f>Original!G126</f>
        <v>Support allowance for the elderly</v>
      </c>
      <c r="E28" s="61" t="str">
        <f t="shared" si="0"/>
        <v>Timor-Leste  |  Support allowance for the elderly</v>
      </c>
      <c r="F28" s="140">
        <f>Original!M$126</f>
        <v>20</v>
      </c>
    </row>
    <row r="29" spans="1:6">
      <c r="A29" s="4">
        <f>Original!A129</f>
        <v>1</v>
      </c>
      <c r="B29" s="4" t="str">
        <f>Original!C129</f>
        <v>Turkmenistan</v>
      </c>
      <c r="C29" s="4" t="s">
        <v>289</v>
      </c>
      <c r="D29" s="4" t="str">
        <f>Original!G129</f>
        <v xml:space="preserve">Social Allowance </v>
      </c>
      <c r="E29" s="61" t="str">
        <f t="shared" si="0"/>
        <v xml:space="preserve">Turkmenistan  |  Social Allowance </v>
      </c>
      <c r="F29" s="140">
        <f>Original!M$129</f>
        <v>20.803508771929824</v>
      </c>
    </row>
    <row r="30" spans="1:6">
      <c r="A30" s="4">
        <f>Original!A76</f>
        <v>1</v>
      </c>
      <c r="B30" s="4" t="str">
        <f>Original!C76</f>
        <v>Kyrgyzstan</v>
      </c>
      <c r="C30" s="4" t="s">
        <v>289</v>
      </c>
      <c r="D30" s="4" t="str">
        <f>Original!G76</f>
        <v>Social assistance allowance (old age)</v>
      </c>
      <c r="E30" s="61" t="str">
        <f t="shared" si="0"/>
        <v>Kyrgyzstan  |  Social assistance allowance (old age)</v>
      </c>
      <c r="F30" s="140">
        <f>Original!M$76</f>
        <v>21.328783192918845</v>
      </c>
    </row>
    <row r="31" spans="1:6">
      <c r="A31" s="4">
        <f>Original!A12</f>
        <v>1</v>
      </c>
      <c r="B31" s="4" t="str">
        <f>Original!C12</f>
        <v>Armenia</v>
      </c>
      <c r="C31" s="4" t="s">
        <v>289</v>
      </c>
      <c r="D31" s="4" t="str">
        <f>Original!G12</f>
        <v>Old Age Social Pension</v>
      </c>
      <c r="E31" s="61" t="str">
        <f t="shared" si="0"/>
        <v>Armenia  |  Old Age Social Pension</v>
      </c>
      <c r="F31" s="140">
        <f>Original!M$12</f>
        <v>25.647754197345293</v>
      </c>
    </row>
    <row r="32" spans="1:6">
      <c r="A32" s="4">
        <f>Original!A120</f>
        <v>1</v>
      </c>
      <c r="B32" s="4" t="str">
        <f>Original!C120</f>
        <v>Swaziland</v>
      </c>
      <c r="C32" s="4" t="s">
        <v>289</v>
      </c>
      <c r="D32" s="4" t="str">
        <f>Original!G120</f>
        <v>Old Age Grant</v>
      </c>
      <c r="E32" s="61" t="str">
        <f t="shared" si="0"/>
        <v>Swaziland  |  Old Age Grant</v>
      </c>
      <c r="F32" s="140">
        <f>Original!M$120</f>
        <v>25.784858873021172</v>
      </c>
    </row>
    <row r="33" spans="1:6">
      <c r="A33" s="4">
        <f>Original!A92</f>
        <v>1</v>
      </c>
      <c r="B33" s="4" t="str">
        <f>Original!C92</f>
        <v>Mongolia</v>
      </c>
      <c r="C33" s="4" t="s">
        <v>289</v>
      </c>
      <c r="D33" s="4" t="str">
        <f>Original!G92</f>
        <v>Social welfare pension</v>
      </c>
      <c r="E33" s="61" t="str">
        <f t="shared" si="0"/>
        <v>Mongolia  |  Social welfare pension</v>
      </c>
      <c r="F33" s="140">
        <f>Original!M$92</f>
        <v>27.802401482794743</v>
      </c>
    </row>
    <row r="34" spans="1:6">
      <c r="A34" s="4">
        <f>Original!A24</f>
        <v>1</v>
      </c>
      <c r="B34" s="4" t="str">
        <f>Original!C24</f>
        <v>Bolivia</v>
      </c>
      <c r="C34" s="4" t="s">
        <v>289</v>
      </c>
      <c r="D34" s="4" t="str">
        <f>Original!G24</f>
        <v>Renta Dignidad or Renta Universal de Vejez (previously Bonosol)</v>
      </c>
      <c r="E34" s="61" t="str">
        <f t="shared" si="0"/>
        <v>Bolivia  |  Renta Dignidad or Renta Universal de Vejez (previously Bonosol)</v>
      </c>
      <c r="F34" s="140">
        <f>Original!M$24</f>
        <v>29.154518950437318</v>
      </c>
    </row>
    <row r="35" spans="1:6" hidden="1">
      <c r="A35" s="4">
        <f>Original!A40</f>
        <v>0</v>
      </c>
      <c r="B35" s="4" t="str">
        <f>Original!C40</f>
        <v>Czech republic</v>
      </c>
      <c r="C35" s="4" t="s">
        <v>289</v>
      </c>
      <c r="D35" s="4" t="str">
        <f>Original!G40</f>
        <v>Minimum pension</v>
      </c>
      <c r="E35" s="61" t="str">
        <f t="shared" si="0"/>
        <v>Czech republic  |  Minimum pension</v>
      </c>
      <c r="F35" s="140">
        <f>Original!M$40</f>
        <v>139.58704227318745</v>
      </c>
    </row>
    <row r="36" spans="1:6">
      <c r="A36" s="4">
        <f>Original!A25</f>
        <v>1</v>
      </c>
      <c r="B36" s="4" t="str">
        <f>Original!C25</f>
        <v>Botswana</v>
      </c>
      <c r="C36" s="4" t="s">
        <v>289</v>
      </c>
      <c r="D36" s="4" t="str">
        <f>Original!G25</f>
        <v>Old Age Pension (OAP)</v>
      </c>
      <c r="E36" s="61" t="str">
        <f t="shared" si="0"/>
        <v>Botswana  |  Old Age Pension (OAP)</v>
      </c>
      <c r="F36" s="140">
        <f>Original!M$25</f>
        <v>29.391999764864</v>
      </c>
    </row>
    <row r="37" spans="1:6">
      <c r="A37" s="4">
        <f>Original!A97</f>
        <v>1</v>
      </c>
      <c r="B37" s="4" t="str">
        <f>Original!C97</f>
        <v>Nigeria</v>
      </c>
      <c r="C37" s="4" t="s">
        <v>289</v>
      </c>
      <c r="D37" s="4" t="str">
        <f>Original!G97</f>
        <v>Ekiti State Social Security Scheme (Ekiti State only)</v>
      </c>
      <c r="E37" s="61" t="str">
        <f t="shared" ref="E37:E68" si="1">CONCATENATE(B37,C37,D37)</f>
        <v>Nigeria  |  Ekiti State Social Security Scheme (Ekiti State only)</v>
      </c>
      <c r="F37" s="140">
        <f>Original!M$97</f>
        <v>31.685678073510772</v>
      </c>
    </row>
    <row r="38" spans="1:6">
      <c r="A38" s="4">
        <f>Original!A135</f>
        <v>1</v>
      </c>
      <c r="B38" s="4" t="str">
        <f>Original!C135</f>
        <v>Uzbekestan</v>
      </c>
      <c r="C38" s="4" t="s">
        <v>289</v>
      </c>
      <c r="D38" s="4" t="str">
        <f>Original!G135</f>
        <v>Social pension</v>
      </c>
      <c r="E38" s="61" t="str">
        <f t="shared" si="1"/>
        <v>Uzbekestan  |  Social pension</v>
      </c>
      <c r="F38" s="140">
        <f>Original!M$135</f>
        <v>31.75</v>
      </c>
    </row>
    <row r="39" spans="1:6">
      <c r="A39" s="4">
        <f>Original!A79</f>
        <v>1</v>
      </c>
      <c r="B39" s="4" t="str">
        <f>Original!C79</f>
        <v>Lithuania</v>
      </c>
      <c r="C39" s="4" t="s">
        <v>289</v>
      </c>
      <c r="D39" s="4" t="str">
        <f>Original!G79</f>
        <v>Old age social assistance pension</v>
      </c>
      <c r="E39" s="61" t="str">
        <f t="shared" si="1"/>
        <v>Lithuania  |  Old age social assistance pension</v>
      </c>
      <c r="F39" s="140">
        <f>Original!M$79</f>
        <v>32.395423284880607</v>
      </c>
    </row>
    <row r="40" spans="1:6">
      <c r="A40" s="4">
        <f>Original!A61</f>
        <v>1</v>
      </c>
      <c r="B40" s="4" t="str">
        <f>Original!C61</f>
        <v xml:space="preserve">Indonesia </v>
      </c>
      <c r="C40" s="4" t="s">
        <v>289</v>
      </c>
      <c r="D40" s="4" t="str">
        <f>Original!G61</f>
        <v>Program Jaminan Sosial Lanjut Usia (Elderly Social Security Programme) (Pilot)</v>
      </c>
      <c r="E40" s="61" t="str">
        <f t="shared" si="1"/>
        <v>Indonesia   |  Program Jaminan Sosial Lanjut Usia (Elderly Social Security Programme) (Pilot)</v>
      </c>
      <c r="F40" s="140">
        <f>Original!M$61</f>
        <v>32.679738562091501</v>
      </c>
    </row>
    <row r="41" spans="1:6">
      <c r="A41" s="4">
        <f>Original!A34</f>
        <v>1</v>
      </c>
      <c r="B41" s="4" t="str">
        <f>Original!C34</f>
        <v>Colombia</v>
      </c>
      <c r="C41" s="4" t="s">
        <v>289</v>
      </c>
      <c r="D41" s="4" t="str">
        <f>Original!G34</f>
        <v>Programa de Proteccion Social al Adulto Mayor (PPSAM) (Social Protection Programme for Older People) (Regional scheme)</v>
      </c>
      <c r="E41" s="61" t="str">
        <f t="shared" si="1"/>
        <v>Colombia  |  Programa de Proteccion Social al Adulto Mayor (PPSAM) (Social Protection Programme for Older People) (Regional scheme)</v>
      </c>
      <c r="F41" s="140">
        <f>Original!M$34</f>
        <v>33.955857385398978</v>
      </c>
    </row>
    <row r="42" spans="1:6">
      <c r="A42" s="4">
        <f>Original!A43</f>
        <v>1</v>
      </c>
      <c r="B42" s="4" t="str">
        <f>Original!C43</f>
        <v>Ecuador</v>
      </c>
      <c r="C42" s="4" t="s">
        <v>289</v>
      </c>
      <c r="D42" s="4" t="str">
        <f>Original!G43</f>
        <v>Pension para Adultos Mayores (Pension for Older People/ Bono de Desarollo Humano )</v>
      </c>
      <c r="E42" s="61" t="str">
        <f t="shared" si="1"/>
        <v>Ecuador  |  Pension para Adultos Mayores (Pension for Older People/ Bono de Desarollo Humano )</v>
      </c>
      <c r="F42" s="140">
        <f>Original!M$43</f>
        <v>35</v>
      </c>
    </row>
    <row r="43" spans="1:6" hidden="1">
      <c r="A43" s="4">
        <f>Original!A48</f>
        <v>0</v>
      </c>
      <c r="B43" s="4" t="str">
        <f>Original!C48</f>
        <v>France</v>
      </c>
      <c r="C43" s="4" t="s">
        <v>289</v>
      </c>
      <c r="D43" s="4" t="str">
        <f>Original!G48</f>
        <v>Minimum pension</v>
      </c>
      <c r="E43" s="61" t="str">
        <f t="shared" si="1"/>
        <v>France  |  Minimum pension</v>
      </c>
      <c r="F43" s="140">
        <f>Original!M$48</f>
        <v>841.50110375275949</v>
      </c>
    </row>
    <row r="44" spans="1:6">
      <c r="A44" s="4">
        <f>Original!A88</f>
        <v>1</v>
      </c>
      <c r="B44" s="4" t="str">
        <f>Original!C88</f>
        <v>Mexico</v>
      </c>
      <c r="C44" s="4" t="s">
        <v>289</v>
      </c>
      <c r="D44" s="4" t="str">
        <f>Original!G88</f>
        <v>70 y mas</v>
      </c>
      <c r="E44" s="61" t="str">
        <f t="shared" si="1"/>
        <v>Mexico  |  70 y mas</v>
      </c>
      <c r="F44" s="140">
        <f>Original!M$88</f>
        <v>38.08247140006398</v>
      </c>
    </row>
    <row r="45" spans="1:6">
      <c r="A45" s="4">
        <f>Original!A78</f>
        <v>1</v>
      </c>
      <c r="B45" s="4" t="str">
        <f>Original!C78</f>
        <v>Lesotho</v>
      </c>
      <c r="C45" s="4" t="s">
        <v>289</v>
      </c>
      <c r="D45" s="4" t="str">
        <f>Original!G78</f>
        <v>Old Age Pension</v>
      </c>
      <c r="E45" s="61" t="str">
        <f t="shared" si="1"/>
        <v>Lesotho  |  Old Age Pension</v>
      </c>
      <c r="F45" s="140">
        <f>Original!M$78</f>
        <v>38.662982514021778</v>
      </c>
    </row>
    <row r="46" spans="1:6">
      <c r="A46" s="4">
        <f>Original!A102</f>
        <v>1</v>
      </c>
      <c r="B46" s="4" t="str">
        <f>Original!C102</f>
        <v>Peru</v>
      </c>
      <c r="C46" s="4" t="s">
        <v>289</v>
      </c>
      <c r="D46" s="4" t="str">
        <f>Original!G102</f>
        <v>Pension 65</v>
      </c>
      <c r="E46" s="61" t="str">
        <f t="shared" si="1"/>
        <v>Peru  |  Pension 65</v>
      </c>
      <c r="F46" s="140">
        <f>Original!M$102</f>
        <v>47.169811320754718</v>
      </c>
    </row>
    <row r="47" spans="1:6" hidden="1">
      <c r="A47" s="4">
        <f>Original!A52</f>
        <v>0</v>
      </c>
      <c r="B47" s="4" t="str">
        <f>Original!C52</f>
        <v>Greece</v>
      </c>
      <c r="C47" s="4" t="s">
        <v>289</v>
      </c>
      <c r="D47" s="4" t="str">
        <f>Original!G52</f>
        <v>Minimum pension</v>
      </c>
      <c r="E47" s="61" t="str">
        <f t="shared" si="1"/>
        <v>Greece  |  Minimum pension</v>
      </c>
      <c r="F47" s="140">
        <f>Original!M$52</f>
        <v>0</v>
      </c>
    </row>
    <row r="48" spans="1:6">
      <c r="A48" s="4">
        <f>Original!A49</f>
        <v>1</v>
      </c>
      <c r="B48" s="4" t="str">
        <f>Original!C49</f>
        <v>Georgia</v>
      </c>
      <c r="C48" s="4" t="s">
        <v>289</v>
      </c>
      <c r="D48" s="4" t="str">
        <f>Original!G49</f>
        <v>Old Age Pension</v>
      </c>
      <c r="E48" s="61" t="str">
        <f t="shared" si="1"/>
        <v>Georgia  |  Old Age Pension</v>
      </c>
      <c r="F48" s="140">
        <f>Original!M$49</f>
        <v>49.15816640039327</v>
      </c>
    </row>
    <row r="49" spans="1:6">
      <c r="A49" s="4">
        <f>Original!A54</f>
        <v>1</v>
      </c>
      <c r="B49" s="4" t="str">
        <f>Original!C54</f>
        <v>Guyana</v>
      </c>
      <c r="C49" s="4" t="s">
        <v>289</v>
      </c>
      <c r="D49" s="4" t="str">
        <f>Original!G54</f>
        <v>Old Age Pension</v>
      </c>
      <c r="E49" s="61" t="str">
        <f t="shared" si="1"/>
        <v>Guyana  |  Old Age Pension</v>
      </c>
      <c r="F49" s="140">
        <f>Original!M$54</f>
        <v>49.70178926441352</v>
      </c>
    </row>
    <row r="50" spans="1:6">
      <c r="A50" s="4">
        <f>Original!A44</f>
        <v>1</v>
      </c>
      <c r="B50" s="4" t="str">
        <f>Original!C44</f>
        <v>El Salvador</v>
      </c>
      <c r="C50" s="4" t="s">
        <v>289</v>
      </c>
      <c r="D50" s="4" t="str">
        <f>Original!G44</f>
        <v>Pension Basica Universal (Universal basic pension)</v>
      </c>
      <c r="E50" s="61" t="str">
        <f t="shared" si="1"/>
        <v>El Salvador  |  Pension Basica Universal (Universal basic pension)</v>
      </c>
      <c r="F50" s="140">
        <f>Original!M$44</f>
        <v>50</v>
      </c>
    </row>
    <row r="51" spans="1:6" hidden="1">
      <c r="A51" s="4">
        <f>Original!A56</f>
        <v>0</v>
      </c>
      <c r="B51" s="4" t="str">
        <f>Original!C56</f>
        <v>Hungary</v>
      </c>
      <c r="C51" s="4" t="s">
        <v>289</v>
      </c>
      <c r="D51" s="4" t="str">
        <f>Original!G56</f>
        <v>Minimum pension</v>
      </c>
      <c r="E51" s="61" t="str">
        <f t="shared" si="1"/>
        <v>Hungary  |  Minimum pension</v>
      </c>
      <c r="F51" s="140">
        <f>Original!M$56</f>
        <v>0</v>
      </c>
    </row>
    <row r="52" spans="1:6">
      <c r="A52" s="4">
        <f>Original!A53</f>
        <v>1</v>
      </c>
      <c r="B52" s="4" t="str">
        <f>Original!C53</f>
        <v>Guatemala</v>
      </c>
      <c r="C52" s="4" t="s">
        <v>289</v>
      </c>
      <c r="D52" s="4" t="str">
        <f>Original!G53</f>
        <v>Programa de aporte economico o del Adulto Mayor (Economic contribution programme for older people)</v>
      </c>
      <c r="E52" s="61" t="str">
        <f t="shared" si="1"/>
        <v>Guatemala  |  Programa de aporte economico o del Adulto Mayor (Economic contribution programme for older people)</v>
      </c>
      <c r="F52" s="140">
        <f>Original!M$53</f>
        <v>51.305072789072021</v>
      </c>
    </row>
    <row r="53" spans="1:6" hidden="1">
      <c r="A53" s="4">
        <f>Original!A58</f>
        <v>0</v>
      </c>
      <c r="B53" s="4" t="str">
        <f>Original!C58</f>
        <v>Iceland</v>
      </c>
      <c r="C53" s="4" t="s">
        <v>289</v>
      </c>
      <c r="D53" s="4" t="str">
        <f>Original!G58</f>
        <v>Targeted pension</v>
      </c>
      <c r="E53" s="61" t="str">
        <f t="shared" si="1"/>
        <v>Iceland  |  Targeted pension</v>
      </c>
      <c r="F53" s="140">
        <f>Original!M$58</f>
        <v>0</v>
      </c>
    </row>
    <row r="54" spans="1:6">
      <c r="A54" s="4">
        <f>Original!A22</f>
        <v>1</v>
      </c>
      <c r="B54" s="4" t="str">
        <f>Original!C22</f>
        <v>Belize</v>
      </c>
      <c r="C54" s="4" t="s">
        <v>289</v>
      </c>
      <c r="D54" s="4" t="str">
        <f>Original!G22</f>
        <v>Non-Contributory Pension Programme (NCP)</v>
      </c>
      <c r="E54" s="61" t="str">
        <f t="shared" si="1"/>
        <v>Belize  |  Non-Contributory Pension Programme (NCP)</v>
      </c>
      <c r="F54" s="140">
        <f>Original!M$22</f>
        <v>51.432127592822134</v>
      </c>
    </row>
    <row r="55" spans="1:6">
      <c r="A55" s="4">
        <f>Original!A70</f>
        <v>1</v>
      </c>
      <c r="B55" s="4" t="str">
        <f>Original!C70</f>
        <v>Kazakhstan</v>
      </c>
      <c r="C55" s="4" t="s">
        <v>289</v>
      </c>
      <c r="D55" s="4" t="str">
        <f>Original!G70</f>
        <v>State social benefit</v>
      </c>
      <c r="E55" s="61" t="str">
        <f t="shared" si="1"/>
        <v>Kazakhstan  |  State social benefit</v>
      </c>
      <c r="F55" s="140">
        <f>Original!M$70</f>
        <v>54.182187605824581</v>
      </c>
    </row>
    <row r="56" spans="1:6">
      <c r="A56" s="4">
        <f>Original!A111</f>
        <v>1</v>
      </c>
      <c r="B56" s="4" t="str">
        <f>Original!C111</f>
        <v>Samoa</v>
      </c>
      <c r="C56" s="4" t="s">
        <v>289</v>
      </c>
      <c r="D56" s="4" t="str">
        <f>Original!G111</f>
        <v>Senior Citizens Benefit</v>
      </c>
      <c r="E56" s="61" t="str">
        <f t="shared" si="1"/>
        <v>Samoa  |  Senior Citizens Benefit</v>
      </c>
      <c r="F56" s="140">
        <f>Original!M$111</f>
        <v>56.745018442130991</v>
      </c>
    </row>
    <row r="57" spans="1:6" hidden="1">
      <c r="A57" s="4">
        <f>Original!A62</f>
        <v>0</v>
      </c>
      <c r="B57" s="4" t="str">
        <f>Original!C62</f>
        <v>Ireland</v>
      </c>
      <c r="C57" s="4" t="s">
        <v>289</v>
      </c>
      <c r="D57" s="4" t="str">
        <f>Original!G62</f>
        <v>Basic pension</v>
      </c>
      <c r="E57" s="61" t="str">
        <f t="shared" si="1"/>
        <v>Ireland  |  Basic pension</v>
      </c>
      <c r="F57" s="140">
        <f>Original!M$62</f>
        <v>0</v>
      </c>
    </row>
    <row r="58" spans="1:6">
      <c r="A58" s="4">
        <f>Original!A75</f>
        <v>1</v>
      </c>
      <c r="B58" s="4" t="str">
        <f>Original!C75</f>
        <v>Kosovo</v>
      </c>
      <c r="C58" s="4" t="s">
        <v>289</v>
      </c>
      <c r="D58" s="4" t="str">
        <f>Original!G75</f>
        <v>Old age "basic pension"</v>
      </c>
      <c r="E58" s="61" t="str">
        <f t="shared" si="1"/>
        <v>Kosovo  |  Old age "basic pension"</v>
      </c>
      <c r="F58" s="140">
        <f>Original!M$75</f>
        <v>59.497838245210431</v>
      </c>
    </row>
    <row r="59" spans="1:6">
      <c r="A59" s="4">
        <f>Original!A32</f>
        <v>1</v>
      </c>
      <c r="B59" s="4" t="str">
        <f>Original!C32</f>
        <v>Cape Verde</v>
      </c>
      <c r="C59" s="4" t="s">
        <v>289</v>
      </c>
      <c r="D59" s="4" t="str">
        <f>Original!G32</f>
        <v>Pensao Social Minima (Minimum Social Pension)</v>
      </c>
      <c r="E59" s="61" t="str">
        <f t="shared" si="1"/>
        <v>Cape Verde  |  Pensao Social Minima (Minimum Social Pension)</v>
      </c>
      <c r="F59" s="140">
        <f>Original!M$32</f>
        <v>59.737156511350058</v>
      </c>
    </row>
    <row r="60" spans="1:6">
      <c r="A60" s="4">
        <f>Original!A109</f>
        <v>1</v>
      </c>
      <c r="B60" s="4" t="str">
        <f>Original!C109</f>
        <v>Saint Vincent and the Grenadines</v>
      </c>
      <c r="C60" s="4" t="s">
        <v>289</v>
      </c>
      <c r="D60" s="4" t="str">
        <f>Original!G109</f>
        <v>Elderly Assistance Benefit</v>
      </c>
      <c r="E60" s="61" t="str">
        <f t="shared" si="1"/>
        <v>Saint Vincent and the Grenadines  |  Elderly Assistance Benefit</v>
      </c>
      <c r="F60" s="140">
        <f>Original!M$109</f>
        <v>60.185185185185183</v>
      </c>
    </row>
    <row r="61" spans="1:6" hidden="1">
      <c r="A61" s="4">
        <f>Original!A66</f>
        <v>0</v>
      </c>
      <c r="B61" s="4" t="str">
        <f>Original!C66</f>
        <v>Italy</v>
      </c>
      <c r="C61" s="4" t="s">
        <v>289</v>
      </c>
      <c r="D61" s="4" t="str">
        <f>Original!G66</f>
        <v>Minimum pension</v>
      </c>
      <c r="E61" s="61" t="str">
        <f t="shared" si="1"/>
        <v>Italy  |  Minimum pension</v>
      </c>
      <c r="F61" s="140">
        <f>Original!M$66</f>
        <v>576.68830625079886</v>
      </c>
    </row>
    <row r="62" spans="1:6">
      <c r="A62" s="4">
        <f>Original!A73</f>
        <v>1</v>
      </c>
      <c r="B62" s="4" t="str">
        <f>Original!C73</f>
        <v>Kiribati</v>
      </c>
      <c r="C62" s="4" t="s">
        <v>289</v>
      </c>
      <c r="D62" s="4" t="str">
        <f>Original!G73</f>
        <v>Elderly pension</v>
      </c>
      <c r="E62" s="61" t="str">
        <f t="shared" si="1"/>
        <v>Kiribati  |  Elderly pension</v>
      </c>
      <c r="F62" s="140">
        <f>Original!M$73</f>
        <v>62.028646896758488</v>
      </c>
    </row>
    <row r="63" spans="1:6">
      <c r="A63" s="4">
        <f>Original!A93</f>
        <v>1</v>
      </c>
      <c r="B63" s="4" t="str">
        <f>Original!C93</f>
        <v>Namibia</v>
      </c>
      <c r="C63" s="4" t="s">
        <v>289</v>
      </c>
      <c r="D63" s="4" t="str">
        <f>Original!G93</f>
        <v>Old Age Pension (OAP)</v>
      </c>
      <c r="E63" s="61" t="str">
        <f t="shared" si="1"/>
        <v>Namibia  |  Old Age Pension (OAP)</v>
      </c>
      <c r="F63" s="140">
        <f>Original!M$93</f>
        <v>64.451012718762854</v>
      </c>
    </row>
    <row r="64" spans="1:6">
      <c r="A64" s="4">
        <f>Original!A29</f>
        <v>1</v>
      </c>
      <c r="B64" s="4" t="str">
        <f>Original!C29</f>
        <v>Bulgaria</v>
      </c>
      <c r="C64" s="4" t="s">
        <v>289</v>
      </c>
      <c r="D64" s="4" t="str">
        <f>Original!G29</f>
        <v xml:space="preserve">Pensions not Related to Labour Activity Fund </v>
      </c>
      <c r="E64" s="61" t="str">
        <f t="shared" si="1"/>
        <v xml:space="preserve">Bulgaria  |  Pensions not Related to Labour Activity Fund </v>
      </c>
      <c r="F64" s="140">
        <f>Original!M$29</f>
        <v>68.296311322987464</v>
      </c>
    </row>
    <row r="65" spans="1:6">
      <c r="A65" s="4">
        <f>Original!A87</f>
        <v>1</v>
      </c>
      <c r="B65" s="4" t="str">
        <f>Original!C87</f>
        <v>Mexico</v>
      </c>
      <c r="C65" s="4" t="s">
        <v>289</v>
      </c>
      <c r="D65" s="4" t="str">
        <f>Original!G87</f>
        <v>Pension Alimentaria Ciudadana</v>
      </c>
      <c r="E65" s="61" t="str">
        <f t="shared" si="1"/>
        <v>Mexico  |  Pension Alimentaria Ciudadana</v>
      </c>
      <c r="F65" s="140">
        <f>Original!M$87</f>
        <v>68.319953691714773</v>
      </c>
    </row>
    <row r="66" spans="1:6">
      <c r="A66" s="4">
        <f>Original!A15</f>
        <v>1</v>
      </c>
      <c r="B66" s="4" t="str">
        <f>Original!C15</f>
        <v>Azerbaijan</v>
      </c>
      <c r="C66" s="4" t="s">
        <v>289</v>
      </c>
      <c r="D66" s="4" t="str">
        <f>Original!G15</f>
        <v>Social Allowance (Old Age)</v>
      </c>
      <c r="E66" s="61" t="str">
        <f t="shared" si="1"/>
        <v>Azerbaijan  |  Social Allowance (Old Age)</v>
      </c>
      <c r="F66" s="140">
        <f>Original!M$15</f>
        <v>76</v>
      </c>
    </row>
    <row r="67" spans="1:6">
      <c r="A67" s="4">
        <f>Original!A42</f>
        <v>1</v>
      </c>
      <c r="B67" s="4" t="str">
        <f>Original!C42</f>
        <v>Dominican republic</v>
      </c>
      <c r="C67" s="4" t="s">
        <v>289</v>
      </c>
      <c r="D67" s="4" t="str">
        <f>Original!G42</f>
        <v>Programa Nonagenarios (Nonagarians Programme)</v>
      </c>
      <c r="E67" s="61" t="str">
        <f t="shared" si="1"/>
        <v>Dominican republic  |  Programa Nonagenarios (Nonagarians Programme)</v>
      </c>
      <c r="F67" s="140">
        <f>Original!M$42</f>
        <v>79.034749034749026</v>
      </c>
    </row>
    <row r="68" spans="1:6">
      <c r="A68" s="4">
        <f>Original!A74</f>
        <v>1</v>
      </c>
      <c r="B68" s="4" t="str">
        <f>Original!C74</f>
        <v>Korea, Republic of</v>
      </c>
      <c r="C68" s="4" t="s">
        <v>289</v>
      </c>
      <c r="D68" s="4" t="str">
        <f>Original!G74</f>
        <v>Basic old-age pension</v>
      </c>
      <c r="E68" s="61" t="str">
        <f t="shared" si="1"/>
        <v>Korea, Republic of  |  Basic old-age pension</v>
      </c>
      <c r="F68" s="140">
        <f>Original!M$74</f>
        <v>79.957916885849556</v>
      </c>
    </row>
    <row r="69" spans="1:6">
      <c r="A69" s="4">
        <f>Original!A77</f>
        <v>1</v>
      </c>
      <c r="B69" s="4" t="str">
        <f>Original!C77</f>
        <v>Latvia</v>
      </c>
      <c r="C69" s="4" t="s">
        <v>289</v>
      </c>
      <c r="D69" s="4" t="str">
        <f>Original!G77</f>
        <v>State social security benefit</v>
      </c>
      <c r="E69" s="61" t="str">
        <f t="shared" ref="E69:E100" si="2">CONCATENATE(B69,C69,D69)</f>
        <v>Latvia  |  State social security benefit</v>
      </c>
      <c r="F69" s="140">
        <f>Original!M$77</f>
        <v>85.047031008147499</v>
      </c>
    </row>
    <row r="70" spans="1:6">
      <c r="A70" s="4">
        <f>Original!A131</f>
        <v>1</v>
      </c>
      <c r="B70" s="4" t="str">
        <f>Original!C131</f>
        <v>Ukraine</v>
      </c>
      <c r="C70" s="4" t="s">
        <v>289</v>
      </c>
      <c r="D70" s="4" t="str">
        <f>Original!G131</f>
        <v>Social pension + social pension supplement</v>
      </c>
      <c r="E70" s="61" t="str">
        <f t="shared" si="2"/>
        <v>Ukraine  |  Social pension + social pension supplement</v>
      </c>
      <c r="F70" s="140">
        <f>Original!M$131</f>
        <v>86.518112784762863</v>
      </c>
    </row>
    <row r="71" spans="1:6">
      <c r="A71" s="4">
        <f>Original!A101</f>
        <v>1</v>
      </c>
      <c r="B71" s="4" t="str">
        <f>Original!C101</f>
        <v>Paraguay</v>
      </c>
      <c r="C71" s="4" t="s">
        <v>289</v>
      </c>
      <c r="D71" s="4" t="str">
        <f>Original!G101</f>
        <v>Pension alimentaria</v>
      </c>
      <c r="E71" s="61" t="str">
        <f t="shared" si="2"/>
        <v>Paraguay  |  Pension alimentaria</v>
      </c>
      <c r="F71" s="140">
        <f>Original!M$101</f>
        <v>87.441860465116278</v>
      </c>
    </row>
    <row r="72" spans="1:6">
      <c r="A72" s="4">
        <f>Original!A128</f>
        <v>1</v>
      </c>
      <c r="B72" s="4" t="str">
        <f>Original!C128</f>
        <v>Turkey</v>
      </c>
      <c r="C72" s="4" t="s">
        <v>289</v>
      </c>
      <c r="D72" s="4" t="str">
        <f>Original!G128</f>
        <v>Means-tested Old Age Pension</v>
      </c>
      <c r="E72" s="61" t="str">
        <f t="shared" si="2"/>
        <v>Turkey  |  Means-tested Old Age Pension</v>
      </c>
      <c r="F72" s="140">
        <f>Original!M$128</f>
        <v>87.453874538745382</v>
      </c>
    </row>
    <row r="73" spans="1:6">
      <c r="A73" s="4">
        <f>Original!A10</f>
        <v>1</v>
      </c>
      <c r="B73" s="4" t="str">
        <f>Original!C10</f>
        <v>Antigua and Barbuda</v>
      </c>
      <c r="C73" s="4" t="s">
        <v>289</v>
      </c>
      <c r="D73" s="4" t="str">
        <f>Original!G10</f>
        <v>Old Age Assistance Programme</v>
      </c>
      <c r="E73" s="61" t="str">
        <f t="shared" si="2"/>
        <v>Antigua and Barbuda  |  Old Age Assistance Programme</v>
      </c>
      <c r="F73" s="140">
        <f>Original!M$10</f>
        <v>94</v>
      </c>
    </row>
    <row r="74" spans="1:6">
      <c r="A74" s="4">
        <f>Original!A11</f>
        <v>1</v>
      </c>
      <c r="B74" s="4" t="str">
        <f>Original!C11</f>
        <v>Argentina</v>
      </c>
      <c r="C74" s="4" t="s">
        <v>289</v>
      </c>
      <c r="D74" s="4" t="str">
        <f>Original!G11</f>
        <v>Pensiones Asistenciales</v>
      </c>
      <c r="E74" s="61" t="str">
        <f t="shared" si="2"/>
        <v>Argentina  |  Pensiones Asistenciales</v>
      </c>
      <c r="F74" s="140">
        <f>Original!M$11</f>
        <v>96.077151765644302</v>
      </c>
    </row>
    <row r="75" spans="1:6">
      <c r="A75" s="4">
        <f>Original!A38</f>
        <v>1</v>
      </c>
      <c r="B75" s="4" t="str">
        <f>Original!C38</f>
        <v>Czech republic</v>
      </c>
      <c r="C75" s="4" t="s">
        <v>289</v>
      </c>
      <c r="D75" s="4" t="str">
        <f>Original!G38</f>
        <v>Basic pension</v>
      </c>
      <c r="E75" s="61" t="str">
        <f t="shared" si="2"/>
        <v>Czech republic  |  Basic pension</v>
      </c>
      <c r="F75" s="140">
        <f>Original!M$38</f>
        <v>99.459686303310079</v>
      </c>
    </row>
    <row r="76" spans="1:6">
      <c r="A76" s="4">
        <f>Original!A100</f>
        <v>1</v>
      </c>
      <c r="B76" s="4" t="str">
        <f>Original!C100</f>
        <v>Panama</v>
      </c>
      <c r="C76" s="4" t="s">
        <v>289</v>
      </c>
      <c r="D76" s="4" t="str">
        <f>Original!G100</f>
        <v>100 a los 70</v>
      </c>
      <c r="E76" s="61" t="str">
        <f t="shared" si="2"/>
        <v>Panama  |  100 a los 70</v>
      </c>
      <c r="F76" s="140">
        <f>Original!M$100</f>
        <v>100</v>
      </c>
    </row>
    <row r="77" spans="1:6" hidden="1">
      <c r="A77" s="4">
        <f>Original!A82</f>
        <v>0</v>
      </c>
      <c r="B77" s="4" t="str">
        <f>Original!C82</f>
        <v>Luxembourg</v>
      </c>
      <c r="C77" s="4" t="s">
        <v>289</v>
      </c>
      <c r="D77" s="4" t="str">
        <f>Original!G82</f>
        <v>Minimum pension</v>
      </c>
      <c r="E77" s="61" t="str">
        <f t="shared" si="2"/>
        <v>Luxembourg  |  Minimum pension</v>
      </c>
      <c r="F77" s="140">
        <f>Original!M$82</f>
        <v>0</v>
      </c>
    </row>
    <row r="78" spans="1:6" hidden="1">
      <c r="A78" s="4">
        <f>Original!A83</f>
        <v>0</v>
      </c>
      <c r="B78" s="4" t="str">
        <f>Original!C83</f>
        <v>Malaysia</v>
      </c>
      <c r="C78" s="4" t="s">
        <v>289</v>
      </c>
      <c r="D78" s="4" t="str">
        <f>Original!G83</f>
        <v xml:space="preserve">Bantuan Orang Tua </v>
      </c>
      <c r="E78" s="61" t="str">
        <f t="shared" si="2"/>
        <v xml:space="preserve">Malaysia  |  Bantuan Orang Tua </v>
      </c>
      <c r="F78" s="140">
        <f>Original!M$83</f>
        <v>94.409687692753124</v>
      </c>
    </row>
    <row r="79" spans="1:6">
      <c r="A79" s="4">
        <f>Original!A57</f>
        <v>1</v>
      </c>
      <c r="B79" s="4" t="str">
        <f>Original!C57</f>
        <v>Hungary</v>
      </c>
      <c r="C79" s="4" t="s">
        <v>289</v>
      </c>
      <c r="D79" s="4" t="str">
        <f>Original!G57</f>
        <v>Idoskoruak jaradeka (Old Age Allowance)</v>
      </c>
      <c r="E79" s="61" t="str">
        <f t="shared" si="2"/>
        <v>Hungary  |  Idoskoruak jaradeka (Old Age Allowance)</v>
      </c>
      <c r="F79" s="140">
        <f>Original!M$57</f>
        <v>104.28244075796869</v>
      </c>
    </row>
    <row r="80" spans="1:6">
      <c r="A80" s="4">
        <f>Original!A86</f>
        <v>1</v>
      </c>
      <c r="B80" s="4" t="str">
        <f>Original!C86</f>
        <v>Mauritius</v>
      </c>
      <c r="C80" s="4" t="s">
        <v>289</v>
      </c>
      <c r="D80" s="4" t="str">
        <f>Original!G86</f>
        <v>Basic Retirement Pension</v>
      </c>
      <c r="E80" s="61" t="str">
        <f t="shared" si="2"/>
        <v>Mauritius  |  Basic Retirement Pension</v>
      </c>
      <c r="F80" s="140">
        <f>Original!M$86</f>
        <v>109.42608695652174</v>
      </c>
    </row>
    <row r="81" spans="1:6">
      <c r="A81" s="4">
        <f>Original!A84</f>
        <v>1</v>
      </c>
      <c r="B81" s="4" t="str">
        <f>Original!C84</f>
        <v>Maldives</v>
      </c>
      <c r="C81" s="4" t="s">
        <v>289</v>
      </c>
      <c r="D81" s="4" t="str">
        <f>Original!G84</f>
        <v>Old-age Basic Pension</v>
      </c>
      <c r="E81" s="61" t="str">
        <f t="shared" si="2"/>
        <v>Maldives  |  Old-age Basic Pension</v>
      </c>
      <c r="F81" s="140">
        <f>Original!M$84</f>
        <v>131.14754098360655</v>
      </c>
    </row>
    <row r="82" spans="1:6">
      <c r="A82" s="4">
        <f>Original!A55</f>
        <v>1</v>
      </c>
      <c r="B82" s="4" t="str">
        <f>Original!C55</f>
        <v>Hong Kong</v>
      </c>
      <c r="C82" s="4" t="s">
        <v>289</v>
      </c>
      <c r="D82" s="4" t="str">
        <f>Original!G55</f>
        <v>Normal/higher old age allowance</v>
      </c>
      <c r="E82" s="61" t="str">
        <f t="shared" si="2"/>
        <v>Hong Kong  |  Normal/higher old age allowance</v>
      </c>
      <c r="F82" s="140">
        <f>Original!M$55</f>
        <v>140.4765893830629</v>
      </c>
    </row>
    <row r="83" spans="1:6">
      <c r="A83" s="4">
        <f>Original!A36</f>
        <v>1</v>
      </c>
      <c r="B83" s="4" t="str">
        <f>Original!C36</f>
        <v>Costa Rica</v>
      </c>
      <c r="C83" s="4" t="s">
        <v>289</v>
      </c>
      <c r="D83" s="4" t="str">
        <f>Original!G36</f>
        <v>Programa Regimen No Contributivo</v>
      </c>
      <c r="E83" s="61" t="str">
        <f t="shared" si="2"/>
        <v>Costa Rica  |  Programa Regimen No Contributivo</v>
      </c>
      <c r="F83" s="140">
        <f>Original!M$36</f>
        <v>140.86699744882586</v>
      </c>
    </row>
    <row r="84" spans="1:6" hidden="1">
      <c r="A84" s="4">
        <f>Original!A89</f>
        <v>0</v>
      </c>
      <c r="B84" s="4" t="str">
        <f>Original!C89</f>
        <v>Mexico</v>
      </c>
      <c r="C84" s="4" t="s">
        <v>289</v>
      </c>
      <c r="D84" s="4" t="str">
        <f>Original!G89</f>
        <v>Amanecer</v>
      </c>
      <c r="E84" s="61" t="str">
        <f t="shared" si="2"/>
        <v>Mexico  |  Amanecer</v>
      </c>
      <c r="F84" s="140">
        <f>Original!M$89</f>
        <v>38.925927498690669</v>
      </c>
    </row>
    <row r="85" spans="1:6" hidden="1">
      <c r="A85" s="4">
        <f>Original!A90</f>
        <v>0</v>
      </c>
      <c r="B85" s="4" t="str">
        <f>Original!C90</f>
        <v>Mexico</v>
      </c>
      <c r="C85" s="4" t="s">
        <v>289</v>
      </c>
      <c r="D85" s="4" t="str">
        <f>Original!G90</f>
        <v>Minimum pension</v>
      </c>
      <c r="E85" s="61" t="str">
        <f t="shared" si="2"/>
        <v>Mexico  |  Minimum pension</v>
      </c>
      <c r="F85" s="140">
        <f>Original!M$90</f>
        <v>0</v>
      </c>
    </row>
    <row r="86" spans="1:6">
      <c r="A86" s="4">
        <f>Original!A119</f>
        <v>1</v>
      </c>
      <c r="B86" s="4" t="str">
        <f>Original!C119</f>
        <v>Suriname</v>
      </c>
      <c r="C86" s="4" t="s">
        <v>289</v>
      </c>
      <c r="D86" s="4" t="str">
        <f>Original!G119</f>
        <v>State Old Age Pension (Algemene Oudedags Voorzieningsfonds (AOV))</v>
      </c>
      <c r="E86" s="61" t="str">
        <f t="shared" si="2"/>
        <v>Suriname  |  State Old Age Pension (Algemene Oudedags Voorzieningsfonds (AOV))</v>
      </c>
      <c r="F86" s="140">
        <f>Original!M$119</f>
        <v>153.84615384615384</v>
      </c>
    </row>
    <row r="87" spans="1:6">
      <c r="A87" s="4">
        <f>Original!A116</f>
        <v>1</v>
      </c>
      <c r="B87" s="4" t="str">
        <f>Original!C116</f>
        <v>South Africa</v>
      </c>
      <c r="C87" s="4" t="s">
        <v>289</v>
      </c>
      <c r="D87" s="4" t="str">
        <f>Original!G116</f>
        <v>Grant for Older Persons</v>
      </c>
      <c r="E87" s="61" t="str">
        <f t="shared" si="2"/>
        <v>South Africa  |  Grant for Older Persons</v>
      </c>
      <c r="F87" s="140">
        <f>Original!M$116</f>
        <v>154.70915323812704</v>
      </c>
    </row>
    <row r="88" spans="1:6">
      <c r="A88" s="4">
        <f>Original!A33</f>
        <v>1</v>
      </c>
      <c r="B88" s="4" t="str">
        <f>Original!C33</f>
        <v>Chile</v>
      </c>
      <c r="C88" s="4" t="s">
        <v>289</v>
      </c>
      <c r="D88" s="4" t="str">
        <f>Original!G33</f>
        <v>Pension Basica Solidaria de Vejez (PBS-Vejez)</v>
      </c>
      <c r="E88" s="61" t="str">
        <f t="shared" si="2"/>
        <v>Chile  |  Pension Basica Solidaria de Vejez (PBS-Vejez)</v>
      </c>
      <c r="F88" s="140">
        <f>Original!M$33</f>
        <v>157.68643216080403</v>
      </c>
    </row>
    <row r="89" spans="1:6">
      <c r="A89" s="4">
        <f>Original!A39</f>
        <v>1</v>
      </c>
      <c r="B89" s="4" t="str">
        <f>Original!C39</f>
        <v>Czech republic</v>
      </c>
      <c r="C89" s="4" t="s">
        <v>289</v>
      </c>
      <c r="D89" s="4" t="str">
        <f>Original!G39</f>
        <v>Targeted pension</v>
      </c>
      <c r="E89" s="61" t="str">
        <f t="shared" si="2"/>
        <v>Czech republic  |  Targeted pension</v>
      </c>
      <c r="F89" s="140">
        <f>Original!M$39</f>
        <v>163.69999999999999</v>
      </c>
    </row>
    <row r="90" spans="1:6">
      <c r="A90" s="4">
        <f>Original!A45</f>
        <v>1</v>
      </c>
      <c r="B90" s="4" t="str">
        <f>Original!C45</f>
        <v>Estonia</v>
      </c>
      <c r="C90" s="4" t="s">
        <v>289</v>
      </c>
      <c r="D90" s="4" t="str">
        <f>Original!G45</f>
        <v>National Pension</v>
      </c>
      <c r="E90" s="61" t="str">
        <f t="shared" si="2"/>
        <v>Estonia  |  National Pension</v>
      </c>
      <c r="F90" s="140">
        <f>Original!M$45</f>
        <v>169.83327383549508</v>
      </c>
    </row>
    <row r="91" spans="1:6">
      <c r="A91" s="4">
        <f>Original!A112</f>
        <v>1</v>
      </c>
      <c r="B91" s="4" t="str">
        <f>Original!C112</f>
        <v>Seychelles</v>
      </c>
      <c r="C91" s="4" t="s">
        <v>289</v>
      </c>
      <c r="D91" s="4" t="str">
        <f>Original!G112</f>
        <v>Old-age pension (social security fund)</v>
      </c>
      <c r="E91" s="61" t="str">
        <f t="shared" si="2"/>
        <v>Seychelles  |  Old-age pension (social security fund)</v>
      </c>
      <c r="F91" s="140">
        <f>Original!M$112</f>
        <v>172.92312126233878</v>
      </c>
    </row>
    <row r="92" spans="1:6">
      <c r="A92" s="4">
        <f>Original!A28</f>
        <v>1</v>
      </c>
      <c r="B92" s="4" t="str">
        <f>Original!C28</f>
        <v>Brunei Darussalam</v>
      </c>
      <c r="C92" s="4" t="s">
        <v>289</v>
      </c>
      <c r="D92" s="4" t="str">
        <f>Original!G28</f>
        <v>Old Age pension</v>
      </c>
      <c r="E92" s="61" t="str">
        <f t="shared" si="2"/>
        <v>Brunei Darussalam  |  Old Age pension</v>
      </c>
      <c r="F92" s="140">
        <f>Original!M$28</f>
        <v>201</v>
      </c>
    </row>
    <row r="93" spans="1:6">
      <c r="A93" s="4">
        <f>Original!A59</f>
        <v>1</v>
      </c>
      <c r="B93" s="4" t="str">
        <f>Original!C59</f>
        <v>Iceland</v>
      </c>
      <c r="C93" s="4" t="s">
        <v>289</v>
      </c>
      <c r="D93" s="4" t="str">
        <f>Original!G59</f>
        <v>lífeyristryggingar almannatrygginga (National Basic Pension)</v>
      </c>
      <c r="E93" s="61" t="str">
        <f t="shared" si="2"/>
        <v>Iceland  |  lífeyristryggingar almannatrygginga (National Basic Pension)</v>
      </c>
      <c r="F93" s="140">
        <f>Original!M$59</f>
        <v>203.58048162230673</v>
      </c>
    </row>
    <row r="94" spans="1:6" hidden="1">
      <c r="A94" s="4">
        <f>Original!A99</f>
        <v>0</v>
      </c>
      <c r="B94" s="4" t="str">
        <f>Original!C99</f>
        <v>Norway</v>
      </c>
      <c r="C94" s="4" t="s">
        <v>289</v>
      </c>
      <c r="D94" s="4" t="str">
        <f>Original!G99</f>
        <v>Minimum pension</v>
      </c>
      <c r="E94" s="61" t="str">
        <f t="shared" si="2"/>
        <v>Norway  |  Minimum pension</v>
      </c>
      <c r="F94" s="140">
        <f>Original!M$99</f>
        <v>2013.0169737982721</v>
      </c>
    </row>
    <row r="95" spans="1:6">
      <c r="A95" s="4">
        <f>Original!A114</f>
        <v>1</v>
      </c>
      <c r="B95" s="4" t="str">
        <f>Original!C114</f>
        <v>Slovenia</v>
      </c>
      <c r="C95" s="4" t="s">
        <v>289</v>
      </c>
      <c r="D95" s="4" t="str">
        <f>Original!G114</f>
        <v>State pension</v>
      </c>
      <c r="E95" s="61" t="str">
        <f t="shared" si="2"/>
        <v>Slovenia  |  State pension</v>
      </c>
      <c r="F95" s="140">
        <f>Original!M$114</f>
        <v>239.78950987003032</v>
      </c>
    </row>
    <row r="96" spans="1:6">
      <c r="A96" s="4">
        <f>Original!A134</f>
        <v>1</v>
      </c>
      <c r="B96" s="4" t="str">
        <f>Original!C134</f>
        <v>Uruguay</v>
      </c>
      <c r="C96" s="4" t="s">
        <v>289</v>
      </c>
      <c r="D96" s="4" t="str">
        <f>Original!G134</f>
        <v>Pensión por Vejez (Programa de Pensiones No-Contributivas)</v>
      </c>
      <c r="E96" s="61" t="str">
        <f t="shared" si="2"/>
        <v>Uruguay  |  Pensión por Vejez (Programa de Pensiones No-Contributivas)</v>
      </c>
      <c r="F96" s="140">
        <f>Original!M$134</f>
        <v>240.75757575757575</v>
      </c>
    </row>
    <row r="97" spans="1:6">
      <c r="A97" s="4">
        <f>Original!A16</f>
        <v>1</v>
      </c>
      <c r="B97" s="4" t="str">
        <f>Original!C16</f>
        <v>Bahamas</v>
      </c>
      <c r="C97" s="4" t="s">
        <v>289</v>
      </c>
      <c r="D97" s="4" t="str">
        <f>Original!G16</f>
        <v>Old Age Non-Contributory Pension (OANCP)</v>
      </c>
      <c r="E97" s="61" t="str">
        <f t="shared" si="2"/>
        <v>Bahamas  |  Old Age Non-Contributory Pension (OANCP)</v>
      </c>
      <c r="F97" s="140">
        <f>Original!M$16</f>
        <v>245</v>
      </c>
    </row>
    <row r="98" spans="1:6">
      <c r="A98" s="4">
        <f>Original!A106</f>
        <v>1</v>
      </c>
      <c r="B98" s="4" t="str">
        <f>Original!C106</f>
        <v>Portugal</v>
      </c>
      <c r="C98" s="4" t="s">
        <v>289</v>
      </c>
      <c r="D98" s="4" t="str">
        <f>Original!G106</f>
        <v>Pensao Social de Velhice (Old Age Social Pension)</v>
      </c>
      <c r="E98" s="61" t="str">
        <f t="shared" si="2"/>
        <v>Portugal  |  Pensao Social de Velhice (Old Age Social Pension)</v>
      </c>
      <c r="F98" s="140">
        <f>Original!M$106</f>
        <v>258.35283540253596</v>
      </c>
    </row>
    <row r="99" spans="1:6">
      <c r="A99" s="4">
        <f>Original!A19</f>
        <v>1</v>
      </c>
      <c r="B99" s="4" t="str">
        <f>Original!C19</f>
        <v>Barbados</v>
      </c>
      <c r="C99" s="4" t="s">
        <v>289</v>
      </c>
      <c r="D99" s="4" t="str">
        <f>Original!G19</f>
        <v>Non-contributory Old Age Pension</v>
      </c>
      <c r="E99" s="61" t="str">
        <f t="shared" si="2"/>
        <v>Barbados  |  Non-contributory Old Age Pension</v>
      </c>
      <c r="F99" s="140">
        <f>Original!M$19</f>
        <v>299</v>
      </c>
    </row>
    <row r="100" spans="1:6" hidden="1">
      <c r="A100" s="4">
        <f>Original!A105</f>
        <v>0</v>
      </c>
      <c r="B100" s="4" t="str">
        <f>Original!C105</f>
        <v>Poland</v>
      </c>
      <c r="C100" s="4" t="s">
        <v>289</v>
      </c>
      <c r="D100" s="4" t="str">
        <f>Original!G105</f>
        <v>Minimum pension</v>
      </c>
      <c r="E100" s="61" t="str">
        <f t="shared" si="2"/>
        <v>Poland  |  Minimum pension</v>
      </c>
      <c r="F100" s="140">
        <f>Original!M$105</f>
        <v>0</v>
      </c>
    </row>
    <row r="101" spans="1:6">
      <c r="A101" s="4">
        <f>Original!A35</f>
        <v>1</v>
      </c>
      <c r="B101" s="4" t="str">
        <f>Original!C35</f>
        <v>Cook Islands</v>
      </c>
      <c r="C101" s="4" t="s">
        <v>289</v>
      </c>
      <c r="D101" s="4" t="str">
        <f>Original!G35</f>
        <v>Old Age Pension</v>
      </c>
      <c r="E101" s="61" t="str">
        <f t="shared" ref="E101:E132" si="3">CONCATENATE(B101,C101,D101)</f>
        <v>Cook Islands  |  Old Age Pension</v>
      </c>
      <c r="F101" s="140">
        <f>Original!M$35</f>
        <v>325.48639873711278</v>
      </c>
    </row>
    <row r="102" spans="1:6" hidden="1">
      <c r="A102" s="4">
        <f>Original!A107</f>
        <v>0</v>
      </c>
      <c r="B102" s="4" t="str">
        <f>Original!C107</f>
        <v>Portugal</v>
      </c>
      <c r="C102" s="4" t="s">
        <v>289</v>
      </c>
      <c r="D102" s="4" t="str">
        <f>Original!G107</f>
        <v>Minimum pension</v>
      </c>
      <c r="E102" s="61" t="str">
        <f t="shared" si="3"/>
        <v>Portugal  |  Minimum pension</v>
      </c>
      <c r="F102" s="140">
        <f>Original!M$107</f>
        <v>0</v>
      </c>
    </row>
    <row r="103" spans="1:6" hidden="1">
      <c r="A103" s="4">
        <f>Original!A108</f>
        <v>0</v>
      </c>
      <c r="B103" s="4" t="str">
        <f>Original!C108</f>
        <v>Saint Kitts and Nevis</v>
      </c>
      <c r="C103" s="4" t="s">
        <v>289</v>
      </c>
      <c r="D103" s="4" t="str">
        <f>Original!G108</f>
        <v>Old age social assistance pension</v>
      </c>
      <c r="E103" s="61" t="str">
        <f t="shared" si="3"/>
        <v>Saint Kitts and Nevis  |  Old age social assistance pension</v>
      </c>
      <c r="F103" s="140">
        <f>Original!M$108</f>
        <v>0</v>
      </c>
    </row>
    <row r="104" spans="1:6">
      <c r="A104" s="4">
        <f>Original!A26</f>
        <v>1</v>
      </c>
      <c r="B104" s="4" t="str">
        <f>Original!C26</f>
        <v>Brazil [Rural pensionn]</v>
      </c>
      <c r="C104" s="4" t="s">
        <v>289</v>
      </c>
      <c r="D104" s="4" t="str">
        <f>Original!G26</f>
        <v>Previdencia Rural (Rural Pension)</v>
      </c>
      <c r="E104" s="61" t="str">
        <f t="shared" si="3"/>
        <v>Brazil [Rural pensionn]  |  Previdencia Rural (Rural Pension)</v>
      </c>
      <c r="F104" s="140">
        <f>Original!M$26</f>
        <v>330.9549273442197</v>
      </c>
    </row>
    <row r="105" spans="1:6" hidden="1">
      <c r="A105" s="4">
        <f>Original!A110</f>
        <v>0</v>
      </c>
      <c r="B105" s="4" t="str">
        <f>Original!C110</f>
        <v>Saint Vincent and the Grenadines</v>
      </c>
      <c r="C105" s="4" t="s">
        <v>289</v>
      </c>
      <c r="D105" s="4" t="str">
        <f>Original!G110</f>
        <v xml:space="preserve">The Non-Contributory Assistance Age Pension (NAAP) </v>
      </c>
      <c r="E105" s="61" t="str">
        <f t="shared" si="3"/>
        <v xml:space="preserve">Saint Vincent and the Grenadines  |  The Non-Contributory Assistance Age Pension (NAAP) </v>
      </c>
      <c r="F105" s="140">
        <f>Original!M$110</f>
        <v>0</v>
      </c>
    </row>
    <row r="106" spans="1:6">
      <c r="A106" s="4">
        <f>Original!A27</f>
        <v>1</v>
      </c>
      <c r="B106" s="4" t="str">
        <f>Original!C27</f>
        <v>Brazil [BPC]</v>
      </c>
      <c r="C106" s="4" t="s">
        <v>289</v>
      </c>
      <c r="D106" s="4" t="str">
        <f>Original!G27</f>
        <v>Beneficio de Prestacao Continuada (BPC / Continuous Cash Benefit)</v>
      </c>
      <c r="E106" s="61" t="str">
        <f t="shared" si="3"/>
        <v>Brazil [BPC]  |  Beneficio de Prestacao Continuada (BPC / Continuous Cash Benefit)</v>
      </c>
      <c r="F106" s="140">
        <f>Original!M$27</f>
        <v>330.9549273442197</v>
      </c>
    </row>
    <row r="107" spans="1:6">
      <c r="A107" s="4">
        <f>Original!A136</f>
        <v>1</v>
      </c>
      <c r="B107" s="4" t="str">
        <f>Original!C136</f>
        <v>Venezuela</v>
      </c>
      <c r="C107" s="4" t="s">
        <v>289</v>
      </c>
      <c r="D107" s="4" t="str">
        <f>Original!G136</f>
        <v>Gran Mision Amor Mayor</v>
      </c>
      <c r="E107" s="61" t="str">
        <f t="shared" si="3"/>
        <v>Venezuela  |  Gran Mision Amor Mayor</v>
      </c>
      <c r="F107" s="140">
        <f>Original!M$136</f>
        <v>360</v>
      </c>
    </row>
    <row r="108" spans="1:6">
      <c r="A108" s="4">
        <f>Original!A64</f>
        <v>1</v>
      </c>
      <c r="B108" s="4" t="str">
        <f>Original!C64</f>
        <v>Israel</v>
      </c>
      <c r="C108" s="4" t="s">
        <v>289</v>
      </c>
      <c r="D108" s="4" t="str">
        <f>Original!G64</f>
        <v>Income support benefit | Special old age benefit</v>
      </c>
      <c r="E108" s="61" t="str">
        <f t="shared" si="3"/>
        <v>Israel  |  Income support benefit | Special old age benefit</v>
      </c>
      <c r="F108" s="140">
        <f>Original!M$64</f>
        <v>394.64182457224928</v>
      </c>
    </row>
    <row r="109" spans="1:6">
      <c r="A109" s="4">
        <f>Original!A37</f>
        <v>1</v>
      </c>
      <c r="B109" s="4" t="str">
        <f>Original!C37</f>
        <v>Cyprus</v>
      </c>
      <c r="C109" s="4" t="s">
        <v>289</v>
      </c>
      <c r="D109" s="4" t="str">
        <f>Original!G37</f>
        <v>Social Pension Scheme</v>
      </c>
      <c r="E109" s="61" t="str">
        <f t="shared" si="3"/>
        <v>Cyprus  |  Social Pension Scheme</v>
      </c>
      <c r="F109" s="140">
        <f>Original!M$37</f>
        <v>429.70888214870303</v>
      </c>
    </row>
    <row r="110" spans="1:6" hidden="1">
      <c r="A110" s="4">
        <f>Original!A115</f>
        <v>0</v>
      </c>
      <c r="B110" s="4" t="str">
        <f>Original!C115</f>
        <v>Slovenia</v>
      </c>
      <c r="C110" s="4" t="s">
        <v>289</v>
      </c>
      <c r="D110" s="4" t="str">
        <f>Original!G115</f>
        <v>Minimum pension</v>
      </c>
      <c r="E110" s="61" t="str">
        <f t="shared" si="3"/>
        <v>Slovenia  |  Minimum pension</v>
      </c>
      <c r="F110" s="140">
        <f>Original!M$115</f>
        <v>558.17786768562235</v>
      </c>
    </row>
    <row r="111" spans="1:6">
      <c r="A111" s="4">
        <f>Original!A51</f>
        <v>1</v>
      </c>
      <c r="B111" s="4" t="str">
        <f>Original!C51</f>
        <v>Greece</v>
      </c>
      <c r="C111" s="4" t="s">
        <v>289</v>
      </c>
      <c r="D111" s="4" t="str">
        <f>Original!G51</f>
        <v>Pension to uninsured elderly</v>
      </c>
      <c r="E111" s="61" t="str">
        <f t="shared" si="3"/>
        <v>Greece  |  Pension to uninsured elderly</v>
      </c>
      <c r="F111" s="140">
        <f>Original!M$51</f>
        <v>436.3174804648765</v>
      </c>
    </row>
    <row r="112" spans="1:6">
      <c r="A112" s="4">
        <f>Original!A23</f>
        <v>1</v>
      </c>
      <c r="B112" s="4" t="str">
        <f>Original!C23</f>
        <v>Bermuda</v>
      </c>
      <c r="C112" s="4" t="s">
        <v>289</v>
      </c>
      <c r="D112" s="4" t="str">
        <f>Original!G23</f>
        <v>Non-contibutory old age pension</v>
      </c>
      <c r="E112" s="61" t="str">
        <f t="shared" si="3"/>
        <v>Bermuda  |  Non-contibutory old age pension</v>
      </c>
      <c r="F112" s="140">
        <f>Original!M$23</f>
        <v>451</v>
      </c>
    </row>
    <row r="113" spans="1:6" hidden="1">
      <c r="A113" s="4">
        <f>Original!A118</f>
        <v>0</v>
      </c>
      <c r="B113" s="4" t="str">
        <f>Original!C118</f>
        <v>Spain</v>
      </c>
      <c r="C113" s="4" t="s">
        <v>289</v>
      </c>
      <c r="D113" s="4" t="str">
        <f>Original!G118</f>
        <v>Minimum pension</v>
      </c>
      <c r="E113" s="61" t="str">
        <f t="shared" si="3"/>
        <v>Spain  |  Minimum pension</v>
      </c>
      <c r="F113" s="140">
        <f>Original!M$118</f>
        <v>701.63376656574064</v>
      </c>
    </row>
    <row r="114" spans="1:6">
      <c r="A114" s="4">
        <f>Original!A127</f>
        <v>1</v>
      </c>
      <c r="B114" s="4" t="str">
        <f>Original!C127</f>
        <v>Trinidad and Tobago</v>
      </c>
      <c r="C114" s="4" t="s">
        <v>289</v>
      </c>
      <c r="D114" s="4" t="str">
        <f>Original!G127</f>
        <v>Senior Citizens' Pension</v>
      </c>
      <c r="E114" s="61" t="str">
        <f t="shared" si="3"/>
        <v>Trinidad and Tobago  |  Senior Citizens' Pension</v>
      </c>
      <c r="F114" s="140">
        <f>Original!M$127</f>
        <v>472.44094488188978</v>
      </c>
    </row>
    <row r="115" spans="1:6">
      <c r="A115" s="4">
        <f>Original!A117</f>
        <v>1</v>
      </c>
      <c r="B115" s="4" t="str">
        <f>Original!C117</f>
        <v>Spain</v>
      </c>
      <c r="C115" s="4" t="s">
        <v>289</v>
      </c>
      <c r="D115" s="4" t="str">
        <f>Original!G117</f>
        <v>Non Contributory Pension for retirement ( Pension no Contributiva de Jubilacion)</v>
      </c>
      <c r="E115" s="61" t="str">
        <f t="shared" si="3"/>
        <v>Spain  |  Non Contributory Pension for retirement ( Pension no Contributiva de Jubilacion)</v>
      </c>
      <c r="F115" s="140">
        <f>Original!M$117</f>
        <v>472.94170534026154</v>
      </c>
    </row>
    <row r="116" spans="1:6">
      <c r="A116" s="4">
        <f>Original!A30</f>
        <v>1</v>
      </c>
      <c r="B116" s="4" t="str">
        <f>Original!C30</f>
        <v>Canada Targeted</v>
      </c>
      <c r="C116" s="4" t="s">
        <v>289</v>
      </c>
      <c r="D116" s="4" t="str">
        <f>Original!G30</f>
        <v>Canada targeted pension</v>
      </c>
      <c r="E116" s="61" t="str">
        <f t="shared" si="3"/>
        <v>Canada Targeted  |  Canada targeted pension</v>
      </c>
      <c r="F116" s="140">
        <f>Original!M$30</f>
        <v>504.36598144335937</v>
      </c>
    </row>
    <row r="117" spans="1:6">
      <c r="A117" s="4">
        <f>Original!A65</f>
        <v>1</v>
      </c>
      <c r="B117" s="4" t="str">
        <f>Original!C65</f>
        <v>Italy</v>
      </c>
      <c r="C117" s="4" t="s">
        <v>289</v>
      </c>
      <c r="D117" s="4" t="str">
        <f>Original!G65</f>
        <v>Targeted pension [Social allowance]</v>
      </c>
      <c r="E117" s="61" t="str">
        <f t="shared" si="3"/>
        <v>Italy  |  Targeted pension [Social allowance]</v>
      </c>
      <c r="F117" s="140">
        <f>Original!M$65</f>
        <v>544.11434162336548</v>
      </c>
    </row>
    <row r="118" spans="1:6" hidden="1">
      <c r="A118" s="4">
        <f>Original!A123</f>
        <v>0</v>
      </c>
      <c r="B118" s="4" t="str">
        <f>Original!C123</f>
        <v>Switzerland</v>
      </c>
      <c r="C118" s="4" t="s">
        <v>289</v>
      </c>
      <c r="D118" s="4" t="str">
        <f>Original!G123</f>
        <v>Minimum pension</v>
      </c>
      <c r="E118" s="61" t="str">
        <f t="shared" si="3"/>
        <v>Switzerland  |  Minimum pension</v>
      </c>
      <c r="F118" s="140">
        <f>Original!M$123</f>
        <v>1059.5397623514848</v>
      </c>
    </row>
    <row r="119" spans="1:6">
      <c r="A119" s="4">
        <f>Original!A31</f>
        <v>1</v>
      </c>
      <c r="B119" s="4" t="str">
        <f>Original!C31</f>
        <v>Canada basic</v>
      </c>
      <c r="C119" s="4" t="s">
        <v>289</v>
      </c>
      <c r="D119" s="4" t="str">
        <f>Original!G31</f>
        <v>Pension de la Securite Vieillesse (S.V.) (Old Age Security Pension)</v>
      </c>
      <c r="E119" s="61" t="str">
        <f t="shared" si="3"/>
        <v>Canada basic  |  Pension de la Securite Vieillesse (S.V.) (Old Age Security Pension)</v>
      </c>
      <c r="F119" s="140">
        <f>Original!M$31</f>
        <v>547</v>
      </c>
    </row>
    <row r="120" spans="1:6">
      <c r="A120" s="4">
        <f>Original!A85</f>
        <v>1</v>
      </c>
      <c r="B120" s="4" t="str">
        <f>Original!C85</f>
        <v>Malta</v>
      </c>
      <c r="C120" s="4" t="s">
        <v>289</v>
      </c>
      <c r="D120" s="4" t="str">
        <f>Original!G85</f>
        <v>Old-age noncontributory pension</v>
      </c>
      <c r="E120" s="61" t="str">
        <f t="shared" si="3"/>
        <v>Malta  |  Old-age noncontributory pension</v>
      </c>
      <c r="F120" s="140">
        <f>Original!M$85</f>
        <v>570.13472954927079</v>
      </c>
    </row>
    <row r="121" spans="1:6">
      <c r="A121" s="4">
        <f>Original!A133</f>
        <v>1</v>
      </c>
      <c r="B121" s="4" t="str">
        <f>Original!C133</f>
        <v>United States of America</v>
      </c>
      <c r="C121" s="4" t="s">
        <v>289</v>
      </c>
      <c r="D121" s="4" t="str">
        <f>Original!G133</f>
        <v>Old age supplemental income benefit</v>
      </c>
      <c r="E121" s="61" t="str">
        <f t="shared" si="3"/>
        <v>United States of America  |  Old age supplemental income benefit</v>
      </c>
      <c r="F121" s="140">
        <f>Original!M$133</f>
        <v>674</v>
      </c>
    </row>
    <row r="122" spans="1:6">
      <c r="A122" s="4">
        <f>Original!A46</f>
        <v>1</v>
      </c>
      <c r="B122" s="4" t="str">
        <f>Original!C46</f>
        <v>Finland</v>
      </c>
      <c r="C122" s="4" t="s">
        <v>289</v>
      </c>
      <c r="D122" s="4" t="str">
        <f>Original!G46</f>
        <v>Kansanelake (Old Age Pension)</v>
      </c>
      <c r="E122" s="61" t="str">
        <f t="shared" si="3"/>
        <v>Finland  |  Kansanelake (Old Age Pension)</v>
      </c>
      <c r="F122" s="140">
        <f>Original!M$46</f>
        <v>804.71487313738714</v>
      </c>
    </row>
    <row r="123" spans="1:6">
      <c r="A123" s="4">
        <f>Original!A96</f>
        <v>1</v>
      </c>
      <c r="B123" s="4" t="str">
        <f>Original!C96</f>
        <v>New Zealand</v>
      </c>
      <c r="C123" s="4" t="s">
        <v>289</v>
      </c>
      <c r="D123" s="4" t="str">
        <f>Original!G96</f>
        <v>Superannuation</v>
      </c>
      <c r="E123" s="61" t="str">
        <f t="shared" si="3"/>
        <v>New Zealand  |  Superannuation</v>
      </c>
      <c r="F123" s="140">
        <f>Original!M$96</f>
        <v>869.42813758325678</v>
      </c>
    </row>
    <row r="124" spans="1:6">
      <c r="A124" s="4">
        <f>Original!A132</f>
        <v>1</v>
      </c>
      <c r="B124" s="4" t="str">
        <f>Original!C132</f>
        <v>United Kingdom</v>
      </c>
      <c r="C124" s="4" t="s">
        <v>289</v>
      </c>
      <c r="D124" s="4" t="str">
        <f>Original!G132</f>
        <v>Pension credit (Guarantee Credit)</v>
      </c>
      <c r="E124" s="61" t="str">
        <f t="shared" si="3"/>
        <v>United Kingdom  |  Pension credit (Guarantee Credit)</v>
      </c>
      <c r="F124" s="140">
        <f>Original!M$132</f>
        <v>958.12587029837641</v>
      </c>
    </row>
    <row r="125" spans="1:6">
      <c r="A125" s="4">
        <f>Original!A47</f>
        <v>1</v>
      </c>
      <c r="B125" s="4" t="str">
        <f>Original!C47</f>
        <v>France</v>
      </c>
      <c r="C125" s="4" t="s">
        <v>289</v>
      </c>
      <c r="D125" s="4" t="str">
        <f>Original!G47</f>
        <v>ASPA (allocation de solidarité aux personnes âgées)</v>
      </c>
      <c r="E125" s="61" t="str">
        <f t="shared" si="3"/>
        <v>France  |  ASPA (allocation de solidarité aux personnes âgées)</v>
      </c>
      <c r="F125" s="140">
        <f>Original!M$47</f>
        <v>981.41023098382982</v>
      </c>
    </row>
    <row r="126" spans="1:6">
      <c r="A126" s="4">
        <f>Original!A41</f>
        <v>1</v>
      </c>
      <c r="B126" s="4" t="str">
        <f>Original!C41</f>
        <v>Denmark</v>
      </c>
      <c r="C126" s="4" t="s">
        <v>289</v>
      </c>
      <c r="D126" s="4" t="str">
        <f>Original!G41</f>
        <v>Folkepension [national pension - Universal basic pension]</v>
      </c>
      <c r="E126" s="61" t="str">
        <f t="shared" si="3"/>
        <v>Denmark  |  Folkepension [national pension - Universal basic pension]</v>
      </c>
      <c r="F126" s="140">
        <f>Original!M$41</f>
        <v>1015.2329366941044</v>
      </c>
    </row>
    <row r="127" spans="1:6">
      <c r="A127" s="4">
        <f>Original!A98</f>
        <v>1</v>
      </c>
      <c r="B127" s="4" t="str">
        <f>Original!C98</f>
        <v>Norway</v>
      </c>
      <c r="C127" s="4" t="s">
        <v>289</v>
      </c>
      <c r="D127" s="4" t="str">
        <f>Original!G98</f>
        <v>Grunnpensjon (Basic Pension)</v>
      </c>
      <c r="E127" s="61" t="str">
        <f t="shared" si="3"/>
        <v>Norway  |  Grunnpensjon (Basic Pension)</v>
      </c>
      <c r="F127" s="140">
        <f>Original!M$98</f>
        <v>1061.4595858616931</v>
      </c>
    </row>
    <row r="128" spans="1:6">
      <c r="A128" s="4">
        <f>Original!A121</f>
        <v>1</v>
      </c>
      <c r="B128" s="4" t="str">
        <f>Original!C121</f>
        <v>Sweden</v>
      </c>
      <c r="C128" s="4" t="s">
        <v>289</v>
      </c>
      <c r="D128" s="4" t="str">
        <f>Original!G121</f>
        <v>Garantipension (Guaranteed pension)</v>
      </c>
      <c r="E128" s="61" t="str">
        <f t="shared" si="3"/>
        <v>Sweden  |  Garantipension (Guaranteed pension)</v>
      </c>
      <c r="F128" s="140">
        <f>Original!M$121</f>
        <v>1145.0545891588263</v>
      </c>
    </row>
    <row r="129" spans="1:6">
      <c r="A129" s="4">
        <f>Original!A21</f>
        <v>1</v>
      </c>
      <c r="B129" s="4" t="str">
        <f>Original!C21</f>
        <v>Beligium</v>
      </c>
      <c r="C129" s="4" t="s">
        <v>289</v>
      </c>
      <c r="D129" s="4" t="str">
        <f>Original!G21</f>
        <v>IGO/GRAPA (Income Guarantee for the Elderly)</v>
      </c>
      <c r="E129" s="61" t="str">
        <f t="shared" si="3"/>
        <v>Beligium  |  IGO/GRAPA (Income Guarantee for the Elderly)</v>
      </c>
      <c r="F129" s="140">
        <f>Original!M$21</f>
        <v>1212</v>
      </c>
    </row>
    <row r="130" spans="1:6">
      <c r="A130" s="4">
        <f>Original!A63</f>
        <v>1</v>
      </c>
      <c r="B130" s="4" t="str">
        <f>Original!C63</f>
        <v>Ireland</v>
      </c>
      <c r="C130" s="4" t="s">
        <v>289</v>
      </c>
      <c r="D130" s="4" t="str">
        <f>Original!G63</f>
        <v>Targeted pension</v>
      </c>
      <c r="E130" s="61" t="str">
        <f t="shared" si="3"/>
        <v>Ireland  |  Targeted pension</v>
      </c>
      <c r="F130" s="140">
        <f>Original!M$63</f>
        <v>1254.7432998823265</v>
      </c>
    </row>
    <row r="131" spans="1:6">
      <c r="A131" s="4">
        <f>Original!A95</f>
        <v>1</v>
      </c>
      <c r="B131" s="4" t="str">
        <f>Original!C95</f>
        <v>Netherlands</v>
      </c>
      <c r="C131" s="4" t="s">
        <v>289</v>
      </c>
      <c r="D131" s="4" t="str">
        <f>Original!G95</f>
        <v>Old-age pension</v>
      </c>
      <c r="E131" s="61" t="str">
        <f t="shared" si="3"/>
        <v>Netherlands  |  Old-age pension</v>
      </c>
      <c r="F131" s="140">
        <f>Original!M$95</f>
        <v>1392.5718194254446</v>
      </c>
    </row>
    <row r="132" spans="1:6">
      <c r="A132" s="4">
        <f>Original!A122</f>
        <v>1</v>
      </c>
      <c r="B132" s="4" t="str">
        <f>Original!C122</f>
        <v>Switzerland</v>
      </c>
      <c r="C132" s="4" t="s">
        <v>289</v>
      </c>
      <c r="D132" s="4" t="str">
        <f>Original!G122</f>
        <v>Targeted pension</v>
      </c>
      <c r="E132" s="61" t="str">
        <f t="shared" si="3"/>
        <v>Switzerland  |  Targeted pension</v>
      </c>
      <c r="F132" s="140">
        <f>Original!M$122</f>
        <v>1449.4759644838564</v>
      </c>
    </row>
    <row r="133" spans="1:6">
      <c r="A133" s="4">
        <f>Original!A13</f>
        <v>1</v>
      </c>
      <c r="B133" s="4" t="str">
        <f>Original!C13</f>
        <v>Australia</v>
      </c>
      <c r="C133" s="4" t="s">
        <v>289</v>
      </c>
      <c r="D133" s="4" t="str">
        <f>Original!G13</f>
        <v>Age Pension</v>
      </c>
      <c r="E133" s="61" t="str">
        <f t="shared" ref="E133:E134" si="4">CONCATENATE(B133,C133,D133)</f>
        <v>Australia  |  Age Pension</v>
      </c>
      <c r="F133" s="140">
        <f>Original!M$13</f>
        <v>1558</v>
      </c>
    </row>
    <row r="134" spans="1:6">
      <c r="A134" s="4">
        <f>Original!A14</f>
        <v>1</v>
      </c>
      <c r="B134" s="4" t="str">
        <f>Original!C14</f>
        <v>Austria</v>
      </c>
      <c r="C134" s="4" t="s">
        <v>289</v>
      </c>
      <c r="D134" s="4" t="str">
        <f>Original!G14</f>
        <v>Ausgleichszulage (Austrian Compensatory Supplement)</v>
      </c>
      <c r="E134" s="61" t="str">
        <f t="shared" si="4"/>
        <v>Austria  |  Ausgleichszulage (Austrian Compensatory Supplement)</v>
      </c>
      <c r="F134" s="140">
        <f>Original!M$14</f>
        <v>1558</v>
      </c>
    </row>
    <row r="135" spans="1:6">
      <c r="E135" s="61"/>
      <c r="F135" s="140"/>
    </row>
  </sheetData>
  <autoFilter ref="A4:V134">
    <filterColumn colId="0">
      <filters>
        <filter val="1"/>
      </filters>
    </filterColumn>
    <filterColumn colId="5">
      <filters>
        <filter val="10,8"/>
        <filter val="100,0"/>
        <filter val="1015,2"/>
        <filter val="104,3"/>
        <filter val="1061,5"/>
        <filter val="109,4"/>
        <filter val="11,6"/>
        <filter val="11,7"/>
        <filter val="1145,1"/>
        <filter val="12,9"/>
        <filter val="1212,0"/>
        <filter val="1254,7"/>
        <filter val="131,1"/>
        <filter val="1392,6"/>
        <filter val="140,5"/>
        <filter val="140,9"/>
        <filter val="1449,5"/>
        <filter val="153,8"/>
        <filter val="154,7"/>
        <filter val="1558,0"/>
        <filter val="157,7"/>
        <filter val="163,7"/>
        <filter val="169,8"/>
        <filter val="17,0"/>
        <filter val="172,9"/>
        <filter val="18,0"/>
        <filter val="19,4"/>
        <filter val="20,0"/>
        <filter val="20,8"/>
        <filter val="201,0"/>
        <filter val="203,6"/>
        <filter val="21,3"/>
        <filter val="239,8"/>
        <filter val="240,8"/>
        <filter val="245,0"/>
        <filter val="25,6"/>
        <filter val="25,8"/>
        <filter val="258,4"/>
        <filter val="27,8"/>
        <filter val="29,2"/>
        <filter val="29,4"/>
        <filter val="299,0"/>
        <filter val="3,8"/>
        <filter val="31,7"/>
        <filter val="31,8"/>
        <filter val="32,4"/>
        <filter val="32,7"/>
        <filter val="325,5"/>
        <filter val="331,0"/>
        <filter val="34,0"/>
        <filter val="35,0"/>
        <filter val="360,0"/>
        <filter val="38,1"/>
        <filter val="38,7"/>
        <filter val="394,6"/>
        <filter val="4,3"/>
        <filter val="429,7"/>
        <filter val="436,3"/>
        <filter val="451,0"/>
        <filter val="47,2"/>
        <filter val="472,4"/>
        <filter val="472,9"/>
        <filter val="49,2"/>
        <filter val="49,7"/>
        <filter val="5,8"/>
        <filter val="50,0"/>
        <filter val="504,4"/>
        <filter val="51,3"/>
        <filter val="51,4"/>
        <filter val="54,2"/>
        <filter val="544,1"/>
        <filter val="547,0"/>
        <filter val="56,7"/>
        <filter val="570,1"/>
        <filter val="59,5"/>
        <filter val="59,7"/>
        <filter val="6,7"/>
        <filter val="60,2"/>
        <filter val="62,0"/>
        <filter val="64,5"/>
        <filter val="674,0"/>
        <filter val="68,3"/>
        <filter val="7,7"/>
        <filter val="76,0"/>
        <filter val="79,0"/>
        <filter val="8,4"/>
        <filter val="8,7"/>
        <filter val="80,0"/>
        <filter val="804,7"/>
        <filter val="85,0"/>
        <filter val="86,5"/>
        <filter val="869,4"/>
        <filter val="87,4"/>
        <filter val="87,5"/>
        <filter val="9,2"/>
        <filter val="94,0"/>
        <filter val="958,1"/>
        <filter val="96,1"/>
        <filter val="981,4"/>
        <filter val="99,5"/>
      </filters>
    </filterColumn>
  </autoFilter>
  <sortState ref="A5:F134">
    <sortCondition ref="F5:F1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I135"/>
  <sheetViews>
    <sheetView workbookViewId="0">
      <selection activeCell="A4" sqref="A4:XFD4"/>
    </sheetView>
  </sheetViews>
  <sheetFormatPr baseColWidth="10" defaultColWidth="9" defaultRowHeight="10.5"/>
  <cols>
    <col min="1" max="3" width="9" style="4"/>
    <col min="4" max="4" width="26.75" style="4" customWidth="1"/>
    <col min="5" max="5" width="3.625" style="4" customWidth="1"/>
    <col min="6" max="6" width="50.25" style="4" customWidth="1"/>
    <col min="7" max="8" width="9" style="4"/>
    <col min="9" max="9" width="17" style="4" customWidth="1"/>
    <col min="10" max="16384" width="9" style="4"/>
  </cols>
  <sheetData>
    <row r="1" spans="1:9">
      <c r="B1" s="4" t="s">
        <v>568</v>
      </c>
    </row>
    <row r="3" spans="1:9" ht="15">
      <c r="B3" s="4" t="s">
        <v>288</v>
      </c>
      <c r="F3" s="115" t="s">
        <v>354</v>
      </c>
      <c r="G3" s="115"/>
    </row>
    <row r="4" spans="1:9" ht="31.5">
      <c r="F4" s="175"/>
      <c r="G4" s="175" t="s">
        <v>355</v>
      </c>
      <c r="H4" s="175"/>
      <c r="I4" s="175" t="s">
        <v>571</v>
      </c>
    </row>
    <row r="5" spans="1:9" hidden="1">
      <c r="A5" s="4">
        <f>Original!A66</f>
        <v>0</v>
      </c>
      <c r="B5" s="4" t="str">
        <f>Original!C66</f>
        <v>Italy</v>
      </c>
      <c r="C5" s="4" t="s">
        <v>289</v>
      </c>
      <c r="D5" s="4" t="str">
        <f>Original!G66</f>
        <v>Minimum pension</v>
      </c>
      <c r="F5" s="162" t="str">
        <f t="shared" ref="F5:F36" si="0">CONCATENATE(B5,C5,D5)</f>
        <v>Italy  |  Minimum pension</v>
      </c>
      <c r="G5" s="174">
        <f>IF(Original!AD$66="no data", "", Original!AD$66)</f>
        <v>0</v>
      </c>
      <c r="H5" s="162">
        <f>IF(Original!AD66="no data", "", 1)</f>
        <v>1</v>
      </c>
      <c r="I5" s="174">
        <f>IF(Original!AE$66="no data", "", Original!AE$66*100)</f>
        <v>0</v>
      </c>
    </row>
    <row r="6" spans="1:9">
      <c r="A6" s="4">
        <f>Original!A61</f>
        <v>1</v>
      </c>
      <c r="B6" s="4" t="str">
        <f>Original!C61</f>
        <v xml:space="preserve">Indonesia </v>
      </c>
      <c r="C6" s="4" t="s">
        <v>289</v>
      </c>
      <c r="D6" s="4" t="str">
        <f>Original!G61</f>
        <v>Program Jaminan Sosial Lanjut Usia (Elderly Social Security Programme) (Pilot)</v>
      </c>
      <c r="F6" s="162" t="str">
        <f t="shared" si="0"/>
        <v>Indonesia   |  Program Jaminan Sosial Lanjut Usia (Elderly Social Security Programme) (Pilot)</v>
      </c>
      <c r="G6" s="174">
        <f>IF(Original!AD$61="no data", "", Original!AD$61)</f>
        <v>0.11500217124099303</v>
      </c>
      <c r="H6" s="162">
        <f>IF(Original!AD61="no data", "", 1)</f>
        <v>1</v>
      </c>
      <c r="I6" s="174">
        <f>IF(Original!AE$61="no data", "", Original!AE$61*100)</f>
        <v>4.8113394417778135E-2</v>
      </c>
    </row>
    <row r="7" spans="1:9">
      <c r="A7" s="4">
        <f>Original!A104</f>
        <v>1</v>
      </c>
      <c r="B7" s="4" t="str">
        <f>Original!C104</f>
        <v>Poland</v>
      </c>
      <c r="C7" s="4" t="s">
        <v>289</v>
      </c>
      <c r="D7" s="4" t="str">
        <f>Original!G104</f>
        <v>Targeted pension</v>
      </c>
      <c r="F7" s="162" t="str">
        <f t="shared" si="0"/>
        <v>Poland  |  Targeted pension</v>
      </c>
      <c r="G7" s="174">
        <f>IF(Original!AD$104="no data", "", Original!AD$104)</f>
        <v>0.12</v>
      </c>
      <c r="H7" s="162">
        <f>IF(Original!AD104="no data", "", 1)</f>
        <v>1</v>
      </c>
      <c r="I7" s="174">
        <f>IF(Original!AE$104="no data", "", Original!AE$104*100)</f>
        <v>0</v>
      </c>
    </row>
    <row r="8" spans="1:9">
      <c r="A8" s="4">
        <f>Original!A135</f>
        <v>1</v>
      </c>
      <c r="B8" s="4" t="str">
        <f>Original!C135</f>
        <v>Uzbekestan</v>
      </c>
      <c r="C8" s="4" t="s">
        <v>289</v>
      </c>
      <c r="D8" s="4" t="str">
        <f>Original!G135</f>
        <v>Social pension</v>
      </c>
      <c r="F8" s="162" t="str">
        <f t="shared" si="0"/>
        <v>Uzbekestan  |  Social pension</v>
      </c>
      <c r="G8" s="174">
        <f>IF(Original!AD$135="no data", "", Original!AD$135)</f>
        <v>0.25478071426208798</v>
      </c>
      <c r="H8" s="162">
        <f>IF(Original!AD135="no data", "", 1)</f>
        <v>1</v>
      </c>
      <c r="I8" s="174" t="str">
        <f>IF(Original!AE$135="no data", "", Original!AE$135*100)</f>
        <v/>
      </c>
    </row>
    <row r="9" spans="1:9">
      <c r="A9" s="4">
        <f>Original!A97</f>
        <v>1</v>
      </c>
      <c r="B9" s="4" t="str">
        <f>Original!C97</f>
        <v>Nigeria</v>
      </c>
      <c r="C9" s="4" t="s">
        <v>289</v>
      </c>
      <c r="D9" s="4" t="str">
        <f>Original!G97</f>
        <v>Ekiti State Social Security Scheme (Ekiti State only)</v>
      </c>
      <c r="F9" s="162" t="str">
        <f t="shared" si="0"/>
        <v>Nigeria  |  Ekiti State Social Security Scheme (Ekiti State only)</v>
      </c>
      <c r="G9" s="174">
        <f>IF(Original!AD$97="no data", "", Original!AD$97)</f>
        <v>0.36114779269177716</v>
      </c>
      <c r="H9" s="162">
        <f>IF(Original!AD97="no data", "", 1)</f>
        <v>1</v>
      </c>
      <c r="I9" s="174">
        <f>IF(Original!AE$97="no data", "", Original!AE$97*100)</f>
        <v>0.23322742087439058</v>
      </c>
    </row>
    <row r="10" spans="1:9">
      <c r="A10" s="4">
        <f>Original!A113</f>
        <v>1</v>
      </c>
      <c r="B10" s="4" t="str">
        <f>Original!C113</f>
        <v>Slovakia</v>
      </c>
      <c r="C10" s="4" t="s">
        <v>289</v>
      </c>
      <c r="D10" s="4" t="str">
        <f>Original!G113</f>
        <v>Targeted pension</v>
      </c>
      <c r="F10" s="162" t="str">
        <f t="shared" si="0"/>
        <v>Slovakia  |  Targeted pension</v>
      </c>
      <c r="G10" s="174">
        <f>IF(Original!AD$113="no data", "", Original!AD$113)</f>
        <v>0.47516832923001134</v>
      </c>
      <c r="H10" s="162">
        <f>IF(Original!AD113="no data", "", 1)</f>
        <v>1</v>
      </c>
      <c r="I10" s="174">
        <f>IF(Original!AE$113="no data", "", Original!AE$113*100)</f>
        <v>0.4339135098239969</v>
      </c>
    </row>
    <row r="11" spans="1:9">
      <c r="A11" s="4">
        <f>Original!A91</f>
        <v>1</v>
      </c>
      <c r="B11" s="4" t="str">
        <f>Original!C91</f>
        <v>Moldova, Republic of</v>
      </c>
      <c r="C11" s="4" t="s">
        <v>289</v>
      </c>
      <c r="D11" s="4" t="str">
        <f>Original!G91</f>
        <v>State Social Allocation for Older Persons</v>
      </c>
      <c r="F11" s="162" t="str">
        <f t="shared" si="0"/>
        <v>Moldova, Republic of  |  State Social Allocation for Older Persons</v>
      </c>
      <c r="G11" s="174">
        <f>IF(Original!AD$91="no data", "", Original!AD$91)</f>
        <v>0.52306198413982841</v>
      </c>
      <c r="H11" s="162">
        <f>IF(Original!AD91="no data", "", 1)</f>
        <v>1</v>
      </c>
      <c r="I11" s="174">
        <f>IF(Original!AE$91="no data", "", Original!AE$91*100)</f>
        <v>0.56684649544348031</v>
      </c>
    </row>
    <row r="12" spans="1:9">
      <c r="A12" s="4">
        <f>Original!A29</f>
        <v>1</v>
      </c>
      <c r="B12" s="4" t="str">
        <f>Original!C29</f>
        <v>Bulgaria</v>
      </c>
      <c r="C12" s="4" t="s">
        <v>289</v>
      </c>
      <c r="D12" s="4" t="str">
        <f>Original!G29</f>
        <v xml:space="preserve">Pensions not Related to Labour Activity Fund </v>
      </c>
      <c r="F12" s="162" t="str">
        <f t="shared" si="0"/>
        <v xml:space="preserve">Bulgaria  |  Pensions not Related to Labour Activity Fund </v>
      </c>
      <c r="G12" s="174">
        <f>IF(Original!AD$29="no data", "", Original!AD$29)</f>
        <v>0.52979490246149374</v>
      </c>
      <c r="H12" s="162">
        <f>IF(Original!AD29="no data", "", 1)</f>
        <v>1</v>
      </c>
      <c r="I12" s="174">
        <f>IF(Original!AE$29="no data", "", Original!AE$29*100)</f>
        <v>0.27</v>
      </c>
    </row>
    <row r="13" spans="1:9">
      <c r="A13" s="4">
        <f>Original!A139</f>
        <v>1</v>
      </c>
      <c r="B13" s="4" t="str">
        <f>Original!C139</f>
        <v>Zambia</v>
      </c>
      <c r="C13" s="4" t="s">
        <v>289</v>
      </c>
      <c r="D13" s="4" t="str">
        <f>Original!G139</f>
        <v>Social Cash Transfer Programme, Katete (Pilot)</v>
      </c>
      <c r="F13" s="162" t="str">
        <f t="shared" si="0"/>
        <v>Zambia  |  Social Cash Transfer Programme, Katete (Pilot)</v>
      </c>
      <c r="G13" s="174">
        <f>IF(Original!AD$139="no data", "", Original!AD$139)</f>
        <v>0.76569808694586838</v>
      </c>
      <c r="H13" s="162">
        <f>IF(Original!AD139="no data", "", 1)</f>
        <v>1</v>
      </c>
      <c r="I13" s="174">
        <f>IF(Original!AE$139="no data", "", Original!AE$139*100)</f>
        <v>0.76569808694586838</v>
      </c>
    </row>
    <row r="14" spans="1:9" hidden="1">
      <c r="A14" s="4">
        <f>Original!A56</f>
        <v>0</v>
      </c>
      <c r="B14" s="4" t="str">
        <f>Original!C56</f>
        <v>Hungary</v>
      </c>
      <c r="C14" s="4" t="s">
        <v>289</v>
      </c>
      <c r="D14" s="4" t="str">
        <f>Original!G56</f>
        <v>Minimum pension</v>
      </c>
      <c r="F14" s="162" t="str">
        <f t="shared" si="0"/>
        <v>Hungary  |  Minimum pension</v>
      </c>
      <c r="G14" s="174">
        <f>IF(Original!AD$56="no data", "", Original!AD$56)</f>
        <v>1</v>
      </c>
      <c r="H14" s="162">
        <f>IF(Original!AD56="no data", "", 1)</f>
        <v>1</v>
      </c>
      <c r="I14" s="174">
        <f>IF(Original!AE$56="no data", "", Original!AE$56*100)</f>
        <v>0</v>
      </c>
    </row>
    <row r="15" spans="1:9">
      <c r="A15" s="4">
        <f>Original!A92</f>
        <v>1</v>
      </c>
      <c r="B15" s="4" t="str">
        <f>Original!C92</f>
        <v>Mongolia</v>
      </c>
      <c r="C15" s="4" t="s">
        <v>289</v>
      </c>
      <c r="D15" s="4" t="str">
        <f>Original!G92</f>
        <v>Social welfare pension</v>
      </c>
      <c r="F15" s="162" t="str">
        <f t="shared" si="0"/>
        <v>Mongolia  |  Social welfare pension</v>
      </c>
      <c r="G15" s="174">
        <f>IF(Original!AD$92="no data", "", Original!AD$92)</f>
        <v>1.2744169149881444</v>
      </c>
      <c r="H15" s="162">
        <f>IF(Original!AD92="no data", "", 1)</f>
        <v>1</v>
      </c>
      <c r="I15" s="174">
        <f>IF(Original!AE$92="no data", "", Original!AE$92*100)</f>
        <v>1.6067339233768647</v>
      </c>
    </row>
    <row r="16" spans="1:9">
      <c r="A16" s="4">
        <f>Original!A138</f>
        <v>1</v>
      </c>
      <c r="B16" s="4" t="str">
        <f>Original!C138</f>
        <v>Viet Nam [60-79 years old]</v>
      </c>
      <c r="C16" s="4" t="s">
        <v>289</v>
      </c>
      <c r="D16" s="4" t="str">
        <f>Original!G138</f>
        <v>Social assistance benefit (clause 2)</v>
      </c>
      <c r="F16" s="162" t="str">
        <f t="shared" si="0"/>
        <v>Viet Nam [60-79 years old]  |  Social assistance benefit (clause 2)</v>
      </c>
      <c r="G16" s="174">
        <f>IF(Original!AD$138="no data", "", Original!AD$138)</f>
        <v>1.4876238769939658</v>
      </c>
      <c r="H16" s="162">
        <f>IF(Original!AD138="no data", "", 1)</f>
        <v>1</v>
      </c>
      <c r="I16" s="174">
        <f>IF(Original!AE$138="no data", "", Original!AE$138*100)</f>
        <v>1.2433628915966284</v>
      </c>
    </row>
    <row r="17" spans="1:9">
      <c r="A17" s="4">
        <f>Original!A46</f>
        <v>1</v>
      </c>
      <c r="B17" s="4" t="str">
        <f>Original!C46</f>
        <v>Finland</v>
      </c>
      <c r="C17" s="4" t="s">
        <v>289</v>
      </c>
      <c r="D17" s="4" t="str">
        <f>Original!G46</f>
        <v>Kansanelake (Old Age Pension)</v>
      </c>
      <c r="F17" s="162" t="str">
        <f t="shared" si="0"/>
        <v>Finland  |  Kansanelake (Old Age Pension)</v>
      </c>
      <c r="G17" s="174">
        <f>IF(Original!AD$46="no data", "", Original!AD$46)</f>
        <v>2</v>
      </c>
      <c r="H17" s="162">
        <f>IF(Original!AD46="no data", "", 1)</f>
        <v>1</v>
      </c>
      <c r="I17" s="174" t="str">
        <f>IF(Original!AE$46="no data", "", Original!AE$46*100)</f>
        <v/>
      </c>
    </row>
    <row r="18" spans="1:9">
      <c r="A18" s="4">
        <f>Original!A50</f>
        <v>1</v>
      </c>
      <c r="B18" s="4" t="str">
        <f>Original!C50</f>
        <v>Germany</v>
      </c>
      <c r="C18" s="4" t="s">
        <v>289</v>
      </c>
      <c r="D18" s="4" t="str">
        <f>Original!G50</f>
        <v>Targeted pension</v>
      </c>
      <c r="F18" s="162" t="str">
        <f t="shared" si="0"/>
        <v>Germany  |  Targeted pension</v>
      </c>
      <c r="G18" s="174">
        <f>IF(Original!AD$50="no data", "", Original!AD$50)</f>
        <v>2</v>
      </c>
      <c r="H18" s="162">
        <f>IF(Original!AD50="no data", "", 1)</f>
        <v>1</v>
      </c>
      <c r="I18" s="174">
        <f>IF(Original!AE$50="no data", "", Original!AE$50*100)</f>
        <v>0</v>
      </c>
    </row>
    <row r="19" spans="1:9">
      <c r="A19" s="4">
        <f>Original!A69</f>
        <v>1</v>
      </c>
      <c r="B19" s="4" t="str">
        <f>Original!C69</f>
        <v>Japan</v>
      </c>
      <c r="C19" s="4" t="s">
        <v>289</v>
      </c>
      <c r="D19" s="4" t="str">
        <f>Original!G69</f>
        <v>Targeted pension</v>
      </c>
      <c r="F19" s="162" t="str">
        <f t="shared" si="0"/>
        <v>Japan  |  Targeted pension</v>
      </c>
      <c r="G19" s="174">
        <f>IF(Original!AD$69="no data", "", Original!AD$69)</f>
        <v>2</v>
      </c>
      <c r="H19" s="162">
        <f>IF(Original!AD69="no data", "", 1)</f>
        <v>1</v>
      </c>
      <c r="I19" s="174">
        <f>IF(Original!AE$69="no data", "", Original!AE$69*100)</f>
        <v>0</v>
      </c>
    </row>
    <row r="20" spans="1:9">
      <c r="A20" s="4">
        <f>Original!A102</f>
        <v>1</v>
      </c>
      <c r="B20" s="4" t="str">
        <f>Original!C102</f>
        <v>Peru</v>
      </c>
      <c r="C20" s="4" t="s">
        <v>289</v>
      </c>
      <c r="D20" s="4" t="str">
        <f>Original!G102</f>
        <v>Pension 65</v>
      </c>
      <c r="F20" s="162" t="str">
        <f t="shared" si="0"/>
        <v>Peru  |  Pension 65</v>
      </c>
      <c r="G20" s="174">
        <f>IF(Original!AD$102="no data", "", Original!AD$102)</f>
        <v>2.2285239672065762</v>
      </c>
      <c r="H20" s="162">
        <f>IF(Original!AD102="no data", "", 1)</f>
        <v>1</v>
      </c>
      <c r="I20" s="174">
        <f>IF(Original!AE$102="no data", "", Original!AE$102*100)</f>
        <v>1.5840624839358399</v>
      </c>
    </row>
    <row r="21" spans="1:9">
      <c r="A21" s="4">
        <f>Original!A53</f>
        <v>1</v>
      </c>
      <c r="B21" s="4" t="str">
        <f>Original!C53</f>
        <v>Guatemala</v>
      </c>
      <c r="C21" s="4" t="s">
        <v>289</v>
      </c>
      <c r="D21" s="4" t="str">
        <f>Original!G53</f>
        <v>Programa de aporte economico o del Adulto Mayor (Economic contribution programme for older people)</v>
      </c>
      <c r="F21" s="162" t="str">
        <f t="shared" si="0"/>
        <v>Guatemala  |  Programa de aporte economico o del Adulto Mayor (Economic contribution programme for older people)</v>
      </c>
      <c r="G21" s="174">
        <f>IF(Original!AD$53="no data", "", Original!AD$53)</f>
        <v>2.3239029125005444</v>
      </c>
      <c r="H21" s="162">
        <f>IF(Original!AD53="no data", "", 1)</f>
        <v>1</v>
      </c>
      <c r="I21" s="174">
        <f>IF(Original!AE$53="no data", "", Original!AE$53*100)</f>
        <v>1.5760557674779734</v>
      </c>
    </row>
    <row r="22" spans="1:9">
      <c r="A22" s="4">
        <f>Original!A20</f>
        <v>1</v>
      </c>
      <c r="B22" s="4" t="str">
        <f>Original!C20</f>
        <v>Belarus</v>
      </c>
      <c r="C22" s="4" t="s">
        <v>289</v>
      </c>
      <c r="D22" s="4" t="str">
        <f>Original!G20</f>
        <v>Social old-age pension (social assistance</v>
      </c>
      <c r="F22" s="162" t="str">
        <f t="shared" si="0"/>
        <v>Belarus  |  Social old-age pension (social assistance</v>
      </c>
      <c r="G22" s="174">
        <f>IF(Original!AD$20="no data", "", Original!AD$20)</f>
        <v>2.4778331802392093</v>
      </c>
      <c r="H22" s="162">
        <f>IF(Original!AD20="no data", "", 1)</f>
        <v>1</v>
      </c>
      <c r="I22" s="174">
        <f>IF(Original!AE$20="no data", "", Original!AE$20*100)</f>
        <v>2.9430177329577161</v>
      </c>
    </row>
    <row r="23" spans="1:9">
      <c r="A23" s="4">
        <f>Original!A11</f>
        <v>1</v>
      </c>
      <c r="B23" s="4" t="str">
        <f>Original!C11</f>
        <v>Argentina</v>
      </c>
      <c r="C23" s="4" t="s">
        <v>289</v>
      </c>
      <c r="D23" s="4" t="str">
        <f>Original!G11</f>
        <v>Pensiones Asistenciales</v>
      </c>
      <c r="F23" s="162" t="str">
        <f t="shared" si="0"/>
        <v>Argentina  |  Pensiones Asistenciales</v>
      </c>
      <c r="G23" s="174">
        <f>IF(Original!AD$11="no data", "", Original!AD$11)</f>
        <v>2.6060463295585632</v>
      </c>
      <c r="H23" s="162">
        <f>IF(Original!AD11="no data", "", 1)</f>
        <v>1</v>
      </c>
      <c r="I23" s="174">
        <f>IF(Original!AE$11="no data", "", Original!AE$11*100)</f>
        <v>1.3</v>
      </c>
    </row>
    <row r="24" spans="1:9">
      <c r="A24" s="4">
        <f>Original!A106</f>
        <v>1</v>
      </c>
      <c r="B24" s="4" t="str">
        <f>Original!C106</f>
        <v>Portugal</v>
      </c>
      <c r="C24" s="4" t="s">
        <v>289</v>
      </c>
      <c r="D24" s="4" t="str">
        <f>Original!G106</f>
        <v>Pensao Social de Velhice (Old Age Social Pension)</v>
      </c>
      <c r="F24" s="162" t="str">
        <f t="shared" si="0"/>
        <v>Portugal  |  Pensao Social de Velhice (Old Age Social Pension)</v>
      </c>
      <c r="G24" s="174">
        <f>IF(Original!AD$106="no data", "", Original!AD$106)</f>
        <v>2.6356131570151606</v>
      </c>
      <c r="H24" s="162">
        <f>IF(Original!AD106="no data", "", 1)</f>
        <v>1</v>
      </c>
      <c r="I24" s="174">
        <f>IF(Original!AE$106="no data", "", Original!AE$106*100)</f>
        <v>0</v>
      </c>
    </row>
    <row r="25" spans="1:9">
      <c r="A25" s="4">
        <f>Original!A131</f>
        <v>1</v>
      </c>
      <c r="B25" s="4" t="str">
        <f>Original!C131</f>
        <v>Ukraine</v>
      </c>
      <c r="C25" s="4" t="s">
        <v>289</v>
      </c>
      <c r="D25" s="4" t="str">
        <f>Original!G131</f>
        <v>Social pension + social pension supplement</v>
      </c>
      <c r="F25" s="162" t="str">
        <f t="shared" si="0"/>
        <v>Ukraine  |  Social pension + social pension supplement</v>
      </c>
      <c r="G25" s="174">
        <f>IF(Original!AD$131="no data", "", Original!AD$131)</f>
        <v>2.8660504882377555</v>
      </c>
      <c r="H25" s="162">
        <f>IF(Original!AD131="no data", "", 1)</f>
        <v>1</v>
      </c>
      <c r="I25" s="174">
        <f>IF(Original!AE$131="no data", "", Original!AE$131*100)</f>
        <v>2.2429915989960665</v>
      </c>
    </row>
    <row r="26" spans="1:9">
      <c r="A26" s="4">
        <f>Original!A71</f>
        <v>1</v>
      </c>
      <c r="B26" s="4" t="str">
        <f>Original!C71</f>
        <v>Kenya</v>
      </c>
      <c r="C26" s="4" t="s">
        <v>289</v>
      </c>
      <c r="D26" s="4" t="str">
        <f>Original!G71</f>
        <v>Older Persons Cash Transfer</v>
      </c>
      <c r="F26" s="162" t="str">
        <f t="shared" si="0"/>
        <v>Kenya  |  Older Persons Cash Transfer</v>
      </c>
      <c r="G26" s="174">
        <f>IF(Original!AD$71="no data", "", Original!AD$71)</f>
        <v>3.1451815818166571</v>
      </c>
      <c r="H26" s="162">
        <f>IF(Original!AD71="no data", "", 1)</f>
        <v>1</v>
      </c>
      <c r="I26" s="174">
        <f>IF(Original!AE$71="no data", "", Original!AE$71*100)</f>
        <v>2.0283289949629828</v>
      </c>
    </row>
    <row r="27" spans="1:9">
      <c r="A27" s="4">
        <f>Original!A130</f>
        <v>1</v>
      </c>
      <c r="B27" s="4" t="str">
        <f>Original!C130</f>
        <v>Uganda</v>
      </c>
      <c r="C27" s="4" t="s">
        <v>289</v>
      </c>
      <c r="D27" s="4" t="str">
        <f>Original!G130</f>
        <v>Senior Citizens Grant (Pilot in 14 districts)</v>
      </c>
      <c r="F27" s="162" t="str">
        <f t="shared" si="0"/>
        <v>Uganda  |  Senior Citizens Grant (Pilot in 14 districts)</v>
      </c>
      <c r="G27" s="174">
        <f>IF(Original!AD$130="no data", "", Original!AD$130)</f>
        <v>3.1504887195626221</v>
      </c>
      <c r="H27" s="162">
        <f>IF(Original!AD130="no data", "", 1)</f>
        <v>1</v>
      </c>
      <c r="I27" s="174">
        <f>IF(Original!AE$130="no data", "", Original!AE$130*100)</f>
        <v>2.0313421585477065</v>
      </c>
    </row>
    <row r="28" spans="1:9" hidden="1">
      <c r="A28" s="4">
        <f>Original!A89</f>
        <v>0</v>
      </c>
      <c r="B28" s="4" t="str">
        <f>Original!C89</f>
        <v>Mexico</v>
      </c>
      <c r="C28" s="4" t="s">
        <v>289</v>
      </c>
      <c r="D28" s="4" t="str">
        <f>Original!G89</f>
        <v>Amanecer</v>
      </c>
      <c r="F28" s="162" t="str">
        <f t="shared" si="0"/>
        <v>Mexico  |  Amanecer</v>
      </c>
      <c r="G28" s="174">
        <f>IF(Original!AD$89="no data", "", Original!AD$89)</f>
        <v>3.2071611866658101</v>
      </c>
      <c r="H28" s="162">
        <f>IF(Original!AD89="no data", "", 1)</f>
        <v>1</v>
      </c>
      <c r="I28" s="174">
        <f>IF(Original!AE$89="no data", "", Original!AE$89*100)</f>
        <v>0</v>
      </c>
    </row>
    <row r="29" spans="1:9">
      <c r="A29" s="4">
        <f>Original!A117</f>
        <v>1</v>
      </c>
      <c r="B29" s="4" t="str">
        <f>Original!C117</f>
        <v>Spain</v>
      </c>
      <c r="C29" s="4" t="s">
        <v>289</v>
      </c>
      <c r="D29" s="4" t="str">
        <f>Original!G117</f>
        <v>Non Contributory Pension for retirement ( Pension no Contributiva de Jubilacion)</v>
      </c>
      <c r="F29" s="162" t="str">
        <f t="shared" si="0"/>
        <v>Spain  |  Non Contributory Pension for retirement ( Pension no Contributiva de Jubilacion)</v>
      </c>
      <c r="G29" s="174">
        <f>IF(Original!AD$117="no data", "", Original!AD$117)</f>
        <v>3.2538145810983807</v>
      </c>
      <c r="H29" s="162">
        <f>IF(Original!AD117="no data", "", 1)</f>
        <v>1</v>
      </c>
      <c r="I29" s="174">
        <f>IF(Original!AE$117="no data", "", Original!AE$117*100)</f>
        <v>2.479843066750659</v>
      </c>
    </row>
    <row r="30" spans="1:9">
      <c r="A30" s="4">
        <f>Original!A44</f>
        <v>1</v>
      </c>
      <c r="B30" s="4" t="str">
        <f>Original!C44</f>
        <v>El Salvador</v>
      </c>
      <c r="C30" s="4" t="s">
        <v>289</v>
      </c>
      <c r="D30" s="4" t="str">
        <f>Original!G44</f>
        <v>Pension Basica Universal (Universal basic pension)</v>
      </c>
      <c r="F30" s="162" t="str">
        <f t="shared" si="0"/>
        <v>El Salvador  |  Pension Basica Universal (Universal basic pension)</v>
      </c>
      <c r="G30" s="174">
        <f>IF(Original!AD$44="no data", "", Original!AD$44)</f>
        <v>4.4051579216724059</v>
      </c>
      <c r="H30" s="162">
        <f>IF(Original!AD44="no data", "", 1)</f>
        <v>1</v>
      </c>
      <c r="I30" s="174">
        <f>IF(Original!AE$44="no data", "", Original!AE$44*100)</f>
        <v>2.1588089723910553</v>
      </c>
    </row>
    <row r="31" spans="1:9">
      <c r="A31" s="4">
        <f>Original!A45</f>
        <v>1</v>
      </c>
      <c r="B31" s="4" t="str">
        <f>Original!C45</f>
        <v>Estonia</v>
      </c>
      <c r="C31" s="4" t="s">
        <v>289</v>
      </c>
      <c r="D31" s="4" t="str">
        <f>Original!G45</f>
        <v>National Pension</v>
      </c>
      <c r="F31" s="162" t="str">
        <f t="shared" si="0"/>
        <v>Estonia  |  National Pension</v>
      </c>
      <c r="G31" s="174">
        <f>IF(Original!AD$45="no data", "", Original!AD$45)</f>
        <v>4.8664698732418818</v>
      </c>
      <c r="H31" s="162">
        <f>IF(Original!AD45="no data", "", 1)</f>
        <v>1</v>
      </c>
      <c r="I31" s="174">
        <f>IF(Original!AE$45="no data", "", Original!AE$45*100)</f>
        <v>4.5019227865465989</v>
      </c>
    </row>
    <row r="32" spans="1:9">
      <c r="A32" s="4">
        <f>Original!A133</f>
        <v>1</v>
      </c>
      <c r="B32" s="4" t="str">
        <f>Original!C133</f>
        <v>United States of America</v>
      </c>
      <c r="C32" s="4" t="s">
        <v>289</v>
      </c>
      <c r="D32" s="4" t="str">
        <f>Original!G133</f>
        <v>Old age supplemental income benefit</v>
      </c>
      <c r="F32" s="162" t="str">
        <f t="shared" si="0"/>
        <v>United States of America  |  Old age supplemental income benefit</v>
      </c>
      <c r="G32" s="174">
        <f>IF(Original!AD$133="no data", "", Original!AD$133)</f>
        <v>4.9435903770628888</v>
      </c>
      <c r="H32" s="162">
        <f>IF(Original!AD133="no data", "", 1)</f>
        <v>1</v>
      </c>
      <c r="I32" s="174">
        <f>IF(Original!AE$133="no data", "", Original!AE$133*100)</f>
        <v>3.5012125594051384</v>
      </c>
    </row>
    <row r="33" spans="1:9">
      <c r="A33" s="4">
        <f>Original!A47</f>
        <v>1</v>
      </c>
      <c r="B33" s="4" t="str">
        <f>Original!C47</f>
        <v>France</v>
      </c>
      <c r="C33" s="4" t="s">
        <v>289</v>
      </c>
      <c r="D33" s="4" t="str">
        <f>Original!G47</f>
        <v>ASPA (allocation de solidarité aux personnes âgées)</v>
      </c>
      <c r="F33" s="162" t="str">
        <f t="shared" si="0"/>
        <v>France  |  ASPA (allocation de solidarité aux personnes âgées)</v>
      </c>
      <c r="G33" s="174">
        <f>IF(Original!AD$47="no data", "", Original!AD$47)</f>
        <v>5</v>
      </c>
      <c r="H33" s="162">
        <f>IF(Original!AD47="no data", "", 1)</f>
        <v>1</v>
      </c>
      <c r="I33" s="174" t="str">
        <f>IF(Original!AE$47="no data", "", Original!AE$47*100)</f>
        <v/>
      </c>
    </row>
    <row r="34" spans="1:9">
      <c r="A34" s="4">
        <f>Original!A21</f>
        <v>1</v>
      </c>
      <c r="B34" s="4" t="str">
        <f>Original!C21</f>
        <v>Beligium</v>
      </c>
      <c r="C34" s="4" t="s">
        <v>289</v>
      </c>
      <c r="D34" s="4" t="str">
        <f>Original!G21</f>
        <v>IGO/GRAPA (Income Guarantee for the Elderly)</v>
      </c>
      <c r="F34" s="162" t="str">
        <f t="shared" si="0"/>
        <v>Beligium  |  IGO/GRAPA (Income Guarantee for the Elderly)</v>
      </c>
      <c r="G34" s="174">
        <f>IF(Original!AD$21="no data", "", Original!AD$21)</f>
        <v>5.1105047019154295</v>
      </c>
      <c r="H34" s="162">
        <f>IF(Original!AD21="no data", "", 1)</f>
        <v>1</v>
      </c>
      <c r="I34" s="174">
        <f>IF(Original!AE$21="no data", "", Original!AE$21*100)</f>
        <v>3.7455431157541659</v>
      </c>
    </row>
    <row r="35" spans="1:9" hidden="1">
      <c r="A35" s="4">
        <f>Original!A83</f>
        <v>0</v>
      </c>
      <c r="B35" s="4" t="str">
        <f>Original!C83</f>
        <v>Malaysia</v>
      </c>
      <c r="C35" s="4" t="s">
        <v>289</v>
      </c>
      <c r="D35" s="4" t="str">
        <f>Original!G83</f>
        <v xml:space="preserve">Bantuan Orang Tua </v>
      </c>
      <c r="F35" s="162" t="str">
        <f t="shared" si="0"/>
        <v xml:space="preserve">Malaysia  |  Bantuan Orang Tua </v>
      </c>
      <c r="G35" s="174">
        <f>IF(Original!AD$83="no data", "", Original!AD$83)</f>
        <v>5.2177475123941859</v>
      </c>
      <c r="H35" s="162">
        <f>IF(Original!AD83="no data", "", 1)</f>
        <v>1</v>
      </c>
      <c r="I35" s="174">
        <f>IF(Original!AE$83="no data", "", Original!AE$83*100)</f>
        <v>5.2177475123941859</v>
      </c>
    </row>
    <row r="36" spans="1:9">
      <c r="A36" s="4">
        <f>Original!A114</f>
        <v>1</v>
      </c>
      <c r="B36" s="4" t="str">
        <f>Original!C114</f>
        <v>Slovenia</v>
      </c>
      <c r="C36" s="4" t="s">
        <v>289</v>
      </c>
      <c r="D36" s="4" t="str">
        <f>Original!G114</f>
        <v>State pension</v>
      </c>
      <c r="F36" s="162" t="str">
        <f t="shared" si="0"/>
        <v>Slovenia  |  State pension</v>
      </c>
      <c r="G36" s="174">
        <f>IF(Original!AD$114="no data", "", Original!AD$114)</f>
        <v>6.1480719128294448</v>
      </c>
      <c r="H36" s="162">
        <f>IF(Original!AD114="no data", "", 1)</f>
        <v>1</v>
      </c>
      <c r="I36" s="174">
        <f>IF(Original!AE$114="no data", "", Original!AE$114*100)</f>
        <v>3.9335181330926638</v>
      </c>
    </row>
    <row r="37" spans="1:9">
      <c r="A37" s="4">
        <f>Original!A65</f>
        <v>1</v>
      </c>
      <c r="B37" s="4" t="str">
        <f>Original!C65</f>
        <v>Italy</v>
      </c>
      <c r="C37" s="4" t="s">
        <v>289</v>
      </c>
      <c r="D37" s="4" t="str">
        <f>Original!G65</f>
        <v>Targeted pension [Social allowance]</v>
      </c>
      <c r="F37" s="162" t="str">
        <f t="shared" ref="F37:F68" si="1">CONCATENATE(B37,C37,D37)</f>
        <v>Italy  |  Targeted pension [Social allowance]</v>
      </c>
      <c r="G37" s="174">
        <f>IF(Original!AD$65="no data", "", Original!AD$65)</f>
        <v>7.1672058277400374</v>
      </c>
      <c r="H37" s="162">
        <f>IF(Original!AD65="no data", "", 1)</f>
        <v>1</v>
      </c>
      <c r="I37" s="174">
        <f>IF(Original!AE$65="no data", "", Original!AE$65*100)</f>
        <v>5.5255730874196249</v>
      </c>
    </row>
    <row r="38" spans="1:9">
      <c r="A38" s="4">
        <f>Original!A101</f>
        <v>1</v>
      </c>
      <c r="B38" s="4" t="str">
        <f>Original!C101</f>
        <v>Paraguay</v>
      </c>
      <c r="C38" s="4" t="s">
        <v>289</v>
      </c>
      <c r="D38" s="4" t="str">
        <f>Original!G101</f>
        <v>Pension alimentaria</v>
      </c>
      <c r="F38" s="162" t="str">
        <f t="shared" si="1"/>
        <v>Paraguay  |  Pension alimentaria</v>
      </c>
      <c r="G38" s="174">
        <f>IF(Original!AD$101="no data", "", Original!AD$101)</f>
        <v>7.3196796908167299</v>
      </c>
      <c r="H38" s="162">
        <f>IF(Original!AD101="no data", "", 1)</f>
        <v>1</v>
      </c>
      <c r="I38" s="174">
        <f>IF(Original!AE$101="no data", "", Original!AE$101*100)</f>
        <v>4.8865346650769146</v>
      </c>
    </row>
    <row r="39" spans="1:9" hidden="1">
      <c r="A39" s="4">
        <f>Original!A108</f>
        <v>0</v>
      </c>
      <c r="B39" s="4" t="str">
        <f>Original!C108</f>
        <v>Saint Kitts and Nevis</v>
      </c>
      <c r="C39" s="4" t="s">
        <v>289</v>
      </c>
      <c r="D39" s="4" t="str">
        <f>Original!G108</f>
        <v>Old age social assistance pension</v>
      </c>
      <c r="F39" s="162" t="str">
        <f t="shared" si="1"/>
        <v>Saint Kitts and Nevis  |  Old age social assistance pension</v>
      </c>
      <c r="G39" s="174">
        <f>IF(Original!AD$108="no data", "", Original!AD$108)</f>
        <v>8.2608695652173907</v>
      </c>
      <c r="H39" s="162">
        <f>IF(Original!AD108="no data", "", 1)</f>
        <v>1</v>
      </c>
      <c r="I39" s="174">
        <f>IF(Original!AE$108="no data", "", Original!AE$108*100)</f>
        <v>0</v>
      </c>
    </row>
    <row r="40" spans="1:9">
      <c r="A40" s="4">
        <f>Original!A103</f>
        <v>1</v>
      </c>
      <c r="B40" s="4" t="str">
        <f>Original!C103</f>
        <v>Philippines</v>
      </c>
      <c r="C40" s="4" t="s">
        <v>289</v>
      </c>
      <c r="D40" s="4" t="str">
        <f>Original!G103</f>
        <v>Old Age Grant</v>
      </c>
      <c r="F40" s="162" t="str">
        <f t="shared" si="1"/>
        <v>Philippines  |  Old Age Grant</v>
      </c>
      <c r="G40" s="174">
        <f>IF(Original!AD$103="no data", "", Original!AD$103)</f>
        <v>8.3156517515077084</v>
      </c>
      <c r="H40" s="162">
        <f>IF(Original!AD103="no data", "", 1)</f>
        <v>1</v>
      </c>
      <c r="I40" s="174">
        <f>IF(Original!AE$103="no data", "", Original!AE$103*100)</f>
        <v>2.3257937748975896</v>
      </c>
    </row>
    <row r="41" spans="1:9">
      <c r="A41" s="4">
        <f>Original!A34</f>
        <v>1</v>
      </c>
      <c r="B41" s="4" t="str">
        <f>Original!C34</f>
        <v>Colombia</v>
      </c>
      <c r="C41" s="4" t="s">
        <v>289</v>
      </c>
      <c r="D41" s="4" t="str">
        <f>Original!G34</f>
        <v>Programa de Proteccion Social al Adulto Mayor (PPSAM) (Social Protection Programme for Older People) (Regional scheme)</v>
      </c>
      <c r="F41" s="162" t="str">
        <f t="shared" si="1"/>
        <v>Colombia  |  Programa de Proteccion Social al Adulto Mayor (PPSAM) (Social Protection Programme for Older People) (Regional scheme)</v>
      </c>
      <c r="G41" s="174">
        <f>IF(Original!AD$34="no data", "", Original!AD$34)</f>
        <v>9.112354551407547</v>
      </c>
      <c r="H41" s="162">
        <f>IF(Original!AD34="no data", "", 1)</f>
        <v>1</v>
      </c>
      <c r="I41" s="174">
        <f>IF(Original!AE$34="no data", "", Original!AE$34*100)</f>
        <v>13.371356408439219</v>
      </c>
    </row>
    <row r="42" spans="1:9">
      <c r="A42" s="4">
        <f>Original!A87</f>
        <v>1</v>
      </c>
      <c r="B42" s="4" t="str">
        <f>Original!C87</f>
        <v>Mexico</v>
      </c>
      <c r="C42" s="4" t="s">
        <v>289</v>
      </c>
      <c r="D42" s="4" t="str">
        <f>Original!G87</f>
        <v>Pension Alimentaria Ciudadana</v>
      </c>
      <c r="F42" s="162" t="str">
        <f t="shared" si="1"/>
        <v>Mexico  |  Pension Alimentaria Ciudadana</v>
      </c>
      <c r="G42" s="174">
        <f>IF(Original!AD$87="no data", "", Original!AD$87)</f>
        <v>9.5781966008406805</v>
      </c>
      <c r="H42" s="162">
        <f>IF(Original!AD87="no data", "", 1)</f>
        <v>1</v>
      </c>
      <c r="I42" s="174">
        <f>IF(Original!AE$87="no data", "", Original!AE$87*100)</f>
        <v>4.4260392363669752</v>
      </c>
    </row>
    <row r="43" spans="1:9">
      <c r="A43" s="4">
        <f>Original!A16</f>
        <v>1</v>
      </c>
      <c r="B43" s="4" t="str">
        <f>Original!C16</f>
        <v>Bahamas</v>
      </c>
      <c r="C43" s="4" t="s">
        <v>289</v>
      </c>
      <c r="D43" s="4" t="str">
        <f>Original!G16</f>
        <v>Old Age Non-Contributory Pension (OANCP)</v>
      </c>
      <c r="F43" s="162" t="str">
        <f t="shared" si="1"/>
        <v>Bahamas  |  Old Age Non-Contributory Pension (OANCP)</v>
      </c>
      <c r="G43" s="174">
        <f>IF(Original!AD$16="no data", "", Original!AD$16)</f>
        <v>9.7089450324342774</v>
      </c>
      <c r="H43" s="162">
        <f>IF(Original!AD16="no data", "", 1)</f>
        <v>1</v>
      </c>
      <c r="I43" s="174">
        <f>IF(Original!AE$16="no data", "", Original!AE$16*100)</f>
        <v>6.3830981173367718</v>
      </c>
    </row>
    <row r="44" spans="1:9">
      <c r="A44" s="4">
        <f>Original!A14</f>
        <v>1</v>
      </c>
      <c r="B44" s="4" t="str">
        <f>Original!C14</f>
        <v>Austria</v>
      </c>
      <c r="C44" s="4" t="s">
        <v>289</v>
      </c>
      <c r="D44" s="4" t="str">
        <f>Original!G14</f>
        <v>Ausgleichszulage (Austrian Compensatory Supplement)</v>
      </c>
      <c r="F44" s="162" t="str">
        <f t="shared" si="1"/>
        <v>Austria  |  Ausgleichszulage (Austrian Compensatory Supplement)</v>
      </c>
      <c r="G44" s="174">
        <f>IF(Original!AD$14="no data", "", Original!AD$14)</f>
        <v>11</v>
      </c>
      <c r="H44" s="162">
        <f>IF(Original!AD14="no data", "", 1)</f>
        <v>1</v>
      </c>
      <c r="I44" s="174" t="str">
        <f>IF(Original!AE$14="no data", "", Original!AE$14*100)</f>
        <v/>
      </c>
    </row>
    <row r="45" spans="1:9" hidden="1">
      <c r="A45" s="4">
        <f>Original!A18</f>
        <v>0</v>
      </c>
      <c r="B45" s="4" t="str">
        <f>Original!C18</f>
        <v>Bangladesh</v>
      </c>
      <c r="C45" s="4" t="s">
        <v>289</v>
      </c>
      <c r="D45" s="4" t="str">
        <f>Original!G18</f>
        <v>Allowance for Widow, Deserted and Destitute Women</v>
      </c>
      <c r="F45" s="162" t="str">
        <f t="shared" si="1"/>
        <v>Bangladesh  |  Allowance for Widow, Deserted and Destitute Women</v>
      </c>
      <c r="G45" s="174">
        <f>IF(Original!AD$18="no data", "", Original!AD$18)</f>
        <v>11.570499050716013</v>
      </c>
      <c r="H45" s="162">
        <f>IF(Original!AD18="no data", "", 1)</f>
        <v>1</v>
      </c>
      <c r="I45" s="174">
        <f>IF(Original!AE$18="no data", "", Original!AE$18*100)</f>
        <v>23</v>
      </c>
    </row>
    <row r="46" spans="1:9">
      <c r="A46" s="4">
        <f>Original!A122</f>
        <v>1</v>
      </c>
      <c r="B46" s="4" t="str">
        <f>Original!C122</f>
        <v>Switzerland</v>
      </c>
      <c r="C46" s="4" t="s">
        <v>289</v>
      </c>
      <c r="D46" s="4" t="str">
        <f>Original!G122</f>
        <v>Targeted pension</v>
      </c>
      <c r="F46" s="162" t="str">
        <f t="shared" si="1"/>
        <v>Switzerland  |  Targeted pension</v>
      </c>
      <c r="G46" s="174">
        <f>IF(Original!AD$122="no data", "", Original!AD$122)</f>
        <v>12</v>
      </c>
      <c r="H46" s="162">
        <f>IF(Original!AD122="no data", "", 1)</f>
        <v>1</v>
      </c>
      <c r="I46" s="174">
        <f>IF(Original!AE$122="no data", "", Original!AE$122*100)</f>
        <v>0</v>
      </c>
    </row>
    <row r="47" spans="1:9">
      <c r="A47" s="4">
        <f>Original!A27</f>
        <v>1</v>
      </c>
      <c r="B47" s="4" t="str">
        <f>Original!C27</f>
        <v>Brazil [BPC]</v>
      </c>
      <c r="C47" s="4" t="s">
        <v>289</v>
      </c>
      <c r="D47" s="4" t="str">
        <f>Original!G27</f>
        <v>Beneficio de Prestacao Continuada (BPC / Continuous Cash Benefit)</v>
      </c>
      <c r="F47" s="162" t="str">
        <f t="shared" si="1"/>
        <v>Brazil [BPC]  |  Beneficio de Prestacao Continuada (BPC / Continuous Cash Benefit)</v>
      </c>
      <c r="G47" s="174">
        <f>IF(Original!AD$27="no data", "", Original!AD$27)</f>
        <v>12.364729278340851</v>
      </c>
      <c r="H47" s="162">
        <f>IF(Original!AD27="no data", "", 1)</f>
        <v>1</v>
      </c>
      <c r="I47" s="174">
        <f>IF(Original!AE$27="no data", "", Original!AE$27*100)</f>
        <v>8.4683373803734163</v>
      </c>
    </row>
    <row r="48" spans="1:9">
      <c r="A48" s="4">
        <f>Original!A37</f>
        <v>1</v>
      </c>
      <c r="B48" s="4" t="str">
        <f>Original!C37</f>
        <v>Cyprus</v>
      </c>
      <c r="C48" s="4" t="s">
        <v>289</v>
      </c>
      <c r="D48" s="4" t="str">
        <f>Original!G37</f>
        <v>Social Pension Scheme</v>
      </c>
      <c r="F48" s="162" t="str">
        <f t="shared" si="1"/>
        <v>Cyprus  |  Social Pension Scheme</v>
      </c>
      <c r="G48" s="174">
        <f>IF(Original!AD$37="no data", "", Original!AD$37)</f>
        <v>12.633127977452425</v>
      </c>
      <c r="H48" s="162">
        <f>IF(Original!AD37="no data", "", 1)</f>
        <v>1</v>
      </c>
      <c r="I48" s="174">
        <f>IF(Original!AE$37="no data", "", Original!AE$37*100)</f>
        <v>8.9999111558622324</v>
      </c>
    </row>
    <row r="49" spans="1:9">
      <c r="A49" s="4">
        <f>Original!A51</f>
        <v>1</v>
      </c>
      <c r="B49" s="4" t="str">
        <f>Original!C51</f>
        <v>Greece</v>
      </c>
      <c r="C49" s="4" t="s">
        <v>289</v>
      </c>
      <c r="D49" s="4" t="str">
        <f>Original!G51</f>
        <v>Pension to uninsured elderly</v>
      </c>
      <c r="F49" s="162" t="str">
        <f t="shared" si="1"/>
        <v>Greece  |  Pension to uninsured elderly</v>
      </c>
      <c r="G49" s="174">
        <f>IF(Original!AD$51="no data", "", Original!AD$51)</f>
        <v>14.460017791729458</v>
      </c>
      <c r="H49" s="162">
        <f>IF(Original!AD51="no data", "", 1)</f>
        <v>1</v>
      </c>
      <c r="I49" s="174">
        <f>IF(Original!AE$51="no data", "", Original!AE$51*100)</f>
        <v>14.460017791729458</v>
      </c>
    </row>
    <row r="50" spans="1:9">
      <c r="A50" s="4">
        <f>Original!A60</f>
        <v>1</v>
      </c>
      <c r="B50" s="4" t="str">
        <f>Original!C60</f>
        <v>India</v>
      </c>
      <c r="C50" s="4" t="s">
        <v>289</v>
      </c>
      <c r="D50" s="4" t="str">
        <f>Original!G60</f>
        <v>Indira Gandhi National Old Age Pension Scheme</v>
      </c>
      <c r="F50" s="162" t="str">
        <f t="shared" si="1"/>
        <v>India  |  Indira Gandhi National Old Age Pension Scheme</v>
      </c>
      <c r="G50" s="174">
        <f>IF(Original!AD$60="no data", "", Original!AD$60)</f>
        <v>14.947869523254726</v>
      </c>
      <c r="H50" s="162">
        <f>IF(Original!AD60="no data", "", 1)</f>
        <v>1</v>
      </c>
      <c r="I50" s="174">
        <f>IF(Original!AE$60="no data", "", Original!AE$60*100)</f>
        <v>12.167982770997847</v>
      </c>
    </row>
    <row r="51" spans="1:9" hidden="1">
      <c r="A51" s="4">
        <f>Original!A110</f>
        <v>0</v>
      </c>
      <c r="B51" s="4" t="str">
        <f>Original!C110</f>
        <v>Saint Vincent and the Grenadines</v>
      </c>
      <c r="C51" s="4" t="s">
        <v>289</v>
      </c>
      <c r="D51" s="4" t="str">
        <f>Original!G110</f>
        <v xml:space="preserve">The Non-Contributory Assistance Age Pension (NAAP) </v>
      </c>
      <c r="F51" s="162" t="str">
        <f t="shared" si="1"/>
        <v xml:space="preserve">Saint Vincent and the Grenadines  |  The Non-Contributory Assistance Age Pension (NAAP) </v>
      </c>
      <c r="G51" s="174">
        <f>IF(Original!AD$110="no data", "", Original!AD$110)</f>
        <v>16.202020202020201</v>
      </c>
      <c r="H51" s="162">
        <f>IF(Original!AD110="no data", "", 1)</f>
        <v>1</v>
      </c>
      <c r="I51" s="174">
        <f>IF(Original!AE$110="no data", "", Original!AE$110*100)</f>
        <v>11.165769444960089</v>
      </c>
    </row>
    <row r="52" spans="1:9">
      <c r="A52" s="4">
        <f>Original!A36</f>
        <v>1</v>
      </c>
      <c r="B52" s="4" t="str">
        <f>Original!C36</f>
        <v>Costa Rica</v>
      </c>
      <c r="C52" s="4" t="s">
        <v>289</v>
      </c>
      <c r="D52" s="4" t="str">
        <f>Original!G36</f>
        <v>Programa Regimen No Contributivo</v>
      </c>
      <c r="F52" s="162" t="str">
        <f t="shared" si="1"/>
        <v>Costa Rica  |  Programa Regimen No Contributivo</v>
      </c>
      <c r="G52" s="174">
        <f>IF(Original!AD$36="no data", "", Original!AD$36)</f>
        <v>16.93084850479832</v>
      </c>
      <c r="H52" s="162">
        <f>IF(Original!AD36="no data", "", 1)</f>
        <v>1</v>
      </c>
      <c r="I52" s="174">
        <f>IF(Original!AE$36="no data", "", Original!AE$36*100)</f>
        <v>11.53483718352622</v>
      </c>
    </row>
    <row r="53" spans="1:9">
      <c r="A53" s="4">
        <f>Original!A134</f>
        <v>1</v>
      </c>
      <c r="B53" s="4" t="str">
        <f>Original!C134</f>
        <v>Uruguay</v>
      </c>
      <c r="C53" s="4" t="s">
        <v>289</v>
      </c>
      <c r="D53" s="4" t="str">
        <f>Original!G134</f>
        <v>Pensión por Vejez (Programa de Pensiones No-Contributivas)</v>
      </c>
      <c r="F53" s="162" t="str">
        <f t="shared" si="1"/>
        <v>Uruguay  |  Pensión por Vejez (Programa de Pensiones No-Contributivas)</v>
      </c>
      <c r="G53" s="174">
        <f>IF(Original!AD$134="no data", "", Original!AD$134)</f>
        <v>19.347563869633696</v>
      </c>
      <c r="H53" s="162">
        <f>IF(Original!AD134="no data", "", 1)</f>
        <v>1</v>
      </c>
      <c r="I53" s="174">
        <f>IF(Original!AE$134="no data", "", Original!AE$134*100)</f>
        <v>10.322996895036091</v>
      </c>
    </row>
    <row r="54" spans="1:9">
      <c r="A54" s="4">
        <f>Original!A132</f>
        <v>1</v>
      </c>
      <c r="B54" s="4" t="str">
        <f>Original!C132</f>
        <v>United Kingdom</v>
      </c>
      <c r="C54" s="4" t="s">
        <v>289</v>
      </c>
      <c r="D54" s="4" t="str">
        <f>Original!G132</f>
        <v>Pension credit (Guarantee Credit)</v>
      </c>
      <c r="F54" s="162" t="str">
        <f t="shared" si="1"/>
        <v>United Kingdom  |  Pension credit (Guarantee Credit)</v>
      </c>
      <c r="G54" s="174">
        <f>IF(Original!AD$132="no data", "", Original!AD$132)</f>
        <v>19.477563084802355</v>
      </c>
      <c r="H54" s="162">
        <f>IF(Original!AD132="no data", "", 1)</f>
        <v>1</v>
      </c>
      <c r="I54" s="174" t="str">
        <f>IF(Original!AE$132="no data", "", Original!AE$132*100)</f>
        <v/>
      </c>
    </row>
    <row r="55" spans="1:9">
      <c r="A55" s="4">
        <f>Original!A67</f>
        <v>1</v>
      </c>
      <c r="B55" s="4" t="str">
        <f>Original!C67</f>
        <v>Jamaica</v>
      </c>
      <c r="C55" s="4" t="s">
        <v>289</v>
      </c>
      <c r="D55" s="4" t="str">
        <f>Original!G67</f>
        <v>The Programme for Advancement through Health and Education (PATH)</v>
      </c>
      <c r="F55" s="162" t="str">
        <f t="shared" si="1"/>
        <v>Jamaica  |  The Programme for Advancement through Health and Education (PATH)</v>
      </c>
      <c r="G55" s="174">
        <f>IF(Original!AD$67="no data", "", Original!AD$67)</f>
        <v>19.5</v>
      </c>
      <c r="H55" s="162">
        <f>IF(Original!AD67="no data", "", 1)</f>
        <v>1</v>
      </c>
      <c r="I55" s="174">
        <f>IF(Original!AE$67="no data", "", Original!AE$67*100)</f>
        <v>19.503791182983292</v>
      </c>
    </row>
    <row r="56" spans="1:9">
      <c r="A56" s="4">
        <f>Original!A136</f>
        <v>1</v>
      </c>
      <c r="B56" s="4" t="str">
        <f>Original!C136</f>
        <v>Venezuela</v>
      </c>
      <c r="C56" s="4" t="s">
        <v>289</v>
      </c>
      <c r="D56" s="4" t="str">
        <f>Original!G136</f>
        <v>Gran Mision Amor Mayor</v>
      </c>
      <c r="F56" s="162" t="str">
        <f t="shared" si="1"/>
        <v>Venezuela  |  Gran Mision Amor Mayor</v>
      </c>
      <c r="G56" s="174">
        <f>IF(Original!AD$136="no data", "", Original!AD$136)</f>
        <v>20.234783442850976</v>
      </c>
      <c r="H56" s="162">
        <f>IF(Original!AD136="no data", "", 1)</f>
        <v>1</v>
      </c>
      <c r="I56" s="174">
        <f>IF(Original!AE$136="no data", "", Original!AE$136*100)</f>
        <v>24.686942143682391</v>
      </c>
    </row>
    <row r="57" spans="1:9">
      <c r="A57" s="4">
        <f>Original!A98</f>
        <v>1</v>
      </c>
      <c r="B57" s="4" t="str">
        <f>Original!C98</f>
        <v>Norway</v>
      </c>
      <c r="C57" s="4" t="s">
        <v>289</v>
      </c>
      <c r="D57" s="4" t="str">
        <f>Original!G98</f>
        <v>Grunnpensjon (Basic Pension)</v>
      </c>
      <c r="F57" s="162" t="str">
        <f t="shared" si="1"/>
        <v>Norway  |  Grunnpensjon (Basic Pension)</v>
      </c>
      <c r="G57" s="174">
        <f>IF(Original!AD$98="no data", "", Original!AD$98)</f>
        <v>21.558703888045386</v>
      </c>
      <c r="H57" s="162">
        <f>IF(Original!AD98="no data", "", 1)</f>
        <v>1</v>
      </c>
      <c r="I57" s="174">
        <f>IF(Original!AE$98="no data", "", Original!AE$98*100)</f>
        <v>19.64486595939842</v>
      </c>
    </row>
    <row r="58" spans="1:9" hidden="1">
      <c r="A58" s="4">
        <f>Original!A115</f>
        <v>0</v>
      </c>
      <c r="B58" s="4" t="str">
        <f>Original!C115</f>
        <v>Slovenia</v>
      </c>
      <c r="C58" s="4" t="s">
        <v>289</v>
      </c>
      <c r="D58" s="4" t="str">
        <f>Original!G115</f>
        <v>Minimum pension</v>
      </c>
      <c r="F58" s="162" t="str">
        <f t="shared" si="1"/>
        <v>Slovenia  |  Minimum pension</v>
      </c>
      <c r="G58" s="174">
        <f>IF(Original!AD$115="no data", "", Original!AD$115)</f>
        <v>22</v>
      </c>
      <c r="H58" s="162">
        <f>IF(Original!AD115="no data", "", 1)</f>
        <v>1</v>
      </c>
      <c r="I58" s="174">
        <f>IF(Original!AE$115="no data", "", Original!AE$115*100)</f>
        <v>0</v>
      </c>
    </row>
    <row r="59" spans="1:9">
      <c r="A59" s="4">
        <f>Original!A26</f>
        <v>1</v>
      </c>
      <c r="B59" s="4" t="str">
        <f>Original!C26</f>
        <v>Brazil [Rural pensionn]</v>
      </c>
      <c r="C59" s="4" t="s">
        <v>289</v>
      </c>
      <c r="D59" s="4" t="str">
        <f>Original!G26</f>
        <v>Previdencia Rural (Rural Pension)</v>
      </c>
      <c r="F59" s="162" t="str">
        <f t="shared" si="1"/>
        <v>Brazil [Rural pensionn]  |  Previdencia Rural (Rural Pension)</v>
      </c>
      <c r="G59" s="174">
        <f>IF(Original!AD$26="no data", "", Original!AD$26)</f>
        <v>23.945626680505882</v>
      </c>
      <c r="H59" s="162">
        <f>IF(Original!AD26="no data", "", 1)</f>
        <v>1</v>
      </c>
      <c r="I59" s="174" t="str">
        <f>IF(Original!AE$26="no data", "", Original!AE$26*100)</f>
        <v/>
      </c>
    </row>
    <row r="60" spans="1:9">
      <c r="A60" s="4">
        <f>Original!A63</f>
        <v>1</v>
      </c>
      <c r="B60" s="4" t="str">
        <f>Original!C63</f>
        <v>Ireland</v>
      </c>
      <c r="C60" s="4" t="s">
        <v>289</v>
      </c>
      <c r="D60" s="4" t="str">
        <f>Original!G63</f>
        <v>Targeted pension</v>
      </c>
      <c r="F60" s="162" t="str">
        <f t="shared" si="1"/>
        <v>Ireland  |  Targeted pension</v>
      </c>
      <c r="G60" s="174">
        <f>IF(Original!AD$63="no data", "", Original!AD$63)</f>
        <v>28</v>
      </c>
      <c r="H60" s="162">
        <f>IF(Original!AD63="no data", "", 1)</f>
        <v>1</v>
      </c>
      <c r="I60" s="174">
        <f>IF(Original!AE$63="no data", "", Original!AE$63*100)</f>
        <v>14.106153914953959</v>
      </c>
    </row>
    <row r="61" spans="1:9" hidden="1">
      <c r="A61" s="4">
        <f>Original!A118</f>
        <v>0</v>
      </c>
      <c r="B61" s="4" t="str">
        <f>Original!C118</f>
        <v>Spain</v>
      </c>
      <c r="C61" s="4" t="s">
        <v>289</v>
      </c>
      <c r="D61" s="4" t="str">
        <f>Original!G118</f>
        <v>Minimum pension</v>
      </c>
      <c r="F61" s="162" t="str">
        <f t="shared" si="1"/>
        <v>Spain  |  Minimum pension</v>
      </c>
      <c r="G61" s="174">
        <f>IF(Original!AD$118="no data", "", Original!AD$118)</f>
        <v>28</v>
      </c>
      <c r="H61" s="162">
        <f>IF(Original!AD118="no data", "", 1)</f>
        <v>1</v>
      </c>
      <c r="I61" s="174">
        <f>IF(Original!AE$118="no data", "", Original!AE$118*100)</f>
        <v>0</v>
      </c>
    </row>
    <row r="62" spans="1:9">
      <c r="A62" s="4">
        <f>Original!A17</f>
        <v>1</v>
      </c>
      <c r="B62" s="4" t="str">
        <f>Original!C17</f>
        <v>Bangladesh</v>
      </c>
      <c r="C62" s="4" t="s">
        <v>289</v>
      </c>
      <c r="D62" s="4" t="str">
        <f>Original!G17</f>
        <v>Old Age Allowance</v>
      </c>
      <c r="F62" s="162" t="str">
        <f t="shared" si="1"/>
        <v>Bangladesh  |  Old Age Allowance</v>
      </c>
      <c r="G62" s="174">
        <f>IF(Original!AD$17="no data", "", Original!AD$17)</f>
        <v>28.297416156642424</v>
      </c>
      <c r="H62" s="162">
        <f>IF(Original!AD17="no data", "", 1)</f>
        <v>1</v>
      </c>
      <c r="I62" s="174">
        <f>IF(Original!AE$17="no data", "", Original!AE$17*100)</f>
        <v>23</v>
      </c>
    </row>
    <row r="63" spans="1:9">
      <c r="A63" s="4">
        <f>Original!A19</f>
        <v>1</v>
      </c>
      <c r="B63" s="4" t="str">
        <f>Original!C19</f>
        <v>Barbados</v>
      </c>
      <c r="C63" s="4" t="s">
        <v>289</v>
      </c>
      <c r="D63" s="4" t="str">
        <f>Original!G19</f>
        <v>Non-contributory Old Age Pension</v>
      </c>
      <c r="F63" s="162" t="str">
        <f t="shared" si="1"/>
        <v>Barbados  |  Non-contributory Old Age Pension</v>
      </c>
      <c r="G63" s="174">
        <f>IF(Original!AD$19="no data", "", Original!AD$19)</f>
        <v>33.766107306306594</v>
      </c>
      <c r="H63" s="162">
        <f>IF(Original!AD19="no data", "", 1)</f>
        <v>1</v>
      </c>
      <c r="I63" s="174">
        <f>IF(Original!AE$19="no data", "", Original!AE$19*100)</f>
        <v>24.860795794001671</v>
      </c>
    </row>
    <row r="64" spans="1:9">
      <c r="A64" s="4">
        <f>Original!A30</f>
        <v>1</v>
      </c>
      <c r="B64" s="4" t="str">
        <f>Original!C30</f>
        <v>Canada Targeted</v>
      </c>
      <c r="C64" s="4" t="s">
        <v>289</v>
      </c>
      <c r="D64" s="4" t="str">
        <f>Original!G30</f>
        <v>Canada targeted pension</v>
      </c>
      <c r="F64" s="162" t="str">
        <f t="shared" si="1"/>
        <v>Canada Targeted  |  Canada targeted pension</v>
      </c>
      <c r="G64" s="174">
        <f>IF(Original!AD$30="no data", "", Original!AD$30)</f>
        <v>34</v>
      </c>
      <c r="H64" s="162">
        <f>IF(Original!AD30="no data", "", 1)</f>
        <v>1</v>
      </c>
      <c r="I64" s="174">
        <f>IF(Original!AE$30="no data", "", Original!AE$30*100)</f>
        <v>0</v>
      </c>
    </row>
    <row r="65" spans="1:9">
      <c r="A65" s="4">
        <f>Original!A15</f>
        <v>1</v>
      </c>
      <c r="B65" s="4" t="str">
        <f>Original!C15</f>
        <v>Azerbaijan</v>
      </c>
      <c r="C65" s="4" t="s">
        <v>289</v>
      </c>
      <c r="D65" s="4" t="str">
        <f>Original!G15</f>
        <v>Social Allowance (Old Age)</v>
      </c>
      <c r="F65" s="162" t="str">
        <f t="shared" si="1"/>
        <v>Azerbaijan  |  Social Allowance (Old Age)</v>
      </c>
      <c r="G65" s="174">
        <f>IF(Original!AD$15="no data", "", Original!AD$15)</f>
        <v>36.316015362774984</v>
      </c>
      <c r="H65" s="162">
        <f>IF(Original!AD15="no data", "", 1)</f>
        <v>1</v>
      </c>
      <c r="I65" s="174">
        <f>IF(Original!AE$15="no data", "", Original!AE$15*100)</f>
        <v>29.838908645145622</v>
      </c>
    </row>
    <row r="66" spans="1:9">
      <c r="A66" s="4">
        <f>Original!A32</f>
        <v>1</v>
      </c>
      <c r="B66" s="4" t="str">
        <f>Original!C32</f>
        <v>Cape Verde</v>
      </c>
      <c r="C66" s="4" t="s">
        <v>289</v>
      </c>
      <c r="D66" s="4" t="str">
        <f>Original!G32</f>
        <v>Pensao Social Minima (Minimum Social Pension)</v>
      </c>
      <c r="F66" s="162" t="str">
        <f t="shared" si="1"/>
        <v>Cape Verde  |  Pensao Social Minima (Minimum Social Pension)</v>
      </c>
      <c r="G66" s="174">
        <f>IF(Original!AD$32="no data", "", Original!AD$32)</f>
        <v>37.468684651856144</v>
      </c>
      <c r="H66" s="162">
        <f>IF(Original!AD32="no data", "", 1)</f>
        <v>1</v>
      </c>
      <c r="I66" s="174">
        <f>IF(Original!AE$32="no data", "", Original!AE$32*100)</f>
        <v>37.468684651856144</v>
      </c>
    </row>
    <row r="67" spans="1:9">
      <c r="A67" s="4">
        <f>Original!A137</f>
        <v>1</v>
      </c>
      <c r="B67" s="4" t="str">
        <f>Original!C137</f>
        <v>Viet Nam  [80 years old and over]</v>
      </c>
      <c r="C67" s="4" t="s">
        <v>289</v>
      </c>
      <c r="D67" s="4" t="str">
        <f>Original!G137</f>
        <v>Social assistance benefit (clause 3)</v>
      </c>
      <c r="F67" s="162" t="str">
        <f t="shared" si="1"/>
        <v>Viet Nam  [80 years old and over]  |  Social assistance benefit (clause 3)</v>
      </c>
      <c r="G67" s="174">
        <f>IF(Original!AD$137="no data", "", Original!AD$137)</f>
        <v>37.554000000000002</v>
      </c>
      <c r="H67" s="162">
        <f>IF(Original!AD137="no data", "", 1)</f>
        <v>1</v>
      </c>
      <c r="I67" s="174">
        <f>IF(Original!AE$137="no data", "", Original!AE$137*100)</f>
        <v>5.5529718237510597</v>
      </c>
    </row>
    <row r="68" spans="1:9">
      <c r="A68" s="4">
        <f>Original!A88</f>
        <v>1</v>
      </c>
      <c r="B68" s="4" t="str">
        <f>Original!C88</f>
        <v>Mexico</v>
      </c>
      <c r="C68" s="4" t="s">
        <v>289</v>
      </c>
      <c r="D68" s="4" t="str">
        <f>Original!G88</f>
        <v>70 y mas</v>
      </c>
      <c r="F68" s="162" t="str">
        <f t="shared" si="1"/>
        <v>Mexico  |  70 y mas</v>
      </c>
      <c r="G68" s="174">
        <f>IF(Original!AD$88="no data", "", Original!AD$88)</f>
        <v>38.444170729927869</v>
      </c>
      <c r="H68" s="162">
        <f>IF(Original!AD88="no data", "", 1)</f>
        <v>1</v>
      </c>
      <c r="I68" s="174">
        <f>IF(Original!AE$88="no data", "", Original!AE$88*100)</f>
        <v>17.764869019844191</v>
      </c>
    </row>
    <row r="69" spans="1:9">
      <c r="A69" s="4">
        <f>Original!A22</f>
        <v>1</v>
      </c>
      <c r="B69" s="4" t="str">
        <f>Original!C22</f>
        <v>Belize</v>
      </c>
      <c r="C69" s="4" t="s">
        <v>289</v>
      </c>
      <c r="D69" s="4" t="str">
        <f>Original!G22</f>
        <v>Non-Contributory Pension Programme (NCP)</v>
      </c>
      <c r="F69" s="162" t="str">
        <f t="shared" ref="F69:F100" si="2">CONCATENATE(B69,C69,D69)</f>
        <v>Belize  |  Non-Contributory Pension Programme (NCP)</v>
      </c>
      <c r="G69" s="174">
        <f>IF(Original!AD$22="no data", "", Original!AD$22)</f>
        <v>39.1</v>
      </c>
      <c r="H69" s="162">
        <f>IF(Original!AD22="no data", "", 1)</f>
        <v>1</v>
      </c>
      <c r="I69" s="174">
        <f>IF(Original!AE$22="no data", "", Original!AE$22*100)</f>
        <v>18</v>
      </c>
    </row>
    <row r="70" spans="1:9">
      <c r="A70" s="4">
        <f>Original!A121</f>
        <v>1</v>
      </c>
      <c r="B70" s="4" t="str">
        <f>Original!C121</f>
        <v>Sweden</v>
      </c>
      <c r="C70" s="4" t="s">
        <v>289</v>
      </c>
      <c r="D70" s="4" t="str">
        <f>Original!G121</f>
        <v>Garantipension (Guaranteed pension)</v>
      </c>
      <c r="F70" s="162" t="str">
        <f t="shared" si="2"/>
        <v>Sweden  |  Garantipension (Guaranteed pension)</v>
      </c>
      <c r="G70" s="174">
        <f>IF(Original!AD$121="no data", "", Original!AD$121)</f>
        <v>47.878538424615044</v>
      </c>
      <c r="H70" s="162">
        <f>IF(Original!AD121="no data", "", 1)</f>
        <v>1</v>
      </c>
      <c r="I70" s="174">
        <f>IF(Original!AE$121="no data", "", Original!AE$121*100)</f>
        <v>35.042791732637255</v>
      </c>
    </row>
    <row r="71" spans="1:9">
      <c r="A71" s="4">
        <f>Original!A33</f>
        <v>1</v>
      </c>
      <c r="B71" s="4" t="str">
        <f>Original!C33</f>
        <v>Chile</v>
      </c>
      <c r="C71" s="4" t="s">
        <v>289</v>
      </c>
      <c r="D71" s="4" t="str">
        <f>Original!G33</f>
        <v>Pension Basica Solidaria de Vejez (PBS-Vejez)</v>
      </c>
      <c r="F71" s="162" t="str">
        <f t="shared" si="2"/>
        <v>Chile  |  Pension Basica Solidaria de Vejez (PBS-Vejez)</v>
      </c>
      <c r="G71" s="174">
        <f>IF(Original!AD$33="no data", "", Original!AD$33)</f>
        <v>51.197644022933233</v>
      </c>
      <c r="H71" s="162">
        <f>IF(Original!AD33="no data", "", 1)</f>
        <v>1</v>
      </c>
      <c r="I71" s="174">
        <f>IF(Original!AE$33="no data", "", Original!AE$33*100)</f>
        <v>36.052860063150192</v>
      </c>
    </row>
    <row r="72" spans="1:9" hidden="1">
      <c r="A72" s="4">
        <f>Original!A48</f>
        <v>0</v>
      </c>
      <c r="B72" s="4" t="str">
        <f>Original!C48</f>
        <v>France</v>
      </c>
      <c r="C72" s="4" t="s">
        <v>289</v>
      </c>
      <c r="D72" s="4" t="str">
        <f>Original!G48</f>
        <v>Minimum pension</v>
      </c>
      <c r="F72" s="162" t="str">
        <f t="shared" si="2"/>
        <v>France  |  Minimum pension</v>
      </c>
      <c r="G72" s="174">
        <f>IF(Original!AD$48="no data", "", Original!AD$48)</f>
        <v>53</v>
      </c>
      <c r="H72" s="162">
        <f>IF(Original!AD48="no data", "", 1)</f>
        <v>1</v>
      </c>
      <c r="I72" s="174">
        <f>IF(Original!AE$48="no data", "", Original!AE$48*100)</f>
        <v>0</v>
      </c>
    </row>
    <row r="73" spans="1:9">
      <c r="A73" s="4">
        <f>Original!A100</f>
        <v>1</v>
      </c>
      <c r="B73" s="4" t="str">
        <f>Original!C100</f>
        <v>Panama</v>
      </c>
      <c r="C73" s="4" t="s">
        <v>289</v>
      </c>
      <c r="D73" s="4" t="str">
        <f>Original!G100</f>
        <v>100 a los 70</v>
      </c>
      <c r="F73" s="162" t="str">
        <f t="shared" si="2"/>
        <v>Panama  |  100 a los 70</v>
      </c>
      <c r="G73" s="174">
        <f>IF(Original!AD$100="no data", "", Original!AD$100)</f>
        <v>55.580647906316074</v>
      </c>
      <c r="H73" s="162">
        <f>IF(Original!AD100="no data", "", 1)</f>
        <v>1</v>
      </c>
      <c r="I73" s="174">
        <f>IF(Original!AE$100="no data", "", Original!AE$100*100)</f>
        <v>24.09368473622083</v>
      </c>
    </row>
    <row r="74" spans="1:9">
      <c r="A74" s="4">
        <f>Original!A43</f>
        <v>1</v>
      </c>
      <c r="B74" s="4" t="str">
        <f>Original!C43</f>
        <v>Ecuador</v>
      </c>
      <c r="C74" s="4" t="s">
        <v>289</v>
      </c>
      <c r="D74" s="4" t="str">
        <f>Original!G43</f>
        <v>Pension para Adultos Mayores (Pension for Older People/ Bono de Desarollo Humano )</v>
      </c>
      <c r="F74" s="162" t="str">
        <f t="shared" si="2"/>
        <v>Ecuador  |  Pension para Adultos Mayores (Pension for Older People/ Bono de Desarollo Humano )</v>
      </c>
      <c r="G74" s="174">
        <f>IF(Original!AD$43="no data", "", Original!AD$43)</f>
        <v>56.684322429035028</v>
      </c>
      <c r="H74" s="162">
        <f>IF(Original!AD43="no data", "", 1)</f>
        <v>1</v>
      </c>
      <c r="I74" s="174">
        <f>IF(Original!AE$43="no data", "", Original!AE$43*100)</f>
        <v>39.07501173163169</v>
      </c>
    </row>
    <row r="75" spans="1:9" hidden="1">
      <c r="A75" s="4">
        <f>Original!A107</f>
        <v>0</v>
      </c>
      <c r="B75" s="4" t="str">
        <f>Original!C107</f>
        <v>Portugal</v>
      </c>
      <c r="C75" s="4" t="s">
        <v>289</v>
      </c>
      <c r="D75" s="4" t="str">
        <f>Original!G107</f>
        <v>Minimum pension</v>
      </c>
      <c r="F75" s="162" t="str">
        <f t="shared" si="2"/>
        <v>Portugal  |  Minimum pension</v>
      </c>
      <c r="G75" s="174">
        <f>IF(Original!AD$107="no data", "", Original!AD$107)</f>
        <v>59</v>
      </c>
      <c r="H75" s="162">
        <f>IF(Original!AD107="no data", "", 1)</f>
        <v>1</v>
      </c>
      <c r="I75" s="174">
        <f>IF(Original!AE$107="no data", "", Original!AE$107*100)</f>
        <v>0</v>
      </c>
    </row>
    <row r="76" spans="1:9" hidden="1">
      <c r="A76" s="4">
        <f>Original!A52</f>
        <v>0</v>
      </c>
      <c r="B76" s="4" t="str">
        <f>Original!C52</f>
        <v>Greece</v>
      </c>
      <c r="C76" s="4" t="s">
        <v>289</v>
      </c>
      <c r="D76" s="4" t="str">
        <f>Original!G52</f>
        <v>Minimum pension</v>
      </c>
      <c r="F76" s="162" t="str">
        <f t="shared" si="2"/>
        <v>Greece  |  Minimum pension</v>
      </c>
      <c r="G76" s="174">
        <f>IF(Original!AD$52="no data", "", Original!AD$52)</f>
        <v>60</v>
      </c>
      <c r="H76" s="162">
        <f>IF(Original!AD52="no data", "", 1)</f>
        <v>1</v>
      </c>
      <c r="I76" s="174">
        <f>IF(Original!AE$52="no data", "", Original!AE$52*100)</f>
        <v>0</v>
      </c>
    </row>
    <row r="77" spans="1:9">
      <c r="A77" s="4">
        <f>Original!A74</f>
        <v>1</v>
      </c>
      <c r="B77" s="4" t="str">
        <f>Original!C74</f>
        <v>Korea, Republic of</v>
      </c>
      <c r="C77" s="4" t="s">
        <v>289</v>
      </c>
      <c r="D77" s="4" t="str">
        <f>Original!G74</f>
        <v>Basic old-age pension</v>
      </c>
      <c r="F77" s="162" t="str">
        <f t="shared" si="2"/>
        <v>Korea, Republic of  |  Basic old-age pension</v>
      </c>
      <c r="G77" s="174">
        <f>IF(Original!AD$74="no data", "", Original!AD$74)</f>
        <v>60</v>
      </c>
      <c r="H77" s="162">
        <f>IF(Original!AD74="no data", "", 1)</f>
        <v>1</v>
      </c>
      <c r="I77" s="174">
        <f>IF(Original!AE$74="no data", "", Original!AE$74*100)</f>
        <v>42.53</v>
      </c>
    </row>
    <row r="78" spans="1:9">
      <c r="A78" s="4">
        <f>Original!A75</f>
        <v>1</v>
      </c>
      <c r="B78" s="4" t="str">
        <f>Original!C75</f>
        <v>Kosovo</v>
      </c>
      <c r="C78" s="4" t="s">
        <v>289</v>
      </c>
      <c r="D78" s="4" t="str">
        <f>Original!G75</f>
        <v>Old age "basic pension"</v>
      </c>
      <c r="F78" s="162" t="str">
        <f t="shared" si="2"/>
        <v>Kosovo  |  Old age "basic pension"</v>
      </c>
      <c r="G78" s="174">
        <f>IF(Original!AD$75="no data", "", Original!AD$75)</f>
        <v>60</v>
      </c>
      <c r="H78" s="162">
        <f>IF(Original!AD75="no data", "", 1)</f>
        <v>1</v>
      </c>
      <c r="I78" s="174" t="str">
        <f>IF(Original!AE$75="no data", "", Original!AE$75*100)</f>
        <v/>
      </c>
    </row>
    <row r="79" spans="1:9">
      <c r="A79" s="4">
        <f>Original!A94</f>
        <v>1</v>
      </c>
      <c r="B79" s="4" t="str">
        <f>Original!C94</f>
        <v>Nepal</v>
      </c>
      <c r="C79" s="4" t="s">
        <v>289</v>
      </c>
      <c r="D79" s="4" t="str">
        <f>Original!G94</f>
        <v>Old Age Allowance</v>
      </c>
      <c r="F79" s="162" t="str">
        <f t="shared" si="2"/>
        <v>Nepal  |  Old Age Allowance</v>
      </c>
      <c r="G79" s="174">
        <f>IF(Original!AD$94="no data", "", Original!AD$94)</f>
        <v>69.099199210671884</v>
      </c>
      <c r="H79" s="162">
        <f>IF(Original!AD94="no data", "", 1)</f>
        <v>1</v>
      </c>
      <c r="I79" s="174">
        <f>IF(Original!AE$94="no data", "", Original!AE$94*100)</f>
        <v>27.130179517610742</v>
      </c>
    </row>
    <row r="80" spans="1:9">
      <c r="A80" s="4">
        <f>Original!A116</f>
        <v>1</v>
      </c>
      <c r="B80" s="4" t="str">
        <f>Original!C116</f>
        <v>South Africa</v>
      </c>
      <c r="C80" s="4" t="s">
        <v>289</v>
      </c>
      <c r="D80" s="4" t="str">
        <f>Original!G116</f>
        <v>Grant for Older Persons</v>
      </c>
      <c r="F80" s="162" t="str">
        <f t="shared" si="2"/>
        <v>South Africa  |  Grant for Older Persons</v>
      </c>
      <c r="G80" s="174">
        <f>IF(Original!AD$116="no data", "", Original!AD$116)</f>
        <v>70.634410911389537</v>
      </c>
      <c r="H80" s="162">
        <f>IF(Original!AD116="no data", "", 1)</f>
        <v>1</v>
      </c>
      <c r="I80" s="174">
        <f>IF(Original!AE$116="no data", "", Original!AE$116*100)</f>
        <v>70.634410911389537</v>
      </c>
    </row>
    <row r="81" spans="1:9">
      <c r="A81" s="4">
        <f>Original!A13</f>
        <v>1</v>
      </c>
      <c r="B81" s="4" t="str">
        <f>Original!C13</f>
        <v>Australia</v>
      </c>
      <c r="C81" s="4" t="s">
        <v>289</v>
      </c>
      <c r="D81" s="4" t="str">
        <f>Original!G13</f>
        <v>Age Pension</v>
      </c>
      <c r="F81" s="162" t="str">
        <f t="shared" si="2"/>
        <v>Australia  |  Age Pension</v>
      </c>
      <c r="G81" s="174">
        <f>IF(Original!AD$13="no data", "", Original!AD$13)</f>
        <v>70.724438445894648</v>
      </c>
      <c r="H81" s="162">
        <f>IF(Original!AD13="no data", "", 1)</f>
        <v>1</v>
      </c>
      <c r="I81" s="174">
        <f>IF(Original!AE$13="no data", "", Original!AE$13*100)</f>
        <v>50.095339484267797</v>
      </c>
    </row>
    <row r="82" spans="1:9">
      <c r="A82" s="4">
        <f>Original!A55</f>
        <v>1</v>
      </c>
      <c r="B82" s="4" t="str">
        <f>Original!C55</f>
        <v>Hong Kong</v>
      </c>
      <c r="C82" s="4" t="s">
        <v>289</v>
      </c>
      <c r="D82" s="4" t="str">
        <f>Original!G55</f>
        <v>Normal/higher old age allowance</v>
      </c>
      <c r="F82" s="162" t="str">
        <f t="shared" si="2"/>
        <v>Hong Kong  |  Normal/higher old age allowance</v>
      </c>
      <c r="G82" s="174">
        <f>IF(Original!AD$55="no data", "", Original!AD$55)</f>
        <v>71.864998937716464</v>
      </c>
      <c r="H82" s="162">
        <f>IF(Original!AD55="no data", "", 1)</f>
        <v>1</v>
      </c>
      <c r="I82" s="174" t="str">
        <f>IF(Original!AE$55="no data", "", Original!AE$55*100)</f>
        <v/>
      </c>
    </row>
    <row r="83" spans="1:9">
      <c r="A83" s="4">
        <f>Original!A127</f>
        <v>1</v>
      </c>
      <c r="B83" s="4" t="str">
        <f>Original!C127</f>
        <v>Trinidad and Tobago</v>
      </c>
      <c r="C83" s="4" t="s">
        <v>289</v>
      </c>
      <c r="D83" s="4" t="str">
        <f>Original!G127</f>
        <v>Senior Citizens' Pension</v>
      </c>
      <c r="F83" s="162" t="str">
        <f t="shared" si="2"/>
        <v>Trinidad and Tobago  |  Senior Citizens' Pension</v>
      </c>
      <c r="G83" s="174">
        <f>IF(Original!AD$127="no data", "", Original!AD$127)</f>
        <v>77.94435583909268</v>
      </c>
      <c r="H83" s="162">
        <f>IF(Original!AD127="no data", "", 1)</f>
        <v>1</v>
      </c>
      <c r="I83" s="174">
        <f>IF(Original!AE$127="no data", "", Original!AE$127*100)</f>
        <v>66.949031890660592</v>
      </c>
    </row>
    <row r="84" spans="1:9">
      <c r="A84" s="4">
        <f>Original!A59</f>
        <v>1</v>
      </c>
      <c r="B84" s="4" t="str">
        <f>Original!C59</f>
        <v>Iceland</v>
      </c>
      <c r="C84" s="4" t="s">
        <v>289</v>
      </c>
      <c r="D84" s="4" t="str">
        <f>Original!G59</f>
        <v>lífeyristryggingar almannatrygginga (National Basic Pension)</v>
      </c>
      <c r="F84" s="162" t="str">
        <f t="shared" si="2"/>
        <v>Iceland  |  lífeyristryggingar almannatrygginga (National Basic Pension)</v>
      </c>
      <c r="G84" s="174">
        <f>IF(Original!AD$59="no data", "", Original!AD$59)</f>
        <v>79.296961282383023</v>
      </c>
      <c r="H84" s="162">
        <f>IF(Original!AD59="no data", "", 1)</f>
        <v>1</v>
      </c>
      <c r="I84" s="174">
        <f>IF(Original!AE$59="no data", "", Original!AE$59*100)</f>
        <v>46.558591940713292</v>
      </c>
    </row>
    <row r="85" spans="1:9">
      <c r="A85" s="4">
        <f>Original!A125</f>
        <v>1</v>
      </c>
      <c r="B85" s="4" t="str">
        <f>Original!C125</f>
        <v>Thailand</v>
      </c>
      <c r="C85" s="4" t="s">
        <v>289</v>
      </c>
      <c r="D85" s="4" t="str">
        <f>Original!G125</f>
        <v>Old Age Allowance (THA)</v>
      </c>
      <c r="F85" s="162" t="str">
        <f t="shared" si="2"/>
        <v>Thailand  |  Old Age Allowance (THA)</v>
      </c>
      <c r="G85" s="174">
        <f>IF(Original!AD$125="no data", "", Original!AD$125)</f>
        <v>81.732667719776884</v>
      </c>
      <c r="H85" s="162">
        <f>IF(Original!AD125="no data", "", 1)</f>
        <v>1</v>
      </c>
      <c r="I85" s="174">
        <f>IF(Original!AE$125="no data", "", Original!AE$125*100)</f>
        <v>81.732667719776884</v>
      </c>
    </row>
    <row r="86" spans="1:9">
      <c r="A86" s="4">
        <f>Original!A49</f>
        <v>1</v>
      </c>
      <c r="B86" s="4" t="str">
        <f>Original!C49</f>
        <v>Georgia</v>
      </c>
      <c r="C86" s="4" t="s">
        <v>289</v>
      </c>
      <c r="D86" s="4" t="str">
        <f>Original!G49</f>
        <v>Old Age Pension</v>
      </c>
      <c r="F86" s="162" t="str">
        <f t="shared" si="2"/>
        <v>Georgia  |  Old Age Pension</v>
      </c>
      <c r="G86" s="174">
        <f>IF(Original!AD$49="no data", "", Original!AD$49)</f>
        <v>88.265157600228576</v>
      </c>
      <c r="H86" s="162">
        <f>IF(Original!AD49="no data", "", 1)</f>
        <v>1</v>
      </c>
      <c r="I86" s="174">
        <f>IF(Original!AE$49="no data", "", Original!AE$49*100)</f>
        <v>78.084638358499902</v>
      </c>
    </row>
    <row r="87" spans="1:9">
      <c r="A87" s="4">
        <f>Original!A84</f>
        <v>1</v>
      </c>
      <c r="B87" s="4" t="str">
        <f>Original!C84</f>
        <v>Maldives</v>
      </c>
      <c r="C87" s="4" t="s">
        <v>289</v>
      </c>
      <c r="D87" s="4" t="str">
        <f>Original!G84</f>
        <v>Old-age Basic Pension</v>
      </c>
      <c r="F87" s="162" t="str">
        <f t="shared" si="2"/>
        <v>Maldives  |  Old-age Basic Pension</v>
      </c>
      <c r="G87" s="174">
        <f>IF(Original!AD$84="no data", "", Original!AD$84)</f>
        <v>89.643822734218887</v>
      </c>
      <c r="H87" s="162">
        <f>IF(Original!AD84="no data", "", 1)</f>
        <v>1</v>
      </c>
      <c r="I87" s="174">
        <f>IF(Original!AE$84="no data", "", Original!AE$84*100)</f>
        <v>66.997584010542496</v>
      </c>
    </row>
    <row r="88" spans="1:9">
      <c r="A88" s="4">
        <f>Original!A119</f>
        <v>1</v>
      </c>
      <c r="B88" s="4" t="str">
        <f>Original!C119</f>
        <v>Suriname</v>
      </c>
      <c r="C88" s="4" t="s">
        <v>289</v>
      </c>
      <c r="D88" s="4" t="str">
        <f>Original!G119</f>
        <v>State Old Age Pension (Algemene Oudedags Voorzieningsfonds (AOV))</v>
      </c>
      <c r="F88" s="162" t="str">
        <f t="shared" si="2"/>
        <v>Suriname  |  State Old Age Pension (Algemene Oudedags Voorzieningsfonds (AOV))</v>
      </c>
      <c r="G88" s="174">
        <f>IF(Original!AD$119="no data", "", Original!AD$119)</f>
        <v>91.710226923313456</v>
      </c>
      <c r="H88" s="162">
        <f>IF(Original!AD119="no data", "", 1)</f>
        <v>1</v>
      </c>
      <c r="I88" s="174">
        <f>IF(Original!AE$119="no data", "", Original!AE$119*100)</f>
        <v>91.71210692468533</v>
      </c>
    </row>
    <row r="89" spans="1:9">
      <c r="A89" s="4">
        <f>Original!A54</f>
        <v>1</v>
      </c>
      <c r="B89" s="4" t="str">
        <f>Original!C54</f>
        <v>Guyana</v>
      </c>
      <c r="C89" s="4" t="s">
        <v>289</v>
      </c>
      <c r="D89" s="4" t="str">
        <f>Original!G54</f>
        <v>Old Age Pension</v>
      </c>
      <c r="F89" s="162" t="str">
        <f t="shared" si="2"/>
        <v>Guyana  |  Old Age Pension</v>
      </c>
      <c r="G89" s="174">
        <f>IF(Original!AD$54="no data", "", Original!AD$54)</f>
        <v>91.875523773367803</v>
      </c>
      <c r="H89" s="162">
        <f>IF(Original!AD54="no data", "", 1)</f>
        <v>1</v>
      </c>
      <c r="I89" s="174">
        <f>IF(Original!AE$54="no data", "", Original!AE$54*100)</f>
        <v>60.33281895149517</v>
      </c>
    </row>
    <row r="90" spans="1:9">
      <c r="A90" s="4">
        <f>Original!A28</f>
        <v>1</v>
      </c>
      <c r="B90" s="4" t="str">
        <f>Original!C28</f>
        <v>Brunei Darussalam</v>
      </c>
      <c r="C90" s="4" t="s">
        <v>289</v>
      </c>
      <c r="D90" s="4" t="str">
        <f>Original!G28</f>
        <v>Old Age pension</v>
      </c>
      <c r="F90" s="162" t="str">
        <f t="shared" si="2"/>
        <v>Brunei Darussalam  |  Old Age pension</v>
      </c>
      <c r="G90" s="174">
        <f>IF(Original!AD$28="no data", "", Original!AD$28)</f>
        <v>92.373918548216906</v>
      </c>
      <c r="H90" s="162">
        <f>IF(Original!AD28="no data", "", 1)</f>
        <v>1</v>
      </c>
      <c r="I90" s="174">
        <f>IF(Original!AE$28="no data", "", Original!AE$28*100)</f>
        <v>87</v>
      </c>
    </row>
    <row r="91" spans="1:9">
      <c r="A91" s="4">
        <f>Original!A111</f>
        <v>1</v>
      </c>
      <c r="B91" s="4" t="str">
        <f>Original!C111</f>
        <v>Samoa</v>
      </c>
      <c r="C91" s="4" t="s">
        <v>289</v>
      </c>
      <c r="D91" s="4" t="str">
        <f>Original!G111</f>
        <v>Senior Citizens Benefit</v>
      </c>
      <c r="F91" s="162" t="str">
        <f t="shared" si="2"/>
        <v>Samoa  |  Senior Citizens Benefit</v>
      </c>
      <c r="G91" s="174">
        <f>IF(Original!AD$111="no data", "", Original!AD$111)</f>
        <v>93.107876712328761</v>
      </c>
      <c r="H91" s="162">
        <f>IF(Original!AD111="no data", "", 1)</f>
        <v>1</v>
      </c>
      <c r="I91" s="174">
        <f>IF(Original!AE$111="no data", "", Original!AE$111*100)</f>
        <v>63.759618908024919</v>
      </c>
    </row>
    <row r="92" spans="1:9">
      <c r="A92" s="4">
        <f>Original!A96</f>
        <v>1</v>
      </c>
      <c r="B92" s="4" t="str">
        <f>Original!C96</f>
        <v>New Zealand</v>
      </c>
      <c r="C92" s="4" t="s">
        <v>289</v>
      </c>
      <c r="D92" s="4" t="str">
        <f>Original!G96</f>
        <v>Superannuation</v>
      </c>
      <c r="F92" s="162" t="str">
        <f t="shared" si="2"/>
        <v>New Zealand  |  Superannuation</v>
      </c>
      <c r="G92" s="174">
        <f>IF(Original!AD$96="no data", "", Original!AD$96)</f>
        <v>93.650535675923081</v>
      </c>
      <c r="H92" s="162">
        <f>IF(Original!AD96="no data", "", 1)</f>
        <v>1</v>
      </c>
      <c r="I92" s="174">
        <f>IF(Original!AE$96="no data", "", Original!AE$96*100)</f>
        <v>68.270883786538363</v>
      </c>
    </row>
    <row r="93" spans="1:9">
      <c r="A93" s="4">
        <f>Original!A120</f>
        <v>1</v>
      </c>
      <c r="B93" s="4" t="str">
        <f>Original!C120</f>
        <v>Swaziland</v>
      </c>
      <c r="C93" s="4" t="s">
        <v>289</v>
      </c>
      <c r="D93" s="4" t="str">
        <f>Original!G120</f>
        <v>Old Age Grant</v>
      </c>
      <c r="F93" s="162" t="str">
        <f t="shared" si="2"/>
        <v>Swaziland  |  Old Age Grant</v>
      </c>
      <c r="G93" s="174">
        <f>IF(Original!AD$120="no data", "", Original!AD$120)</f>
        <v>93.660729617083717</v>
      </c>
      <c r="H93" s="162">
        <f>IF(Original!AD120="no data", "", 1)</f>
        <v>1</v>
      </c>
      <c r="I93" s="174">
        <f>IF(Original!AE$120="no data", "", Original!AE$120*100)</f>
        <v>93.660729617083717</v>
      </c>
    </row>
    <row r="94" spans="1:9">
      <c r="A94" s="4">
        <f>Original!A41</f>
        <v>1</v>
      </c>
      <c r="B94" s="4" t="str">
        <f>Original!C41</f>
        <v>Denmark</v>
      </c>
      <c r="C94" s="4" t="s">
        <v>289</v>
      </c>
      <c r="D94" s="4" t="str">
        <f>Original!G41</f>
        <v>Folkepension [national pension - Universal basic pension]</v>
      </c>
      <c r="F94" s="162" t="str">
        <f t="shared" si="2"/>
        <v>Denmark  |  Folkepension [national pension - Universal basic pension]</v>
      </c>
      <c r="G94" s="174">
        <f>IF(Original!AD$41="no data", "", Original!AD$41)</f>
        <v>93.9856125207655</v>
      </c>
      <c r="H94" s="162">
        <f>IF(Original!AD41="no data", "", 1)</f>
        <v>1</v>
      </c>
      <c r="I94" s="174">
        <f>IF(Original!AE$41="no data", "", Original!AE$41*100)</f>
        <v>71.54419217678813</v>
      </c>
    </row>
    <row r="95" spans="1:9">
      <c r="A95" s="4">
        <f>Original!A31</f>
        <v>1</v>
      </c>
      <c r="B95" s="4" t="str">
        <f>Original!C31</f>
        <v>Canada basic</v>
      </c>
      <c r="C95" s="4" t="s">
        <v>289</v>
      </c>
      <c r="D95" s="4" t="str">
        <f>Original!G31</f>
        <v>Pension de la Securite Vieillesse (S.V.) (Old Age Security Pension)</v>
      </c>
      <c r="F95" s="162" t="str">
        <f t="shared" si="2"/>
        <v>Canada basic  |  Pension de la Securite Vieillesse (S.V.) (Old Age Security Pension)</v>
      </c>
      <c r="G95" s="174">
        <f>IF(Original!AD$31="no data", "", Original!AD$31)</f>
        <v>96.095065306777698</v>
      </c>
      <c r="H95" s="162">
        <f>IF(Original!AD31="no data", "", 1)</f>
        <v>1</v>
      </c>
      <c r="I95" s="174">
        <f>IF(Original!AE$31="no data", "", Original!AE$31*100)</f>
        <v>0</v>
      </c>
    </row>
    <row r="96" spans="1:9">
      <c r="A96" s="4">
        <f>Original!A93</f>
        <v>1</v>
      </c>
      <c r="B96" s="4" t="str">
        <f>Original!C93</f>
        <v>Namibia</v>
      </c>
      <c r="C96" s="4" t="s">
        <v>289</v>
      </c>
      <c r="D96" s="4" t="str">
        <f>Original!G93</f>
        <v>Old Age Pension (OAP)</v>
      </c>
      <c r="F96" s="162" t="str">
        <f t="shared" si="2"/>
        <v>Namibia  |  Old Age Pension (OAP)</v>
      </c>
      <c r="G96" s="174">
        <f>IF(Original!AD$93="no data", "", Original!AD$93)</f>
        <v>98.376560425957138</v>
      </c>
      <c r="H96" s="162">
        <f>IF(Original!AD93="no data", "", 1)</f>
        <v>1</v>
      </c>
      <c r="I96" s="174" t="str">
        <f>IF(Original!AE$93="no data", "", Original!AE$93*100)</f>
        <v/>
      </c>
    </row>
    <row r="97" spans="1:9">
      <c r="A97" s="4">
        <f>Original!A24</f>
        <v>1</v>
      </c>
      <c r="B97" s="4" t="str">
        <f>Original!C24</f>
        <v>Bolivia</v>
      </c>
      <c r="C97" s="4" t="s">
        <v>289</v>
      </c>
      <c r="D97" s="4" t="str">
        <f>Original!G24</f>
        <v>Renta Dignidad or Renta Universal de Vejez (previously Bonosol)</v>
      </c>
      <c r="F97" s="162" t="str">
        <f t="shared" si="2"/>
        <v>Bolivia  |  Renta Dignidad or Renta Universal de Vejez (previously Bonosol)</v>
      </c>
      <c r="G97" s="174">
        <f>IF(Original!AD$24="no data", "", Original!AD$24)</f>
        <v>100</v>
      </c>
      <c r="H97" s="162">
        <f>IF(Original!AD24="no data", "", 1)</f>
        <v>1</v>
      </c>
      <c r="I97" s="174">
        <f>IF(Original!AE$24="no data", "", Original!AE$24*100)</f>
        <v>100</v>
      </c>
    </row>
    <row r="98" spans="1:9">
      <c r="A98" s="4">
        <f>Original!A25</f>
        <v>1</v>
      </c>
      <c r="B98" s="4" t="str">
        <f>Original!C25</f>
        <v>Botswana</v>
      </c>
      <c r="C98" s="4" t="s">
        <v>289</v>
      </c>
      <c r="D98" s="4" t="str">
        <f>Original!G25</f>
        <v>Old Age Pension (OAP)</v>
      </c>
      <c r="F98" s="162" t="str">
        <f t="shared" si="2"/>
        <v>Botswana  |  Old Age Pension (OAP)</v>
      </c>
      <c r="G98" s="174">
        <f>IF(Original!AD$25="no data", "", Original!AD$25)</f>
        <v>100</v>
      </c>
      <c r="H98" s="162">
        <f>IF(Original!AD25="no data", "", 1)</f>
        <v>1</v>
      </c>
      <c r="I98" s="174">
        <f>IF(Original!AE$25="no data", "", Original!AE$25*100)</f>
        <v>100</v>
      </c>
    </row>
    <row r="99" spans="1:9">
      <c r="A99" s="4">
        <f>Original!A78</f>
        <v>1</v>
      </c>
      <c r="B99" s="4" t="str">
        <f>Original!C78</f>
        <v>Lesotho</v>
      </c>
      <c r="C99" s="4" t="s">
        <v>289</v>
      </c>
      <c r="D99" s="4" t="str">
        <f>Original!G78</f>
        <v>Old Age Pension</v>
      </c>
      <c r="F99" s="162" t="str">
        <f t="shared" si="2"/>
        <v>Lesotho  |  Old Age Pension</v>
      </c>
      <c r="G99" s="174">
        <f>IF(Original!AD$78="no data", "", Original!AD$78)</f>
        <v>100</v>
      </c>
      <c r="H99" s="162">
        <f>IF(Original!AD78="no data", "", 1)</f>
        <v>1</v>
      </c>
      <c r="I99" s="174">
        <f>IF(Original!AE$78="no data", "", Original!AE$78*100)</f>
        <v>53</v>
      </c>
    </row>
    <row r="100" spans="1:9">
      <c r="A100" s="4">
        <f>Original!A86</f>
        <v>1</v>
      </c>
      <c r="B100" s="4" t="str">
        <f>Original!C86</f>
        <v>Mauritius</v>
      </c>
      <c r="C100" s="4" t="s">
        <v>289</v>
      </c>
      <c r="D100" s="4" t="str">
        <f>Original!G86</f>
        <v>Basic Retirement Pension</v>
      </c>
      <c r="F100" s="162" t="str">
        <f t="shared" si="2"/>
        <v>Mauritius  |  Basic Retirement Pension</v>
      </c>
      <c r="G100" s="174">
        <f>IF(Original!AD$86="no data", "", Original!AD$86)</f>
        <v>100</v>
      </c>
      <c r="H100" s="162">
        <f>IF(Original!AD86="no data", "", 1)</f>
        <v>1</v>
      </c>
      <c r="I100" s="174">
        <f>IF(Original!AE$86="no data", "", Original!AE$86*100)</f>
        <v>100</v>
      </c>
    </row>
    <row r="101" spans="1:9">
      <c r="A101" s="4">
        <f>Original!A95</f>
        <v>1</v>
      </c>
      <c r="B101" s="4" t="str">
        <f>Original!C95</f>
        <v>Netherlands</v>
      </c>
      <c r="C101" s="4" t="s">
        <v>289</v>
      </c>
      <c r="D101" s="4" t="str">
        <f>Original!G95</f>
        <v>Old-age pension</v>
      </c>
      <c r="F101" s="162" t="str">
        <f t="shared" ref="F101:F134" si="3">CONCATENATE(B101,C101,D101)</f>
        <v>Netherlands  |  Old-age pension</v>
      </c>
      <c r="G101" s="174">
        <f>IF(Original!AD$95="no data", "", Original!AD$95)</f>
        <v>100</v>
      </c>
      <c r="H101" s="162">
        <f>IF(Original!AD95="no data", "", 1)</f>
        <v>1</v>
      </c>
      <c r="I101" s="174">
        <f>IF(Original!AE$95="no data", "", Original!AE$95*100)</f>
        <v>80.236051558815262</v>
      </c>
    </row>
    <row r="102" spans="1:9">
      <c r="A102" s="4">
        <f>Original!A112</f>
        <v>1</v>
      </c>
      <c r="B102" s="4" t="str">
        <f>Original!C112</f>
        <v>Seychelles</v>
      </c>
      <c r="C102" s="4" t="s">
        <v>289</v>
      </c>
      <c r="D102" s="4" t="str">
        <f>Original!G112</f>
        <v>Old-age pension (social security fund)</v>
      </c>
      <c r="F102" s="162" t="str">
        <f t="shared" si="3"/>
        <v>Seychelles  |  Old-age pension (social security fund)</v>
      </c>
      <c r="G102" s="174">
        <f>IF(Original!AD$112="no data", "", Original!AD$112)</f>
        <v>100</v>
      </c>
      <c r="H102" s="162">
        <f>IF(Original!AD112="no data", "", 1)</f>
        <v>1</v>
      </c>
      <c r="I102" s="174" t="str">
        <f>IF(Original!AE$112="no data", "", Original!AE$112*100)</f>
        <v/>
      </c>
    </row>
    <row r="103" spans="1:9">
      <c r="A103" s="4">
        <f>Original!A126</f>
        <v>1</v>
      </c>
      <c r="B103" s="4" t="str">
        <f>Original!C126</f>
        <v>Timor-Leste</v>
      </c>
      <c r="C103" s="4" t="s">
        <v>289</v>
      </c>
      <c r="D103" s="4" t="str">
        <f>Original!G126</f>
        <v>Support allowance for the elderly</v>
      </c>
      <c r="F103" s="162" t="str">
        <f t="shared" si="3"/>
        <v>Timor-Leste  |  Support allowance for the elderly</v>
      </c>
      <c r="G103" s="174">
        <f>IF(Original!AD$126="no data", "", Original!AD$126)</f>
        <v>100</v>
      </c>
      <c r="H103" s="162">
        <f>IF(Original!AD126="no data", "", 1)</f>
        <v>1</v>
      </c>
      <c r="I103" s="174">
        <f>IF(Original!AE$126="no data", "", Original!AE$126*100)</f>
        <v>100</v>
      </c>
    </row>
    <row r="104" spans="1:9" hidden="1">
      <c r="A104" s="4">
        <f>Original!A10</f>
        <v>1</v>
      </c>
      <c r="B104" s="4" t="str">
        <f>Original!C10</f>
        <v>Antigua and Barbuda</v>
      </c>
      <c r="C104" s="4" t="s">
        <v>289</v>
      </c>
      <c r="D104" s="4" t="str">
        <f>Original!G10</f>
        <v>Old Age Assistance Programme</v>
      </c>
      <c r="F104" s="162" t="str">
        <f t="shared" si="3"/>
        <v>Antigua and Barbuda  |  Old Age Assistance Programme</v>
      </c>
      <c r="G104" s="174" t="str">
        <f>IF(Original!AD$10="no data", "", Original!AD$10)</f>
        <v/>
      </c>
      <c r="H104" s="162" t="str">
        <f>IF(Original!AD10="no data", "", 1)</f>
        <v/>
      </c>
      <c r="I104" s="174" t="str">
        <f>IF(Original!AE$10="no data", "", Original!AE$10*100)</f>
        <v/>
      </c>
    </row>
    <row r="105" spans="1:9" hidden="1">
      <c r="A105" s="4">
        <f>Original!A12</f>
        <v>1</v>
      </c>
      <c r="B105" s="4" t="str">
        <f>Original!C12</f>
        <v>Armenia</v>
      </c>
      <c r="C105" s="4" t="s">
        <v>289</v>
      </c>
      <c r="D105" s="4" t="str">
        <f>Original!G12</f>
        <v>Old Age Social Pension</v>
      </c>
      <c r="F105" s="162" t="str">
        <f t="shared" si="3"/>
        <v>Armenia  |  Old Age Social Pension</v>
      </c>
      <c r="G105" s="174" t="str">
        <f>IF(Original!AD$12="no data", "", Original!AD$12)</f>
        <v/>
      </c>
      <c r="H105" s="162" t="str">
        <f>IF(Original!AD12="no data", "", 1)</f>
        <v/>
      </c>
      <c r="I105" s="174" t="str">
        <f>IF(Original!AE$12="no data", "", Original!AE$12*100)</f>
        <v/>
      </c>
    </row>
    <row r="106" spans="1:9" hidden="1">
      <c r="A106" s="4">
        <f>Original!A23</f>
        <v>1</v>
      </c>
      <c r="B106" s="4" t="str">
        <f>Original!C23</f>
        <v>Bermuda</v>
      </c>
      <c r="C106" s="4" t="s">
        <v>289</v>
      </c>
      <c r="D106" s="4" t="str">
        <f>Original!G23</f>
        <v>Non-contibutory old age pension</v>
      </c>
      <c r="F106" s="162" t="str">
        <f t="shared" si="3"/>
        <v>Bermuda  |  Non-contibutory old age pension</v>
      </c>
      <c r="G106" s="174" t="str">
        <f>IF(Original!AD$23="no data", "", Original!AD$23)</f>
        <v/>
      </c>
      <c r="H106" s="162" t="str">
        <f>IF(Original!AD23="no data", "", 1)</f>
        <v/>
      </c>
      <c r="I106" s="174" t="str">
        <f>IF(Original!AE$23="no data", "", Original!AE$23*100)</f>
        <v/>
      </c>
    </row>
    <row r="107" spans="1:9" hidden="1">
      <c r="A107" s="4">
        <f>Original!A35</f>
        <v>1</v>
      </c>
      <c r="B107" s="4" t="str">
        <f>Original!C35</f>
        <v>Cook Islands</v>
      </c>
      <c r="C107" s="4" t="s">
        <v>289</v>
      </c>
      <c r="D107" s="4" t="str">
        <f>Original!G35</f>
        <v>Old Age Pension</v>
      </c>
      <c r="F107" s="162" t="str">
        <f t="shared" si="3"/>
        <v>Cook Islands  |  Old Age Pension</v>
      </c>
      <c r="G107" s="174" t="str">
        <f>IF(Original!AD$35="no data", "", Original!AD$35)</f>
        <v/>
      </c>
      <c r="H107" s="162" t="str">
        <f>IF(Original!AD35="no data", "", 1)</f>
        <v/>
      </c>
      <c r="I107" s="174" t="str">
        <f>IF(Original!AE$35="no data", "", Original!AE$35*100)</f>
        <v/>
      </c>
    </row>
    <row r="108" spans="1:9" hidden="1">
      <c r="A108" s="4">
        <f>Original!A38</f>
        <v>1</v>
      </c>
      <c r="B108" s="4" t="str">
        <f>Original!C38</f>
        <v>Czech republic</v>
      </c>
      <c r="C108" s="4" t="s">
        <v>289</v>
      </c>
      <c r="D108" s="4" t="str">
        <f>Original!G38</f>
        <v>Basic pension</v>
      </c>
      <c r="F108" s="162" t="str">
        <f t="shared" si="3"/>
        <v>Czech republic  |  Basic pension</v>
      </c>
      <c r="G108" s="174" t="str">
        <f>IF(Original!AD$38="no data", "", Original!AD$38)</f>
        <v/>
      </c>
      <c r="H108" s="162" t="str">
        <f>IF(Original!AD38="no data", "", 1)</f>
        <v/>
      </c>
      <c r="I108" s="174">
        <f>IF(Original!AE$38="no data", "", Original!AE$38*100)</f>
        <v>0</v>
      </c>
    </row>
    <row r="109" spans="1:9" hidden="1">
      <c r="A109" s="4">
        <f>Original!A39</f>
        <v>1</v>
      </c>
      <c r="B109" s="4" t="str">
        <f>Original!C39</f>
        <v>Czech republic</v>
      </c>
      <c r="C109" s="4" t="s">
        <v>289</v>
      </c>
      <c r="D109" s="4" t="str">
        <f>Original!G39</f>
        <v>Targeted pension</v>
      </c>
      <c r="F109" s="162" t="str">
        <f t="shared" si="3"/>
        <v>Czech republic  |  Targeted pension</v>
      </c>
      <c r="G109" s="174" t="str">
        <f>IF(Original!AD$39="no data", "", Original!AD$39)</f>
        <v/>
      </c>
      <c r="H109" s="162" t="str">
        <f>IF(Original!AD39="no data", "", 1)</f>
        <v/>
      </c>
      <c r="I109" s="174">
        <f>IF(Original!AE$39="no data", "", Original!AE$39*100)</f>
        <v>0</v>
      </c>
    </row>
    <row r="110" spans="1:9" hidden="1">
      <c r="A110" s="4">
        <f>Original!A40</f>
        <v>0</v>
      </c>
      <c r="B110" s="4" t="str">
        <f>Original!C40</f>
        <v>Czech republic</v>
      </c>
      <c r="C110" s="4" t="s">
        <v>289</v>
      </c>
      <c r="D110" s="4" t="str">
        <f>Original!G40</f>
        <v>Minimum pension</v>
      </c>
      <c r="F110" s="162" t="str">
        <f t="shared" si="3"/>
        <v>Czech republic  |  Minimum pension</v>
      </c>
      <c r="G110" s="174" t="str">
        <f>IF(Original!AD$40="no data", "", Original!AD$40)</f>
        <v/>
      </c>
      <c r="H110" s="162" t="str">
        <f>IF(Original!AD40="no data", "", 1)</f>
        <v/>
      </c>
      <c r="I110" s="174">
        <f>IF(Original!AE$40="no data", "", Original!AE$40*100)</f>
        <v>0</v>
      </c>
    </row>
    <row r="111" spans="1:9" hidden="1">
      <c r="A111" s="4">
        <f>Original!A42</f>
        <v>1</v>
      </c>
      <c r="B111" s="4" t="str">
        <f>Original!C42</f>
        <v>Dominican republic</v>
      </c>
      <c r="C111" s="4" t="s">
        <v>289</v>
      </c>
      <c r="D111" s="4" t="str">
        <f>Original!G42</f>
        <v>Programa Nonagenarios (Nonagarians Programme)</v>
      </c>
      <c r="F111" s="162" t="str">
        <f t="shared" si="3"/>
        <v>Dominican republic  |  Programa Nonagenarios (Nonagarians Programme)</v>
      </c>
      <c r="G111" s="174" t="str">
        <f>IF(Original!AD$42="no data", "", Original!AD$42)</f>
        <v/>
      </c>
      <c r="H111" s="162" t="str">
        <f>IF(Original!AD42="no data", "", 1)</f>
        <v/>
      </c>
      <c r="I111" s="174" t="str">
        <f>IF(Original!AE$42="no data", "", Original!AE$42*100)</f>
        <v/>
      </c>
    </row>
    <row r="112" spans="1:9" hidden="1">
      <c r="A112" s="4">
        <f>Original!A57</f>
        <v>1</v>
      </c>
      <c r="B112" s="4" t="str">
        <f>Original!C57</f>
        <v>Hungary</v>
      </c>
      <c r="C112" s="4" t="s">
        <v>289</v>
      </c>
      <c r="D112" s="4" t="str">
        <f>Original!G57</f>
        <v>Idoskoruak jaradeka (Old Age Allowance)</v>
      </c>
      <c r="F112" s="162" t="str">
        <f t="shared" si="3"/>
        <v>Hungary  |  Idoskoruak jaradeka (Old Age Allowance)</v>
      </c>
      <c r="G112" s="174" t="str">
        <f>IF(Original!AD$57="no data", "", Original!AD$57)</f>
        <v/>
      </c>
      <c r="H112" s="162" t="str">
        <f>IF(Original!AD57="no data", "", 1)</f>
        <v/>
      </c>
      <c r="I112" s="174" t="str">
        <f>IF(Original!AE$57="no data", "", Original!AE$57*100)</f>
        <v/>
      </c>
    </row>
    <row r="113" spans="1:9" hidden="1">
      <c r="A113" s="4">
        <f>Original!A58</f>
        <v>0</v>
      </c>
      <c r="B113" s="4" t="str">
        <f>Original!C58</f>
        <v>Iceland</v>
      </c>
      <c r="C113" s="4" t="s">
        <v>289</v>
      </c>
      <c r="D113" s="4" t="str">
        <f>Original!G58</f>
        <v>Targeted pension</v>
      </c>
      <c r="F113" s="162" t="str">
        <f t="shared" si="3"/>
        <v>Iceland  |  Targeted pension</v>
      </c>
      <c r="G113" s="174" t="str">
        <f>IF(Original!AD$58="no data", "", Original!AD$58)</f>
        <v/>
      </c>
      <c r="H113" s="162" t="str">
        <f>IF(Original!AD58="no data", "", 1)</f>
        <v/>
      </c>
      <c r="I113" s="174">
        <f>IF(Original!AE$58="no data", "", Original!AE$58*100)</f>
        <v>0</v>
      </c>
    </row>
    <row r="114" spans="1:9" hidden="1">
      <c r="A114" s="4">
        <f>Original!A62</f>
        <v>0</v>
      </c>
      <c r="B114" s="4" t="str">
        <f>Original!C62</f>
        <v>Ireland</v>
      </c>
      <c r="C114" s="4" t="s">
        <v>289</v>
      </c>
      <c r="D114" s="4" t="str">
        <f>Original!G62</f>
        <v>Basic pension</v>
      </c>
      <c r="F114" s="162" t="str">
        <f t="shared" si="3"/>
        <v>Ireland  |  Basic pension</v>
      </c>
      <c r="G114" s="174" t="str">
        <f>IF(Original!AD$62="no data", "", Original!AD$62)</f>
        <v/>
      </c>
      <c r="H114" s="162" t="str">
        <f>IF(Original!AD62="no data", "", 1)</f>
        <v/>
      </c>
      <c r="I114" s="174">
        <f>IF(Original!AE$62="no data", "", Original!AE$62*100)</f>
        <v>0</v>
      </c>
    </row>
    <row r="115" spans="1:9" hidden="1">
      <c r="A115" s="4">
        <f>Original!A64</f>
        <v>1</v>
      </c>
      <c r="B115" s="4" t="str">
        <f>Original!C64</f>
        <v>Israel</v>
      </c>
      <c r="C115" s="4" t="s">
        <v>289</v>
      </c>
      <c r="D115" s="4" t="str">
        <f>Original!G64</f>
        <v>Income support benefit | Special old age benefit</v>
      </c>
      <c r="F115" s="162" t="str">
        <f t="shared" si="3"/>
        <v>Israel  |  Income support benefit | Special old age benefit</v>
      </c>
      <c r="G115" s="174" t="str">
        <f>IF(Original!AD$64="no data", "", Original!AD$64)</f>
        <v/>
      </c>
      <c r="H115" s="162" t="str">
        <f>IF(Original!AD64="no data", "", 1)</f>
        <v/>
      </c>
      <c r="I115" s="174" t="str">
        <f>IF(Original!AE$64="no data", "", Original!AE$64*100)</f>
        <v/>
      </c>
    </row>
    <row r="116" spans="1:9" hidden="1">
      <c r="A116" s="4">
        <f>Original!A68</f>
        <v>1</v>
      </c>
      <c r="B116" s="4" t="str">
        <f>Original!C68</f>
        <v>Japan</v>
      </c>
      <c r="C116" s="4" t="s">
        <v>289</v>
      </c>
      <c r="D116" s="4" t="str">
        <f>Original!G68</f>
        <v>Basic pension</v>
      </c>
      <c r="F116" s="162" t="str">
        <f t="shared" si="3"/>
        <v>Japan  |  Basic pension</v>
      </c>
      <c r="G116" s="174" t="str">
        <f>IF(Original!AD$68="no data", "", Original!AD$68)</f>
        <v/>
      </c>
      <c r="H116" s="162" t="str">
        <f>IF(Original!AD68="no data", "", 1)</f>
        <v/>
      </c>
      <c r="I116" s="174">
        <f>IF(Original!AE$68="no data", "", Original!AE$68*100)</f>
        <v>0</v>
      </c>
    </row>
    <row r="117" spans="1:9" hidden="1">
      <c r="A117" s="4">
        <f>Original!A70</f>
        <v>1</v>
      </c>
      <c r="B117" s="4" t="str">
        <f>Original!C70</f>
        <v>Kazakhstan</v>
      </c>
      <c r="C117" s="4" t="s">
        <v>289</v>
      </c>
      <c r="D117" s="4" t="str">
        <f>Original!G70</f>
        <v>State social benefit</v>
      </c>
      <c r="F117" s="162" t="str">
        <f t="shared" si="3"/>
        <v>Kazakhstan  |  State social benefit</v>
      </c>
      <c r="G117" s="174" t="str">
        <f>IF(Original!AD$70="no data", "", Original!AD$70)</f>
        <v/>
      </c>
      <c r="H117" s="162" t="str">
        <f>IF(Original!AD70="no data", "", 1)</f>
        <v/>
      </c>
      <c r="I117" s="174" t="str">
        <f>IF(Original!AE$70="no data", "", Original!AE$70*100)</f>
        <v/>
      </c>
    </row>
    <row r="118" spans="1:9" hidden="1">
      <c r="A118" s="4">
        <f>Original!A72</f>
        <v>1</v>
      </c>
      <c r="B118" s="4" t="str">
        <f>Original!C72</f>
        <v>Kenya</v>
      </c>
      <c r="C118" s="4" t="s">
        <v>289</v>
      </c>
      <c r="D118" s="4" t="str">
        <f>Original!G72</f>
        <v>Hunger Safety Net Programme, Pilot (universal pension)</v>
      </c>
      <c r="F118" s="162" t="str">
        <f t="shared" si="3"/>
        <v>Kenya  |  Hunger Safety Net Programme, Pilot (universal pension)</v>
      </c>
      <c r="G118" s="174" t="str">
        <f>IF(Original!AD$72="no data", "", Original!AD$72)</f>
        <v/>
      </c>
      <c r="H118" s="162" t="str">
        <f>IF(Original!AD72="no data", "", 1)</f>
        <v/>
      </c>
      <c r="I118" s="174" t="str">
        <f>IF(Original!AE$72="no data", "", Original!AE$72*100)</f>
        <v/>
      </c>
    </row>
    <row r="119" spans="1:9" hidden="1">
      <c r="A119" s="4">
        <f>Original!A73</f>
        <v>1</v>
      </c>
      <c r="B119" s="4" t="str">
        <f>Original!C73</f>
        <v>Kiribati</v>
      </c>
      <c r="C119" s="4" t="s">
        <v>289</v>
      </c>
      <c r="D119" s="4" t="str">
        <f>Original!G73</f>
        <v>Elderly pension</v>
      </c>
      <c r="F119" s="162" t="str">
        <f t="shared" si="3"/>
        <v>Kiribati  |  Elderly pension</v>
      </c>
      <c r="G119" s="174" t="str">
        <f>IF(Original!AD$73="no data", "", Original!AD$73)</f>
        <v/>
      </c>
      <c r="H119" s="162" t="str">
        <f>IF(Original!AD73="no data", "", 1)</f>
        <v/>
      </c>
      <c r="I119" s="174" t="str">
        <f>IF(Original!AE$73="no data", "", Original!AE$73*100)</f>
        <v/>
      </c>
    </row>
    <row r="120" spans="1:9" hidden="1">
      <c r="A120" s="4">
        <f>Original!A76</f>
        <v>1</v>
      </c>
      <c r="B120" s="4" t="str">
        <f>Original!C76</f>
        <v>Kyrgyzstan</v>
      </c>
      <c r="C120" s="4" t="s">
        <v>289</v>
      </c>
      <c r="D120" s="4" t="str">
        <f>Original!G76</f>
        <v>Social assistance allowance (old age)</v>
      </c>
      <c r="F120" s="162" t="str">
        <f t="shared" si="3"/>
        <v>Kyrgyzstan  |  Social assistance allowance (old age)</v>
      </c>
      <c r="G120" s="174" t="str">
        <f>IF(Original!AD$76="no data", "", Original!AD$76)</f>
        <v/>
      </c>
      <c r="H120" s="162" t="str">
        <f>IF(Original!AD76="no data", "", 1)</f>
        <v/>
      </c>
      <c r="I120" s="174" t="str">
        <f>IF(Original!AE$76="no data", "", Original!AE$76*100)</f>
        <v/>
      </c>
    </row>
    <row r="121" spans="1:9" hidden="1">
      <c r="A121" s="4">
        <f>Original!A77</f>
        <v>1</v>
      </c>
      <c r="B121" s="4" t="str">
        <f>Original!C77</f>
        <v>Latvia</v>
      </c>
      <c r="C121" s="4" t="s">
        <v>289</v>
      </c>
      <c r="D121" s="4" t="str">
        <f>Original!G77</f>
        <v>State social security benefit</v>
      </c>
      <c r="F121" s="162" t="str">
        <f t="shared" si="3"/>
        <v>Latvia  |  State social security benefit</v>
      </c>
      <c r="G121" s="174" t="str">
        <f>IF(Original!AD$77="no data", "", Original!AD$77)</f>
        <v/>
      </c>
      <c r="H121" s="162" t="str">
        <f>IF(Original!AD77="no data", "", 1)</f>
        <v/>
      </c>
      <c r="I121" s="174" t="str">
        <f>IF(Original!AE$77="no data", "", Original!AE$77*100)</f>
        <v/>
      </c>
    </row>
    <row r="122" spans="1:9" hidden="1">
      <c r="A122" s="4">
        <f>Original!A79</f>
        <v>1</v>
      </c>
      <c r="B122" s="4" t="str">
        <f>Original!C79</f>
        <v>Lithuania</v>
      </c>
      <c r="C122" s="4" t="s">
        <v>289</v>
      </c>
      <c r="D122" s="4" t="str">
        <f>Original!G79</f>
        <v>Old age social assistance pension</v>
      </c>
      <c r="F122" s="162" t="str">
        <f t="shared" si="3"/>
        <v>Lithuania  |  Old age social assistance pension</v>
      </c>
      <c r="G122" s="174" t="str">
        <f>IF(Original!AD$79="no data", "", Original!AD$79)</f>
        <v/>
      </c>
      <c r="H122" s="162" t="str">
        <f>IF(Original!AD79="no data", "", 1)</f>
        <v/>
      </c>
      <c r="I122" s="174" t="str">
        <f>IF(Original!AE$79="no data", "", Original!AE$79*100)</f>
        <v/>
      </c>
    </row>
    <row r="123" spans="1:9" hidden="1">
      <c r="A123" s="4">
        <f>Original!A80</f>
        <v>1</v>
      </c>
      <c r="B123" s="4" t="str">
        <f>Original!C80</f>
        <v>Luxembourg</v>
      </c>
      <c r="C123" s="4" t="s">
        <v>289</v>
      </c>
      <c r="D123" s="4" t="str">
        <f>Original!G80</f>
        <v>Basic pension</v>
      </c>
      <c r="F123" s="162" t="str">
        <f t="shared" si="3"/>
        <v>Luxembourg  |  Basic pension</v>
      </c>
      <c r="G123" s="174" t="str">
        <f>IF(Original!AD$80="no data", "", Original!AD$80)</f>
        <v/>
      </c>
      <c r="H123" s="162" t="str">
        <f>IF(Original!AD80="no data", "", 1)</f>
        <v/>
      </c>
      <c r="I123" s="174">
        <f>IF(Original!AE$80="no data", "", Original!AE$80*100)</f>
        <v>0</v>
      </c>
    </row>
    <row r="124" spans="1:9" hidden="1">
      <c r="A124" s="4">
        <f>Original!A81</f>
        <v>1</v>
      </c>
      <c r="B124" s="4" t="str">
        <f>Original!C81</f>
        <v>Luxembourg</v>
      </c>
      <c r="C124" s="4" t="s">
        <v>289</v>
      </c>
      <c r="D124" s="4" t="str">
        <f>Original!G81</f>
        <v>Targeted pension</v>
      </c>
      <c r="F124" s="162" t="str">
        <f t="shared" si="3"/>
        <v>Luxembourg  |  Targeted pension</v>
      </c>
      <c r="G124" s="174" t="str">
        <f>IF(Original!AD$81="no data", "", Original!AD$81)</f>
        <v/>
      </c>
      <c r="H124" s="162" t="str">
        <f>IF(Original!AD81="no data", "", 1)</f>
        <v/>
      </c>
      <c r="I124" s="174">
        <f>IF(Original!AE$81="no data", "", Original!AE$81*100)</f>
        <v>0</v>
      </c>
    </row>
    <row r="125" spans="1:9" hidden="1">
      <c r="A125" s="4">
        <f>Original!A82</f>
        <v>0</v>
      </c>
      <c r="B125" s="4" t="str">
        <f>Original!C82</f>
        <v>Luxembourg</v>
      </c>
      <c r="C125" s="4" t="s">
        <v>289</v>
      </c>
      <c r="D125" s="4" t="str">
        <f>Original!G82</f>
        <v>Minimum pension</v>
      </c>
      <c r="F125" s="162" t="str">
        <f t="shared" si="3"/>
        <v>Luxembourg  |  Minimum pension</v>
      </c>
      <c r="G125" s="174" t="str">
        <f>IF(Original!AD$82="no data", "", Original!AD$82)</f>
        <v/>
      </c>
      <c r="H125" s="162" t="str">
        <f>IF(Original!AD82="no data", "", 1)</f>
        <v/>
      </c>
      <c r="I125" s="174">
        <f>IF(Original!AE$82="no data", "", Original!AE$82*100)</f>
        <v>0</v>
      </c>
    </row>
    <row r="126" spans="1:9" hidden="1">
      <c r="A126" s="4">
        <f>Original!A85</f>
        <v>1</v>
      </c>
      <c r="B126" s="4" t="str">
        <f>Original!C85</f>
        <v>Malta</v>
      </c>
      <c r="C126" s="4" t="s">
        <v>289</v>
      </c>
      <c r="D126" s="4" t="str">
        <f>Original!G85</f>
        <v>Old-age noncontributory pension</v>
      </c>
      <c r="F126" s="162" t="str">
        <f t="shared" si="3"/>
        <v>Malta  |  Old-age noncontributory pension</v>
      </c>
      <c r="G126" s="174" t="str">
        <f>IF(Original!AD$85="no data", "", Original!AD$85)</f>
        <v/>
      </c>
      <c r="H126" s="162" t="str">
        <f>IF(Original!AD85="no data", "", 1)</f>
        <v/>
      </c>
      <c r="I126" s="174" t="str">
        <f>IF(Original!AE$85="no data", "", Original!AE$85*100)</f>
        <v/>
      </c>
    </row>
    <row r="127" spans="1:9" hidden="1">
      <c r="A127" s="4">
        <f>Original!A90</f>
        <v>0</v>
      </c>
      <c r="B127" s="4" t="str">
        <f>Original!C90</f>
        <v>Mexico</v>
      </c>
      <c r="C127" s="4" t="s">
        <v>289</v>
      </c>
      <c r="D127" s="4" t="str">
        <f>Original!G90</f>
        <v>Minimum pension</v>
      </c>
      <c r="F127" s="162" t="str">
        <f t="shared" si="3"/>
        <v>Mexico  |  Minimum pension</v>
      </c>
      <c r="G127" s="174" t="str">
        <f>IF(Original!AD$90="no data", "", Original!AD$90)</f>
        <v/>
      </c>
      <c r="H127" s="162" t="str">
        <f>IF(Original!AD90="no data", "", 1)</f>
        <v/>
      </c>
      <c r="I127" s="174">
        <f>IF(Original!AE$90="no data", "", Original!AE$90*100)</f>
        <v>0</v>
      </c>
    </row>
    <row r="128" spans="1:9" hidden="1">
      <c r="A128" s="4">
        <f>Original!A99</f>
        <v>0</v>
      </c>
      <c r="B128" s="4" t="str">
        <f>Original!C99</f>
        <v>Norway</v>
      </c>
      <c r="C128" s="4" t="s">
        <v>289</v>
      </c>
      <c r="D128" s="4" t="str">
        <f>Original!G99</f>
        <v>Minimum pension</v>
      </c>
      <c r="F128" s="162" t="str">
        <f t="shared" si="3"/>
        <v>Norway  |  Minimum pension</v>
      </c>
      <c r="G128" s="174" t="str">
        <f>IF(Original!AD$99="no data", "", Original!AD$99)</f>
        <v/>
      </c>
      <c r="H128" s="162" t="str">
        <f>IF(Original!AD99="no data", "", 1)</f>
        <v/>
      </c>
      <c r="I128" s="174">
        <f>IF(Original!AE$99="no data", "", Original!AE$99*100)</f>
        <v>0</v>
      </c>
    </row>
    <row r="129" spans="1:9" hidden="1">
      <c r="A129" s="4">
        <f>Original!A105</f>
        <v>0</v>
      </c>
      <c r="B129" s="4" t="str">
        <f>Original!C105</f>
        <v>Poland</v>
      </c>
      <c r="C129" s="4" t="s">
        <v>289</v>
      </c>
      <c r="D129" s="4" t="str">
        <f>Original!G105</f>
        <v>Minimum pension</v>
      </c>
      <c r="F129" s="162" t="str">
        <f t="shared" si="3"/>
        <v>Poland  |  Minimum pension</v>
      </c>
      <c r="G129" s="174" t="str">
        <f>IF(Original!AD$105="no data", "", Original!AD$105)</f>
        <v/>
      </c>
      <c r="H129" s="162" t="str">
        <f>IF(Original!AD105="no data", "", 1)</f>
        <v/>
      </c>
      <c r="I129" s="174">
        <f>IF(Original!AE$105="no data", "", Original!AE$105*100)</f>
        <v>0</v>
      </c>
    </row>
    <row r="130" spans="1:9" hidden="1">
      <c r="A130" s="4">
        <f>Original!A109</f>
        <v>1</v>
      </c>
      <c r="B130" s="4" t="str">
        <f>Original!C109</f>
        <v>Saint Vincent and the Grenadines</v>
      </c>
      <c r="C130" s="4" t="s">
        <v>289</v>
      </c>
      <c r="D130" s="4" t="str">
        <f>Original!G109</f>
        <v>Elderly Assistance Benefit</v>
      </c>
      <c r="F130" s="162" t="str">
        <f t="shared" si="3"/>
        <v>Saint Vincent and the Grenadines  |  Elderly Assistance Benefit</v>
      </c>
      <c r="G130" s="174" t="str">
        <f>IF(Original!AD$109="no data", "", Original!AD$109)</f>
        <v/>
      </c>
      <c r="H130" s="162" t="str">
        <f>IF(Original!AD109="no data", "", 1)</f>
        <v/>
      </c>
      <c r="I130" s="174" t="str">
        <f>IF(Original!AE$109="no data", "", Original!AE$109*100)</f>
        <v/>
      </c>
    </row>
    <row r="131" spans="1:9" hidden="1">
      <c r="A131" s="4">
        <f>Original!A123</f>
        <v>0</v>
      </c>
      <c r="B131" s="4" t="str">
        <f>Original!C123</f>
        <v>Switzerland</v>
      </c>
      <c r="C131" s="4" t="s">
        <v>289</v>
      </c>
      <c r="D131" s="4" t="str">
        <f>Original!G123</f>
        <v>Minimum pension</v>
      </c>
      <c r="F131" s="162" t="str">
        <f t="shared" si="3"/>
        <v>Switzerland  |  Minimum pension</v>
      </c>
      <c r="G131" s="174" t="str">
        <f>IF(Original!AD$123="no data", "", Original!AD$123)</f>
        <v/>
      </c>
      <c r="H131" s="162" t="str">
        <f>IF(Original!AD123="no data", "", 1)</f>
        <v/>
      </c>
      <c r="I131" s="174">
        <f>IF(Original!AE$123="no data", "", Original!AE$123*100)</f>
        <v>0</v>
      </c>
    </row>
    <row r="132" spans="1:9" hidden="1">
      <c r="A132" s="4">
        <f>Original!A124</f>
        <v>1</v>
      </c>
      <c r="B132" s="4" t="str">
        <f>Original!C124</f>
        <v>Tajikistan</v>
      </c>
      <c r="C132" s="4" t="s">
        <v>289</v>
      </c>
      <c r="D132" s="4" t="str">
        <f>Original!G124</f>
        <v>Old age pension</v>
      </c>
      <c r="F132" s="162" t="str">
        <f t="shared" si="3"/>
        <v>Tajikistan  |  Old age pension</v>
      </c>
      <c r="G132" s="174" t="str">
        <f>IF(Original!AD$124="no data", "", Original!AD$124)</f>
        <v/>
      </c>
      <c r="H132" s="162" t="str">
        <f>IF(Original!AD124="no data", "", 1)</f>
        <v/>
      </c>
      <c r="I132" s="174" t="str">
        <f>IF(Original!AE$124="no data", "", Original!AE$124*100)</f>
        <v/>
      </c>
    </row>
    <row r="133" spans="1:9" hidden="1">
      <c r="A133" s="4">
        <f>Original!A128</f>
        <v>1</v>
      </c>
      <c r="B133" s="4" t="str">
        <f>Original!C128</f>
        <v>Turkey</v>
      </c>
      <c r="C133" s="4" t="s">
        <v>289</v>
      </c>
      <c r="D133" s="4" t="str">
        <f>Original!G128</f>
        <v>Means-tested Old Age Pension</v>
      </c>
      <c r="F133" s="162" t="str">
        <f t="shared" si="3"/>
        <v>Turkey  |  Means-tested Old Age Pension</v>
      </c>
      <c r="G133" s="174" t="str">
        <f>IF(Original!AD$128="no data", "", Original!AD$128)</f>
        <v/>
      </c>
      <c r="H133" s="162" t="str">
        <f>IF(Original!AD128="no data", "", 1)</f>
        <v/>
      </c>
      <c r="I133" s="174" t="str">
        <f>IF(Original!AE$128="no data", "", Original!AE$128*100)</f>
        <v/>
      </c>
    </row>
    <row r="134" spans="1:9" hidden="1">
      <c r="A134" s="4">
        <f>Original!A129</f>
        <v>1</v>
      </c>
      <c r="B134" s="4" t="str">
        <f>Original!C129</f>
        <v>Turkmenistan</v>
      </c>
      <c r="C134" s="4" t="s">
        <v>289</v>
      </c>
      <c r="D134" s="4" t="str">
        <f>Original!G129</f>
        <v xml:space="preserve">Social Allowance </v>
      </c>
      <c r="F134" s="162" t="str">
        <f t="shared" si="3"/>
        <v xml:space="preserve">Turkmenistan  |  Social Allowance </v>
      </c>
      <c r="G134" s="174" t="str">
        <f>IF(Original!AD$129="no data", "", Original!AD$129)</f>
        <v/>
      </c>
      <c r="H134" s="162" t="str">
        <f>IF(Original!AD129="no data", "", 1)</f>
        <v/>
      </c>
      <c r="I134" s="174" t="str">
        <f>IF(Original!AE$129="no data", "", Original!AE$129*100)</f>
        <v/>
      </c>
    </row>
    <row r="135" spans="1:9">
      <c r="F135" s="162"/>
      <c r="G135" s="174"/>
      <c r="H135" s="162"/>
      <c r="I135" s="174">
        <f>IF(Original!AE$140="no data", "", Original!AE$140*100)</f>
        <v>0</v>
      </c>
    </row>
  </sheetData>
  <autoFilter ref="A4:I134">
    <filterColumn colId="0">
      <filters>
        <filter val="1"/>
      </filters>
    </filterColumn>
    <filterColumn colId="6">
      <filters>
        <filter val="0,1"/>
        <filter val="0,3"/>
        <filter val="0,4"/>
        <filter val="0,5"/>
        <filter val="0,8"/>
        <filter val="1,0"/>
        <filter val="1,3"/>
        <filter val="1,5"/>
        <filter val="100,0"/>
        <filter val="11,0"/>
        <filter val="11,6"/>
        <filter val="12,0"/>
        <filter val="12,4"/>
        <filter val="12,6"/>
        <filter val="14,5"/>
        <filter val="14,9"/>
        <filter val="16,2"/>
        <filter val="16,9"/>
        <filter val="19,3"/>
        <filter val="19,5"/>
        <filter val="2,0"/>
        <filter val="2,2"/>
        <filter val="2,3"/>
        <filter val="2,5"/>
        <filter val="2,6"/>
        <filter val="2,9"/>
        <filter val="20,2"/>
        <filter val="21,6"/>
        <filter val="22,0"/>
        <filter val="23,9"/>
        <filter val="28,0"/>
        <filter val="28,3"/>
        <filter val="3,0"/>
        <filter val="3,2"/>
        <filter val="3,3"/>
        <filter val="33,8"/>
        <filter val="34,0"/>
        <filter val="36,3"/>
        <filter val="37,5"/>
        <filter val="37,6"/>
        <filter val="38,4"/>
        <filter val="39,1"/>
        <filter val="4,4"/>
        <filter val="4,9"/>
        <filter val="47,9"/>
        <filter val="5,0"/>
        <filter val="5,1"/>
        <filter val="5,2"/>
        <filter val="51,2"/>
        <filter val="53,0"/>
        <filter val="55,6"/>
        <filter val="56,7"/>
        <filter val="59,0"/>
        <filter val="6,1"/>
        <filter val="60,0"/>
        <filter val="69,1"/>
        <filter val="7,2"/>
        <filter val="7,3"/>
        <filter val="70,6"/>
        <filter val="70,7"/>
        <filter val="71,9"/>
        <filter val="77,9"/>
        <filter val="79,3"/>
        <filter val="8,3"/>
        <filter val="81,7"/>
        <filter val="88,3"/>
        <filter val="89,6"/>
        <filter val="9,1"/>
        <filter val="9,6"/>
        <filter val="9,7"/>
        <filter val="91,7"/>
        <filter val="91,9"/>
        <filter val="92,4"/>
        <filter val="93,1"/>
        <filter val="93,7"/>
        <filter val="94,0"/>
        <filter val="96,1"/>
        <filter val="98,4"/>
      </filters>
    </filterColumn>
  </autoFilter>
  <sortState ref="A5:I135">
    <sortCondition ref="G5:G13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6"/>
  <sheetViews>
    <sheetView topLeftCell="E67" workbookViewId="0">
      <selection activeCell="I86" sqref="I86"/>
    </sheetView>
  </sheetViews>
  <sheetFormatPr baseColWidth="10" defaultColWidth="11" defaultRowHeight="12.75"/>
  <cols>
    <col min="1" max="1" width="11" style="164"/>
    <col min="2" max="2" width="16.625" style="164" customWidth="1"/>
    <col min="3" max="3" width="11" style="164"/>
    <col min="4" max="4" width="41" style="164" customWidth="1"/>
    <col min="5" max="5" width="36.875" style="164" customWidth="1"/>
    <col min="6" max="7" width="31.625" style="164" customWidth="1"/>
    <col min="8" max="8" width="11" style="167"/>
    <col min="9" max="16384" width="11" style="164"/>
  </cols>
  <sheetData>
    <row r="1" spans="1:9">
      <c r="E1" s="166" t="s">
        <v>557</v>
      </c>
      <c r="F1" s="166"/>
      <c r="G1" s="166"/>
    </row>
    <row r="2" spans="1:9" ht="13.5" thickBot="1">
      <c r="F2" s="166"/>
      <c r="G2" s="166"/>
    </row>
    <row r="3" spans="1:9" ht="22.5">
      <c r="A3" s="186"/>
      <c r="B3" s="186"/>
      <c r="C3" s="186"/>
      <c r="D3" s="186"/>
      <c r="E3" s="187" t="s">
        <v>113</v>
      </c>
      <c r="F3" s="188" t="s">
        <v>115</v>
      </c>
      <c r="G3" s="188"/>
      <c r="H3" s="188" t="s">
        <v>244</v>
      </c>
      <c r="I3" s="188" t="s">
        <v>137</v>
      </c>
    </row>
    <row r="4" spans="1:9" ht="38.25">
      <c r="A4" s="185">
        <f>'Data for Graph complete'!A$56</f>
        <v>1</v>
      </c>
      <c r="B4" s="177" t="str">
        <f>'Data for Graph complete'!B$56</f>
        <v xml:space="preserve">Indonesia </v>
      </c>
      <c r="C4" s="177" t="str">
        <f>'Data for Graph complete'!C$56</f>
        <v xml:space="preserve">  |  </v>
      </c>
      <c r="D4" s="177" t="str">
        <f>'Data for Graph complete'!D$56</f>
        <v>Program Jaminan Sosial Lanjut Usia (Elderly Social Security Programme) (Pilot)</v>
      </c>
      <c r="E4" s="178" t="str">
        <f>'Data for Graph complete'!B$56</f>
        <v xml:space="preserve">Indonesia </v>
      </c>
      <c r="F4" s="178" t="str">
        <f>'Data for Graph complete'!Q$56</f>
        <v>Indonesia   |  Program Jaminan Sosial Lanjut Usia (Elderly Social Security Programme) (Pilot)</v>
      </c>
      <c r="G4" s="178" t="str">
        <f t="shared" ref="G4:G35" si="0">B4</f>
        <v xml:space="preserve">Indonesia </v>
      </c>
      <c r="H4" s="179">
        <f>'Data for Graph complete'!U$56</f>
        <v>0.11500217124099303</v>
      </c>
      <c r="I4" s="180">
        <f>'Data for Graph complete'!R$56</f>
        <v>41.822239589294455</v>
      </c>
    </row>
    <row r="5" spans="1:9">
      <c r="A5" s="185">
        <f>'Data for Graph complete'!A$130</f>
        <v>1</v>
      </c>
      <c r="B5" s="177" t="str">
        <f>'Data for Graph complete'!B$130</f>
        <v>Uzbekestan</v>
      </c>
      <c r="C5" s="177" t="str">
        <f>'Data for Graph complete'!C$130</f>
        <v xml:space="preserve">  |  </v>
      </c>
      <c r="D5" s="177" t="str">
        <f>'Data for Graph complete'!D$130</f>
        <v>Social pension</v>
      </c>
      <c r="E5" s="178" t="str">
        <f>'Data for Graph complete'!B$130</f>
        <v>Uzbekestan</v>
      </c>
      <c r="F5" s="178" t="str">
        <f>'Data for Graph complete'!Q$130</f>
        <v>Uzbekestan  |  Social pension</v>
      </c>
      <c r="G5" s="178" t="str">
        <f t="shared" si="0"/>
        <v>Uzbekestan</v>
      </c>
      <c r="H5" s="179">
        <f>'Data for Graph complete'!U$130</f>
        <v>0.25478071426208798</v>
      </c>
      <c r="I5" s="180">
        <f>'Data for Graph complete'!R$130</f>
        <v>83.171004266537366</v>
      </c>
    </row>
    <row r="6" spans="1:9" ht="25.5">
      <c r="A6" s="185">
        <f>'Data for Graph complete'!A$92</f>
        <v>1</v>
      </c>
      <c r="B6" s="177" t="str">
        <f>'Data for Graph complete'!B$92</f>
        <v>Nigeria</v>
      </c>
      <c r="C6" s="177" t="str">
        <f>'Data for Graph complete'!C$92</f>
        <v xml:space="preserve">  |  </v>
      </c>
      <c r="D6" s="177" t="str">
        <f>'Data for Graph complete'!D$92</f>
        <v>Ekiti State Social Security Scheme (Ekiti State only)</v>
      </c>
      <c r="E6" s="178" t="str">
        <f>'Data for Graph complete'!B$92</f>
        <v>Nigeria</v>
      </c>
      <c r="F6" s="178" t="str">
        <f>'Data for Graph complete'!Q$92</f>
        <v>Nigeria  |  Ekiti State Social Security Scheme (Ekiti State only)</v>
      </c>
      <c r="G6" s="178" t="str">
        <f t="shared" si="0"/>
        <v>Nigeria</v>
      </c>
      <c r="H6" s="179">
        <f>'Data for Graph complete'!U$92</f>
        <v>0.36114779269177716</v>
      </c>
      <c r="I6" s="180">
        <f>'Data for Graph complete'!R$92</f>
        <v>51.38851774959403</v>
      </c>
    </row>
    <row r="7" spans="1:9" ht="25.5">
      <c r="A7" s="185">
        <f>'Data for Graph complete'!A$86</f>
        <v>1</v>
      </c>
      <c r="B7" s="177" t="str">
        <f>'Data for Graph complete'!B$86</f>
        <v>Moldova, Republic of</v>
      </c>
      <c r="C7" s="177" t="str">
        <f>'Data for Graph complete'!C$86</f>
        <v xml:space="preserve">  |  </v>
      </c>
      <c r="D7" s="177" t="str">
        <f>'Data for Graph complete'!D$86</f>
        <v>State Social Allocation for Older Persons</v>
      </c>
      <c r="E7" s="178" t="str">
        <f>'Data for Graph complete'!B$86</f>
        <v>Moldova, Republic of</v>
      </c>
      <c r="F7" s="178" t="str">
        <f>'Data for Graph complete'!Q$86</f>
        <v>Moldova, Republic of  |  State Social Allocation for Older Persons</v>
      </c>
      <c r="G7" s="178" t="str">
        <f t="shared" si="0"/>
        <v>Moldova, Republic of</v>
      </c>
      <c r="H7" s="179">
        <f>'Data for Graph complete'!U$86</f>
        <v>0.52306198413982841</v>
      </c>
      <c r="I7" s="180">
        <f>'Data for Graph complete'!R$86</f>
        <v>13.776105651105651</v>
      </c>
    </row>
    <row r="8" spans="1:9" ht="25.5">
      <c r="A8" s="185">
        <f>'Data for Graph complete'!A$24</f>
        <v>1</v>
      </c>
      <c r="B8" s="177" t="str">
        <f>'Data for Graph complete'!B$24</f>
        <v>Bulgaria</v>
      </c>
      <c r="C8" s="177" t="str">
        <f>'Data for Graph complete'!C$24</f>
        <v xml:space="preserve">  |  </v>
      </c>
      <c r="D8" s="177" t="str">
        <f>'Data for Graph complete'!D$24</f>
        <v xml:space="preserve">Pensions not Related to Labour Activity Fund </v>
      </c>
      <c r="E8" s="178" t="str">
        <f>'Data for Graph complete'!B$24</f>
        <v>Bulgaria</v>
      </c>
      <c r="F8" s="178" t="str">
        <f>'Data for Graph complete'!Q$24</f>
        <v xml:space="preserve">Bulgaria  |  Pensions not Related to Labour Activity Fund </v>
      </c>
      <c r="G8" s="178" t="str">
        <f t="shared" si="0"/>
        <v>Bulgaria</v>
      </c>
      <c r="H8" s="179">
        <f>'Data for Graph complete'!U$24</f>
        <v>0.52979490246149374</v>
      </c>
      <c r="I8" s="180">
        <f>'Data for Graph complete'!R$24</f>
        <v>139.31034482758622</v>
      </c>
    </row>
    <row r="9" spans="1:9" ht="25.5">
      <c r="A9" s="185">
        <f>'Data for Graph complete'!A$134</f>
        <v>1</v>
      </c>
      <c r="B9" s="177" t="str">
        <f>'Data for Graph complete'!B$134</f>
        <v>Zambia</v>
      </c>
      <c r="C9" s="177" t="str">
        <f>'Data for Graph complete'!C$134</f>
        <v xml:space="preserve">  |  </v>
      </c>
      <c r="D9" s="177" t="str">
        <f>'Data for Graph complete'!D$134</f>
        <v>Social Cash Transfer Programme, Katete (Pilot)</v>
      </c>
      <c r="E9" s="178" t="str">
        <f>'Data for Graph complete'!B$134</f>
        <v>Zambia</v>
      </c>
      <c r="F9" s="178" t="str">
        <f>'Data for Graph complete'!Q$134</f>
        <v>Zambia  |  Social Cash Transfer Programme, Katete (Pilot)</v>
      </c>
      <c r="G9" s="178" t="str">
        <f t="shared" si="0"/>
        <v>Zambia</v>
      </c>
      <c r="H9" s="179">
        <f>'Data for Graph complete'!U$134</f>
        <v>0.76569808694586838</v>
      </c>
      <c r="I9" s="180">
        <f>'Data for Graph complete'!R$134</f>
        <v>14.063642670967017</v>
      </c>
    </row>
    <row r="10" spans="1:9">
      <c r="A10" s="185">
        <f>'Data for Graph complete'!A$87</f>
        <v>1</v>
      </c>
      <c r="B10" s="177" t="str">
        <f>'Data for Graph complete'!B$87</f>
        <v>Mongolia</v>
      </c>
      <c r="C10" s="177" t="str">
        <f>'Data for Graph complete'!C$87</f>
        <v xml:space="preserve">  |  </v>
      </c>
      <c r="D10" s="177" t="str">
        <f>'Data for Graph complete'!D$87</f>
        <v>Social welfare pension</v>
      </c>
      <c r="E10" s="178" t="str">
        <f>'Data for Graph complete'!B$87</f>
        <v>Mongolia</v>
      </c>
      <c r="F10" s="178" t="str">
        <f>'Data for Graph complete'!Q$87</f>
        <v>Mongolia  |  Social welfare pension</v>
      </c>
      <c r="G10" s="178" t="str">
        <f t="shared" si="0"/>
        <v>Mongolia</v>
      </c>
      <c r="H10" s="179">
        <f>'Data for Graph complete'!U$87</f>
        <v>1.2744169149881444</v>
      </c>
      <c r="I10" s="180">
        <f>'Data for Graph complete'!R$87</f>
        <v>44.707824646840578</v>
      </c>
    </row>
    <row r="11" spans="1:9" ht="25.5">
      <c r="A11" s="185">
        <f>'Data for Graph complete'!A$133</f>
        <v>1</v>
      </c>
      <c r="B11" s="177" t="str">
        <f>'Data for Graph complete'!B$133</f>
        <v>Viet Nam [60-79 years old]</v>
      </c>
      <c r="C11" s="177" t="str">
        <f>'Data for Graph complete'!C$133</f>
        <v xml:space="preserve">  |  </v>
      </c>
      <c r="D11" s="177" t="str">
        <f>'Data for Graph complete'!D$133</f>
        <v>Social assistance benefit (clause 2)</v>
      </c>
      <c r="E11" s="178" t="str">
        <f>'Data for Graph complete'!B$133</f>
        <v>Viet Nam [60-79 years old]</v>
      </c>
      <c r="F11" s="178" t="str">
        <f>'Data for Graph complete'!Q$133</f>
        <v>Viet Nam [60-79 years old]  |  Social assistance benefit (clause 2)</v>
      </c>
      <c r="G11" s="178" t="str">
        <f t="shared" si="0"/>
        <v>Viet Nam [60-79 years old]</v>
      </c>
      <c r="H11" s="179">
        <f>'Data for Graph complete'!U$133</f>
        <v>1.4876238769939658</v>
      </c>
      <c r="I11" s="180">
        <f>'Data for Graph complete'!R$133</f>
        <v>14.200415433153497</v>
      </c>
    </row>
    <row r="12" spans="1:9">
      <c r="A12" s="185">
        <f>'Data for Graph complete'!A$41</f>
        <v>1</v>
      </c>
      <c r="B12" s="177" t="str">
        <f>'Data for Graph complete'!B$41</f>
        <v>Finland</v>
      </c>
      <c r="C12" s="177" t="str">
        <f>'Data for Graph complete'!C$41</f>
        <v xml:space="preserve">  |  </v>
      </c>
      <c r="D12" s="177" t="str">
        <f>'Data for Graph complete'!D$41</f>
        <v>Kansanelake (Old Age Pension)</v>
      </c>
      <c r="E12" s="178" t="str">
        <f>'Data for Graph complete'!B$41</f>
        <v>Finland</v>
      </c>
      <c r="F12" s="178" t="str">
        <f>'Data for Graph complete'!Q$41</f>
        <v>Finland  |  Kansanelake (Old Age Pension)</v>
      </c>
      <c r="G12" s="178" t="str">
        <f t="shared" si="0"/>
        <v>Finland</v>
      </c>
      <c r="H12" s="179">
        <f>'Data for Graph complete'!U$41</f>
        <v>2</v>
      </c>
      <c r="I12" s="180">
        <f>'Data for Graph complete'!R$41</f>
        <v>619.15564598168874</v>
      </c>
    </row>
    <row r="13" spans="1:9">
      <c r="A13" s="185">
        <f>'Data for Graph complete'!A$97</f>
        <v>1</v>
      </c>
      <c r="B13" s="177" t="str">
        <f>'Data for Graph complete'!B$97</f>
        <v>Peru</v>
      </c>
      <c r="C13" s="177" t="str">
        <f>'Data for Graph complete'!C$97</f>
        <v xml:space="preserve">  |  </v>
      </c>
      <c r="D13" s="177" t="str">
        <f>'Data for Graph complete'!D$97</f>
        <v>Pension 65</v>
      </c>
      <c r="E13" s="178" t="str">
        <f>'Data for Graph complete'!B$97</f>
        <v>Peru</v>
      </c>
      <c r="F13" s="178" t="str">
        <f>'Data for Graph complete'!Q$97</f>
        <v>Peru  |  Pension 65</v>
      </c>
      <c r="G13" s="178" t="str">
        <f t="shared" si="0"/>
        <v>Peru</v>
      </c>
      <c r="H13" s="179">
        <f>'Data for Graph complete'!U$97</f>
        <v>2.2285239672065762</v>
      </c>
      <c r="I13" s="180">
        <f>'Data for Graph complete'!R$97</f>
        <v>77.591558038485417</v>
      </c>
    </row>
    <row r="14" spans="1:9" ht="38.25">
      <c r="A14" s="185">
        <f>'Data for Graph complete'!A$48</f>
        <v>1</v>
      </c>
      <c r="B14" s="177" t="str">
        <f>'Data for Graph complete'!B$48</f>
        <v>Guatemala</v>
      </c>
      <c r="C14" s="177" t="str">
        <f>'Data for Graph complete'!C$48</f>
        <v xml:space="preserve">  |  </v>
      </c>
      <c r="D14" s="177" t="str">
        <f>'Data for Graph complete'!D$48</f>
        <v>Programa de aporte economico o del Adulto Mayor (Economic contribution programme for older people)</v>
      </c>
      <c r="E14" s="178" t="str">
        <f>'Data for Graph complete'!B$48</f>
        <v>Guatemala</v>
      </c>
      <c r="F14" s="178" t="str">
        <f>'Data for Graph complete'!Q$48</f>
        <v>Guatemala  |  Programa de aporte economico o del Adulto Mayor (Economic contribution programme for older people)</v>
      </c>
      <c r="G14" s="178" t="str">
        <f t="shared" si="0"/>
        <v>Guatemala</v>
      </c>
      <c r="H14" s="179">
        <f>'Data for Graph complete'!U$48</f>
        <v>2.3239029125005444</v>
      </c>
      <c r="I14" s="180">
        <f>'Data for Graph complete'!R$48</f>
        <v>80.759135877246109</v>
      </c>
    </row>
    <row r="15" spans="1:9" ht="25.5">
      <c r="A15" s="185">
        <f>'Data for Graph complete'!A$15</f>
        <v>1</v>
      </c>
      <c r="B15" s="177" t="str">
        <f>'Data for Graph complete'!B$15</f>
        <v>Belarus</v>
      </c>
      <c r="C15" s="177" t="str">
        <f>'Data for Graph complete'!C$15</f>
        <v xml:space="preserve">  |  </v>
      </c>
      <c r="D15" s="177" t="str">
        <f>'Data for Graph complete'!D$15</f>
        <v>Social old-age pension (social assistance</v>
      </c>
      <c r="E15" s="178" t="str">
        <f>'Data for Graph complete'!B$15</f>
        <v>Belarus</v>
      </c>
      <c r="F15" s="178" t="str">
        <f>'Data for Graph complete'!Q$15</f>
        <v>Belarus  |  Social old-age pension (social assistance</v>
      </c>
      <c r="G15" s="178" t="str">
        <f t="shared" si="0"/>
        <v>Belarus</v>
      </c>
      <c r="H15" s="179">
        <f>'Data for Graph complete'!U$15</f>
        <v>2.4778331802392093</v>
      </c>
      <c r="I15" s="180">
        <f>'Data for Graph complete'!R$15</f>
        <v>107</v>
      </c>
    </row>
    <row r="16" spans="1:9">
      <c r="A16" s="185">
        <f>'Data for Graph complete'!A$6</f>
        <v>1</v>
      </c>
      <c r="B16" s="177" t="str">
        <f>'Data for Graph complete'!B$6</f>
        <v>Argentina</v>
      </c>
      <c r="C16" s="177" t="str">
        <f>'Data for Graph complete'!C$6</f>
        <v xml:space="preserve">  |  </v>
      </c>
      <c r="D16" s="177" t="str">
        <f>'Data for Graph complete'!D$6</f>
        <v>Pensiones Asistenciales</v>
      </c>
      <c r="E16" s="178" t="str">
        <f>'Data for Graph complete'!B$6</f>
        <v>Argentina</v>
      </c>
      <c r="F16" s="178" t="str">
        <f>'Data for Graph complete'!Q$6</f>
        <v>Argentina  |  Pensiones Asistenciales</v>
      </c>
      <c r="G16" s="178" t="str">
        <f t="shared" si="0"/>
        <v>Argentina</v>
      </c>
      <c r="H16" s="179">
        <f>'Data for Graph complete'!U$6</f>
        <v>2.6060463295585632</v>
      </c>
      <c r="I16" s="180">
        <f>'Data for Graph complete'!R$6</f>
        <v>239.81900452488688</v>
      </c>
    </row>
    <row r="17" spans="1:9" ht="25.5">
      <c r="A17" s="185">
        <f>'Data for Graph complete'!A$101</f>
        <v>1</v>
      </c>
      <c r="B17" s="177" t="str">
        <f>'Data for Graph complete'!B$101</f>
        <v>Portugal</v>
      </c>
      <c r="C17" s="177" t="str">
        <f>'Data for Graph complete'!C$101</f>
        <v xml:space="preserve">  |  </v>
      </c>
      <c r="D17" s="177" t="str">
        <f>'Data for Graph complete'!D$101</f>
        <v>Pensao Social de Velhice (Old Age Social Pension)</v>
      </c>
      <c r="E17" s="178" t="str">
        <f>'Data for Graph complete'!B$101</f>
        <v>Portugal</v>
      </c>
      <c r="F17" s="178" t="str">
        <f>'Data for Graph complete'!Q$101</f>
        <v>Portugal  |  Pensao Social de Velhice (Old Age Social Pension)</v>
      </c>
      <c r="G17" s="178" t="str">
        <f t="shared" si="0"/>
        <v>Portugal</v>
      </c>
      <c r="H17" s="179">
        <f>'Data for Graph complete'!U$101</f>
        <v>2.6356131570151606</v>
      </c>
      <c r="I17" s="180">
        <f>'Data for Graph complete'!R$101</f>
        <v>279.5422031473534</v>
      </c>
    </row>
    <row r="18" spans="1:9" ht="25.5">
      <c r="A18" s="185">
        <f>'Data for Graph complete'!A$126</f>
        <v>1</v>
      </c>
      <c r="B18" s="177" t="str">
        <f>'Data for Graph complete'!B$126</f>
        <v>Ukraine</v>
      </c>
      <c r="C18" s="177" t="str">
        <f>'Data for Graph complete'!C$126</f>
        <v xml:space="preserve">  |  </v>
      </c>
      <c r="D18" s="177" t="str">
        <f>'Data for Graph complete'!D$126</f>
        <v>Social pension + social pension supplement</v>
      </c>
      <c r="E18" s="178" t="str">
        <f>'Data for Graph complete'!B$126</f>
        <v>Ukraine</v>
      </c>
      <c r="F18" s="178" t="str">
        <f>'Data for Graph complete'!Q$126</f>
        <v>Ukraine  |  Social pension + social pension supplement</v>
      </c>
      <c r="G18" s="178" t="str">
        <f t="shared" si="0"/>
        <v>Ukraine</v>
      </c>
      <c r="H18" s="179">
        <f>'Data for Graph complete'!U$126</f>
        <v>2.8660504882377555</v>
      </c>
      <c r="I18" s="180">
        <f>'Data for Graph complete'!R$126</f>
        <v>194.67787114845939</v>
      </c>
    </row>
    <row r="19" spans="1:9">
      <c r="A19" s="185">
        <f>'Data for Graph complete'!A$66</f>
        <v>1</v>
      </c>
      <c r="B19" s="177" t="str">
        <f>'Data for Graph complete'!B$66</f>
        <v>Kenya</v>
      </c>
      <c r="C19" s="177" t="str">
        <f>'Data for Graph complete'!C$66</f>
        <v xml:space="preserve">  |  </v>
      </c>
      <c r="D19" s="177" t="str">
        <f>'Data for Graph complete'!D$66</f>
        <v>Older Persons Cash Transfer</v>
      </c>
      <c r="E19" s="178" t="str">
        <f>'Data for Graph complete'!B$66</f>
        <v>Kenya</v>
      </c>
      <c r="F19" s="178" t="str">
        <f>'Data for Graph complete'!Q$66</f>
        <v>Kenya  |  Older Persons Cash Transfer</v>
      </c>
      <c r="G19" s="178" t="str">
        <f t="shared" si="0"/>
        <v>Kenya</v>
      </c>
      <c r="H19" s="179">
        <f>'Data for Graph complete'!U$66</f>
        <v>3.1451815818166571</v>
      </c>
      <c r="I19" s="180">
        <f>'Data for Graph complete'!R$66</f>
        <v>35.711734876080278</v>
      </c>
    </row>
    <row r="20" spans="1:9" ht="25.5">
      <c r="A20" s="185">
        <f>'Data for Graph complete'!A$125</f>
        <v>1</v>
      </c>
      <c r="B20" s="177" t="str">
        <f>'Data for Graph complete'!B$125</f>
        <v>Uganda</v>
      </c>
      <c r="C20" s="177" t="str">
        <f>'Data for Graph complete'!C$125</f>
        <v xml:space="preserve">  |  </v>
      </c>
      <c r="D20" s="177" t="str">
        <f>'Data for Graph complete'!D$125</f>
        <v>Senior Citizens Grant (Pilot in 14 districts)</v>
      </c>
      <c r="E20" s="178" t="str">
        <f>'Data for Graph complete'!B$125</f>
        <v>Uganda</v>
      </c>
      <c r="F20" s="178" t="str">
        <f>'Data for Graph complete'!Q$125</f>
        <v>Uganda  |  Senior Citizens Grant (Pilot in 14 districts)</v>
      </c>
      <c r="G20" s="178" t="str">
        <f t="shared" si="0"/>
        <v>Uganda</v>
      </c>
      <c r="H20" s="179">
        <f>'Data for Graph complete'!U$125</f>
        <v>3.1504887195626221</v>
      </c>
      <c r="I20" s="180">
        <f>'Data for Graph complete'!R$125</f>
        <v>27.402384960618008</v>
      </c>
    </row>
    <row r="21" spans="1:9" ht="38.25">
      <c r="A21" s="185">
        <f>'Data for Graph complete'!A$112</f>
        <v>1</v>
      </c>
      <c r="B21" s="177" t="str">
        <f>'Data for Graph complete'!B$112</f>
        <v>Spain</v>
      </c>
      <c r="C21" s="177" t="str">
        <f>'Data for Graph complete'!C$112</f>
        <v xml:space="preserve">  |  </v>
      </c>
      <c r="D21" s="177" t="str">
        <f>'Data for Graph complete'!D$112</f>
        <v>Non Contributory Pension for retirement ( Pension no Contributiva de Jubilacion)</v>
      </c>
      <c r="E21" s="178" t="str">
        <f>'Data for Graph complete'!B$112</f>
        <v>Spain</v>
      </c>
      <c r="F21" s="178" t="str">
        <f>'Data for Graph complete'!Q$112</f>
        <v>Spain  |  Non Contributory Pension for retirement ( Pension no Contributiva de Jubilacion)</v>
      </c>
      <c r="G21" s="178" t="str">
        <f t="shared" si="0"/>
        <v>Spain</v>
      </c>
      <c r="H21" s="179">
        <f>'Data for Graph complete'!U$112</f>
        <v>3.2538145810983807</v>
      </c>
      <c r="I21" s="180">
        <f>'Data for Graph complete'!R$112</f>
        <v>473.14814814814815</v>
      </c>
    </row>
    <row r="22" spans="1:9" ht="25.5">
      <c r="A22" s="185">
        <f>'Data for Graph complete'!A$39</f>
        <v>1</v>
      </c>
      <c r="B22" s="177" t="str">
        <f>'Data for Graph complete'!B$39</f>
        <v>El Salvador</v>
      </c>
      <c r="C22" s="177" t="str">
        <f>'Data for Graph complete'!C$39</f>
        <v xml:space="preserve">  |  </v>
      </c>
      <c r="D22" s="177" t="str">
        <f>'Data for Graph complete'!D$39</f>
        <v>Pension Basica Universal (Universal basic pension)</v>
      </c>
      <c r="E22" s="178" t="str">
        <f>'Data for Graph complete'!B$39</f>
        <v>El Salvador</v>
      </c>
      <c r="F22" s="178" t="str">
        <f>'Data for Graph complete'!Q$39</f>
        <v>El Salvador  |  Pension Basica Universal (Universal basic pension)</v>
      </c>
      <c r="G22" s="178" t="str">
        <f t="shared" si="0"/>
        <v>El Salvador</v>
      </c>
      <c r="H22" s="179">
        <f>'Data for Graph complete'!U$39</f>
        <v>4.4051579216724059</v>
      </c>
      <c r="I22" s="180">
        <f>'Data for Graph complete'!R$39</f>
        <v>101.6260162601626</v>
      </c>
    </row>
    <row r="23" spans="1:9">
      <c r="A23" s="185">
        <f>'Data for Graph complete'!A$40</f>
        <v>1</v>
      </c>
      <c r="B23" s="177" t="str">
        <f>'Data for Graph complete'!B$40</f>
        <v>Estonia</v>
      </c>
      <c r="C23" s="177" t="str">
        <f>'Data for Graph complete'!C$40</f>
        <v xml:space="preserve">  |  </v>
      </c>
      <c r="D23" s="177" t="str">
        <f>'Data for Graph complete'!D$40</f>
        <v>National Pension</v>
      </c>
      <c r="E23" s="178" t="str">
        <f>'Data for Graph complete'!B$40</f>
        <v>Estonia</v>
      </c>
      <c r="F23" s="178" t="str">
        <f>'Data for Graph complete'!Q$40</f>
        <v>Estonia  |  National Pension</v>
      </c>
      <c r="G23" s="178" t="str">
        <f t="shared" si="0"/>
        <v>Estonia</v>
      </c>
      <c r="H23" s="179">
        <f>'Data for Graph complete'!U$40</f>
        <v>4.8664698732418818</v>
      </c>
      <c r="I23" s="180">
        <f>'Data for Graph complete'!R$40</f>
        <v>219.57264957264957</v>
      </c>
    </row>
    <row r="24" spans="1:9" ht="25.5">
      <c r="A24" s="185">
        <f>'Data for Graph complete'!A$128</f>
        <v>1</v>
      </c>
      <c r="B24" s="177" t="str">
        <f>'Data for Graph complete'!B$128</f>
        <v>United States of America</v>
      </c>
      <c r="C24" s="177" t="str">
        <f>'Data for Graph complete'!C$128</f>
        <v xml:space="preserve">  |  </v>
      </c>
      <c r="D24" s="177" t="str">
        <f>'Data for Graph complete'!D$128</f>
        <v>Old age supplemental income benefit</v>
      </c>
      <c r="E24" s="178" t="str">
        <f>'Data for Graph complete'!B$128</f>
        <v>United States of America</v>
      </c>
      <c r="F24" s="178" t="str">
        <f>'Data for Graph complete'!Q$128</f>
        <v>United States of America  |  Old age supplemental income benefit</v>
      </c>
      <c r="G24" s="178" t="str">
        <f t="shared" si="0"/>
        <v>United States of America</v>
      </c>
      <c r="H24" s="179">
        <f>'Data for Graph complete'!U$128</f>
        <v>4.9435903770628888</v>
      </c>
      <c r="I24" s="180">
        <f>'Data for Graph complete'!R$128</f>
        <v>674</v>
      </c>
    </row>
    <row r="25" spans="1:9" ht="25.5">
      <c r="A25" s="185">
        <f>'Data for Graph complete'!A$42</f>
        <v>1</v>
      </c>
      <c r="B25" s="177" t="str">
        <f>'Data for Graph complete'!B$42</f>
        <v>France</v>
      </c>
      <c r="C25" s="177" t="str">
        <f>'Data for Graph complete'!C$42</f>
        <v xml:space="preserve">  |  </v>
      </c>
      <c r="D25" s="177" t="str">
        <f>'Data for Graph complete'!D$42</f>
        <v>ASPA (allocation de solidarité aux personnes âgées)</v>
      </c>
      <c r="E25" s="178" t="str">
        <f>'Data for Graph complete'!B$42</f>
        <v>France</v>
      </c>
      <c r="F25" s="178" t="str">
        <f>'Data for Graph complete'!Q$42</f>
        <v>France  |  ASPA (allocation de solidarité aux personnes âgées)</v>
      </c>
      <c r="G25" s="178" t="str">
        <f t="shared" si="0"/>
        <v>France</v>
      </c>
      <c r="H25" s="179">
        <f>'Data for Graph complete'!U$42</f>
        <v>5</v>
      </c>
      <c r="I25" s="180">
        <f>'Data for Graph complete'!R$42</f>
        <v>812.11159737417938</v>
      </c>
    </row>
    <row r="26" spans="1:9" ht="25.5">
      <c r="A26" s="185">
        <f>'Data for Graph complete'!A$16</f>
        <v>1</v>
      </c>
      <c r="B26" s="177" t="str">
        <f>'Data for Graph complete'!B$16</f>
        <v>Beligium</v>
      </c>
      <c r="C26" s="177" t="str">
        <f>'Data for Graph complete'!C$16</f>
        <v xml:space="preserve">  |  </v>
      </c>
      <c r="D26" s="177" t="str">
        <f>'Data for Graph complete'!D$16</f>
        <v>IGO/GRAPA (Income Guarantee for the Elderly)</v>
      </c>
      <c r="E26" s="178" t="str">
        <f>'Data for Graph complete'!B$16</f>
        <v>Beligium</v>
      </c>
      <c r="F26" s="178" t="str">
        <f>'Data for Graph complete'!Q$16</f>
        <v>Beligium  |  IGO/GRAPA (Income Guarantee for the Elderly)</v>
      </c>
      <c r="G26" s="178" t="str">
        <f t="shared" si="0"/>
        <v>Beligium</v>
      </c>
      <c r="H26" s="179">
        <f>'Data for Graph complete'!U$16</f>
        <v>5.1105047019154295</v>
      </c>
      <c r="I26" s="180">
        <f>'Data for Graph complete'!R$16</f>
        <v>1026</v>
      </c>
    </row>
    <row r="27" spans="1:9">
      <c r="A27" s="185">
        <f>'Data for Graph complete'!A$109</f>
        <v>1</v>
      </c>
      <c r="B27" s="177" t="str">
        <f>'Data for Graph complete'!B$109</f>
        <v>Slovenia</v>
      </c>
      <c r="C27" s="177" t="str">
        <f>'Data for Graph complete'!C$109</f>
        <v xml:space="preserve">  |  </v>
      </c>
      <c r="D27" s="177" t="str">
        <f>'Data for Graph complete'!D$109</f>
        <v>State pension</v>
      </c>
      <c r="E27" s="178" t="str">
        <f>'Data for Graph complete'!B$109</f>
        <v>Slovenia</v>
      </c>
      <c r="F27" s="178" t="str">
        <f>'Data for Graph complete'!Q$109</f>
        <v>Slovenia  |  State pension</v>
      </c>
      <c r="G27" s="178" t="str">
        <f t="shared" si="0"/>
        <v>Slovenia</v>
      </c>
      <c r="H27" s="179">
        <f>'Data for Graph complete'!U$109</f>
        <v>6.1480719128294448</v>
      </c>
      <c r="I27" s="180">
        <f>'Data for Graph complete'!R$109</f>
        <v>290.64102564102564</v>
      </c>
    </row>
    <row r="28" spans="1:9">
      <c r="A28" s="185">
        <f>'Data for Graph complete'!A$60</f>
        <v>1</v>
      </c>
      <c r="B28" s="177" t="str">
        <f>'Data for Graph complete'!B$60</f>
        <v>Italy</v>
      </c>
      <c r="C28" s="177" t="str">
        <f>'Data for Graph complete'!C$60</f>
        <v xml:space="preserve">  |  </v>
      </c>
      <c r="D28" s="177" t="str">
        <f>'Data for Graph complete'!D$60</f>
        <v>Targeted pension [Social allowance]</v>
      </c>
      <c r="E28" s="178" t="str">
        <f>'Data for Graph complete'!B$60</f>
        <v>Italy</v>
      </c>
      <c r="F28" s="178" t="str">
        <f>'Data for Graph complete'!Q$60</f>
        <v>Italy  |  Targeted pension [Social allowance]</v>
      </c>
      <c r="G28" s="178" t="str">
        <f t="shared" si="0"/>
        <v>Italy</v>
      </c>
      <c r="H28" s="179">
        <f>'Data for Graph complete'!U$60</f>
        <v>7.1672058277400374</v>
      </c>
      <c r="I28" s="180">
        <f>'Data for Graph complete'!R$60</f>
        <v>470.32</v>
      </c>
    </row>
    <row r="29" spans="1:9">
      <c r="A29" s="185">
        <f>'Data for Graph complete'!A$96</f>
        <v>1</v>
      </c>
      <c r="B29" s="177" t="str">
        <f>'Data for Graph complete'!B$96</f>
        <v>Paraguay</v>
      </c>
      <c r="C29" s="177" t="str">
        <f>'Data for Graph complete'!C$96</f>
        <v xml:space="preserve">  |  </v>
      </c>
      <c r="D29" s="177" t="str">
        <f>'Data for Graph complete'!D$96</f>
        <v>Pension alimentaria</v>
      </c>
      <c r="E29" s="178" t="str">
        <f>'Data for Graph complete'!B$96</f>
        <v>Paraguay</v>
      </c>
      <c r="F29" s="178" t="str">
        <f>'Data for Graph complete'!Q$96</f>
        <v>Paraguay  |  Pension alimentaria</v>
      </c>
      <c r="G29" s="178" t="str">
        <f t="shared" si="0"/>
        <v>Paraguay</v>
      </c>
      <c r="H29" s="179">
        <f>'Data for Graph complete'!U$96</f>
        <v>7.3196796908167299</v>
      </c>
      <c r="I29" s="180">
        <f>'Data for Graph complete'!R$96</f>
        <v>138.52140192500539</v>
      </c>
    </row>
    <row r="30" spans="1:9">
      <c r="A30" s="185">
        <f>'Data for Graph complete'!A$98</f>
        <v>1</v>
      </c>
      <c r="B30" s="177" t="str">
        <f>'Data for Graph complete'!B$98</f>
        <v>Philippines</v>
      </c>
      <c r="C30" s="177" t="str">
        <f>'Data for Graph complete'!C$98</f>
        <v xml:space="preserve">  |  </v>
      </c>
      <c r="D30" s="177" t="str">
        <f>'Data for Graph complete'!D$98</f>
        <v>Old Age Grant</v>
      </c>
      <c r="E30" s="178" t="str">
        <f>'Data for Graph complete'!B$98</f>
        <v>Philippines</v>
      </c>
      <c r="F30" s="178" t="str">
        <f>'Data for Graph complete'!Q$98</f>
        <v>Philippines  |  Old Age Grant</v>
      </c>
      <c r="G30" s="178" t="str">
        <f t="shared" si="0"/>
        <v>Philippines</v>
      </c>
      <c r="H30" s="179">
        <f>'Data for Graph complete'!U$98</f>
        <v>8.3156517515077084</v>
      </c>
      <c r="I30" s="180">
        <f>'Data for Graph complete'!R$98</f>
        <v>20.052135552436336</v>
      </c>
    </row>
    <row r="31" spans="1:9" ht="51">
      <c r="A31" s="185">
        <f>'Data for Graph complete'!A$29</f>
        <v>1</v>
      </c>
      <c r="B31" s="177" t="str">
        <f>'Data for Graph complete'!B$29</f>
        <v>Colombia</v>
      </c>
      <c r="C31" s="177" t="str">
        <f>'Data for Graph complete'!C$29</f>
        <v xml:space="preserve">  |  </v>
      </c>
      <c r="D31" s="177" t="str">
        <f>'Data for Graph complete'!D$29</f>
        <v>Programa de Proteccion Social al Adulto Mayor (PPSAM) (Social Protection Programme for Older People) (Regional scheme)</v>
      </c>
      <c r="E31" s="178" t="str">
        <f>'Data for Graph complete'!B$29</f>
        <v>Colombia</v>
      </c>
      <c r="F31" s="178" t="str">
        <f>'Data for Graph complete'!Q$29</f>
        <v>Colombia  |  Programa de Proteccion Social al Adulto Mayor (PPSAM) (Social Protection Programme for Older People) (Regional scheme)</v>
      </c>
      <c r="G31" s="178" t="str">
        <f t="shared" si="0"/>
        <v>Colombia</v>
      </c>
      <c r="H31" s="179">
        <f>'Data for Graph complete'!U$29</f>
        <v>9.112354551407547</v>
      </c>
      <c r="I31" s="180">
        <f>'Data for Graph complete'!R$29</f>
        <v>45.428836862775384</v>
      </c>
    </row>
    <row r="32" spans="1:9">
      <c r="A32" s="185">
        <f>'Data for Graph complete'!A$82</f>
        <v>1</v>
      </c>
      <c r="B32" s="177" t="str">
        <f>'Data for Graph complete'!B$82</f>
        <v>Mexico</v>
      </c>
      <c r="C32" s="177" t="str">
        <f>'Data for Graph complete'!C$82</f>
        <v xml:space="preserve">  |  </v>
      </c>
      <c r="D32" s="177" t="str">
        <f>'Data for Graph complete'!D$82</f>
        <v>Pension Alimentaria Ciudadana</v>
      </c>
      <c r="E32" s="178" t="str">
        <f>'Data for Graph complete'!B$82</f>
        <v>Mexico</v>
      </c>
      <c r="F32" s="178" t="str">
        <f>'Data for Graph complete'!Q$82</f>
        <v>Mexico  |  Pension Alimentaria Ciudadana</v>
      </c>
      <c r="G32" s="178" t="str">
        <f t="shared" si="0"/>
        <v>Mexico</v>
      </c>
      <c r="H32" s="179">
        <f>'Data for Graph complete'!U$82</f>
        <v>9.5781966008406805</v>
      </c>
      <c r="I32" s="180">
        <f>'Data for Graph complete'!R$82</f>
        <v>103.89159138290479</v>
      </c>
    </row>
    <row r="33" spans="1:9" ht="25.5">
      <c r="A33" s="185">
        <f>'Data for Graph complete'!A$11</f>
        <v>1</v>
      </c>
      <c r="B33" s="177" t="str">
        <f>'Data for Graph complete'!B$11</f>
        <v>Bahamas</v>
      </c>
      <c r="C33" s="177" t="str">
        <f>'Data for Graph complete'!C$11</f>
        <v xml:space="preserve">  |  </v>
      </c>
      <c r="D33" s="177" t="str">
        <f>'Data for Graph complete'!D$11</f>
        <v>Old Age Non-Contributory Pension (OANCP)</v>
      </c>
      <c r="E33" s="178" t="str">
        <f>'Data for Graph complete'!B$11</f>
        <v>Bahamas</v>
      </c>
      <c r="F33" s="178" t="str">
        <f>'Data for Graph complete'!Q$11</f>
        <v>Bahamas  |  Old Age Non-Contributory Pension (OANCP)</v>
      </c>
      <c r="G33" s="178" t="str">
        <f t="shared" si="0"/>
        <v>Bahamas</v>
      </c>
      <c r="H33" s="179">
        <f>'Data for Graph complete'!U$11</f>
        <v>9.7089450324342774</v>
      </c>
      <c r="I33" s="180">
        <f>'Data for Graph complete'!R$11</f>
        <v>316</v>
      </c>
    </row>
    <row r="34" spans="1:9" ht="25.5">
      <c r="A34" s="185">
        <f>'Data for Graph complete'!A$9</f>
        <v>1</v>
      </c>
      <c r="B34" s="177" t="str">
        <f>'Data for Graph complete'!B$9</f>
        <v>Austria</v>
      </c>
      <c r="C34" s="177" t="str">
        <f>'Data for Graph complete'!C$9</f>
        <v xml:space="preserve">  |  </v>
      </c>
      <c r="D34" s="177" t="str">
        <f>'Data for Graph complete'!D$9</f>
        <v>Ausgleichszulage (Austrian Compensatory Supplement)</v>
      </c>
      <c r="E34" s="178" t="str">
        <f>'Data for Graph complete'!B$9</f>
        <v>Austria</v>
      </c>
      <c r="F34" s="178" t="str">
        <f>'Data for Graph complete'!Q$9</f>
        <v>Austria  |  Ausgleichszulage (Austrian Compensatory Supplement)</v>
      </c>
      <c r="G34" s="178" t="str">
        <f t="shared" si="0"/>
        <v>Austria</v>
      </c>
      <c r="H34" s="179">
        <f>'Data for Graph complete'!U$9</f>
        <v>11</v>
      </c>
      <c r="I34" s="180">
        <f>'Data for Graph complete'!R$9</f>
        <v>942</v>
      </c>
    </row>
    <row r="35" spans="1:9">
      <c r="A35" s="185">
        <f>'Data for Graph complete'!A$117</f>
        <v>1</v>
      </c>
      <c r="B35" s="177" t="str">
        <f>'Data for Graph complete'!B$117</f>
        <v>Switzerland</v>
      </c>
      <c r="C35" s="177" t="str">
        <f>'Data for Graph complete'!C$117</f>
        <v xml:space="preserve">  |  </v>
      </c>
      <c r="D35" s="177" t="str">
        <f>'Data for Graph complete'!D$117</f>
        <v>Targeted pension</v>
      </c>
      <c r="E35" s="178" t="str">
        <f>'Data for Graph complete'!B$117</f>
        <v>Switzerland</v>
      </c>
      <c r="F35" s="178" t="str">
        <f>'Data for Graph complete'!Q$117</f>
        <v>Switzerland  |  Targeted pension</v>
      </c>
      <c r="G35" s="178" t="str">
        <f t="shared" si="0"/>
        <v>Switzerland</v>
      </c>
      <c r="H35" s="179">
        <f>'Data for Graph complete'!U$117</f>
        <v>12</v>
      </c>
      <c r="I35" s="180">
        <f>'Data for Graph complete'!R$117</f>
        <v>1000.8033705752837</v>
      </c>
    </row>
    <row r="36" spans="1:9" ht="25.5">
      <c r="A36" s="185">
        <f>'Data for Graph complete'!A$22</f>
        <v>1</v>
      </c>
      <c r="B36" s="177" t="str">
        <f>'Data for Graph complete'!B$22</f>
        <v>Brazil [BPC]</v>
      </c>
      <c r="C36" s="177" t="str">
        <f>'Data for Graph complete'!C$22</f>
        <v xml:space="preserve">  |  </v>
      </c>
      <c r="D36" s="177" t="str">
        <f>'Data for Graph complete'!D$22</f>
        <v>Beneficio de Prestacao Continuada (BPC / Continuous Cash Benefit)</v>
      </c>
      <c r="E36" s="178" t="str">
        <f>'Data for Graph complete'!B$22</f>
        <v>Brazil [BPC]</v>
      </c>
      <c r="F36" s="178" t="str">
        <f>'Data for Graph complete'!Q$22</f>
        <v>Brazil [BPC]  |  Beneficio de Prestacao Continuada (BPC / Continuous Cash Benefit)</v>
      </c>
      <c r="G36" s="178" t="str">
        <f t="shared" ref="G36:G67" si="1">B36</f>
        <v>Brazil [BPC]</v>
      </c>
      <c r="H36" s="179">
        <f>'Data for Graph complete'!U$22</f>
        <v>12.364729278340851</v>
      </c>
      <c r="I36" s="180">
        <f>'Data for Graph complete'!R$22</f>
        <v>330.85106382978728</v>
      </c>
    </row>
    <row r="37" spans="1:9">
      <c r="A37" s="185">
        <f>'Data for Graph complete'!A$32</f>
        <v>1</v>
      </c>
      <c r="B37" s="177" t="str">
        <f>'Data for Graph complete'!B$32</f>
        <v>Cyprus</v>
      </c>
      <c r="C37" s="177" t="str">
        <f>'Data for Graph complete'!C$32</f>
        <v xml:space="preserve">  |  </v>
      </c>
      <c r="D37" s="177" t="str">
        <f>'Data for Graph complete'!D$32</f>
        <v>Social Pension Scheme</v>
      </c>
      <c r="E37" s="178" t="str">
        <f>'Data for Graph complete'!B$32</f>
        <v>Cyprus</v>
      </c>
      <c r="F37" s="178" t="str">
        <f>'Data for Graph complete'!Q$32</f>
        <v>Cyprus  |  Social Pension Scheme</v>
      </c>
      <c r="G37" s="178" t="str">
        <f t="shared" si="1"/>
        <v>Cyprus</v>
      </c>
      <c r="H37" s="179">
        <f>'Data for Graph complete'!U$32</f>
        <v>12.633127977452425</v>
      </c>
      <c r="I37" s="180">
        <f>'Data for Graph complete'!R$32</f>
        <v>429.8941798941799</v>
      </c>
    </row>
    <row r="38" spans="1:9">
      <c r="A38" s="185">
        <f>'Data for Graph complete'!A$46</f>
        <v>1</v>
      </c>
      <c r="B38" s="177" t="str">
        <f>'Data for Graph complete'!B$46</f>
        <v>Greece</v>
      </c>
      <c r="C38" s="177" t="str">
        <f>'Data for Graph complete'!C$46</f>
        <v xml:space="preserve">  |  </v>
      </c>
      <c r="D38" s="177" t="str">
        <f>'Data for Graph complete'!D$46</f>
        <v>Pension to uninsured elderly</v>
      </c>
      <c r="E38" s="178" t="str">
        <f>'Data for Graph complete'!B$46</f>
        <v>Greece</v>
      </c>
      <c r="F38" s="178" t="str">
        <f>'Data for Graph complete'!Q$46</f>
        <v>Greece  |  Pension to uninsured elderly</v>
      </c>
      <c r="G38" s="178" t="str">
        <f t="shared" si="1"/>
        <v>Greece</v>
      </c>
      <c r="H38" s="179">
        <f>'Data for Graph complete'!U$46</f>
        <v>14.460017791729458</v>
      </c>
      <c r="I38" s="180">
        <f>'Data for Graph complete'!R$46</f>
        <v>451.43638850889192</v>
      </c>
    </row>
    <row r="39" spans="1:9" ht="25.5">
      <c r="A39" s="185">
        <f>'Data for Graph complete'!A$55</f>
        <v>1</v>
      </c>
      <c r="B39" s="177" t="str">
        <f>'Data for Graph complete'!B$55</f>
        <v>India</v>
      </c>
      <c r="C39" s="177" t="str">
        <f>'Data for Graph complete'!C$55</f>
        <v xml:space="preserve">  |  </v>
      </c>
      <c r="D39" s="177" t="str">
        <f>'Data for Graph complete'!D$55</f>
        <v>Indira Gandhi National Old Age Pension Scheme</v>
      </c>
      <c r="E39" s="178" t="str">
        <f>'Data for Graph complete'!B$55</f>
        <v>India</v>
      </c>
      <c r="F39" s="178" t="str">
        <f>'Data for Graph complete'!Q$55</f>
        <v>India  |  Indira Gandhi National Old Age Pension Scheme</v>
      </c>
      <c r="G39" s="178" t="str">
        <f t="shared" si="1"/>
        <v>India</v>
      </c>
      <c r="H39" s="179">
        <f>'Data for Graph complete'!U$55</f>
        <v>14.947869523254726</v>
      </c>
      <c r="I39" s="180">
        <f>'Data for Graph complete'!R$55</f>
        <v>10.455329604265774</v>
      </c>
    </row>
    <row r="40" spans="1:9" ht="25.5">
      <c r="A40" s="185">
        <f>'Data for Graph complete'!A$31</f>
        <v>1</v>
      </c>
      <c r="B40" s="177" t="str">
        <f>'Data for Graph complete'!B$31</f>
        <v>Costa Rica</v>
      </c>
      <c r="C40" s="177" t="str">
        <f>'Data for Graph complete'!C$31</f>
        <v xml:space="preserve">  |  </v>
      </c>
      <c r="D40" s="177" t="str">
        <f>'Data for Graph complete'!D$31</f>
        <v>Programa Regimen No Contributivo</v>
      </c>
      <c r="E40" s="178" t="str">
        <f>'Data for Graph complete'!B$31</f>
        <v>Costa Rica</v>
      </c>
      <c r="F40" s="178" t="str">
        <f>'Data for Graph complete'!Q$31</f>
        <v>Costa Rica  |  Programa Regimen No Contributivo</v>
      </c>
      <c r="G40" s="178" t="str">
        <f t="shared" si="1"/>
        <v>Costa Rica</v>
      </c>
      <c r="H40" s="179">
        <f>'Data for Graph complete'!U$31</f>
        <v>16.93084850479832</v>
      </c>
      <c r="I40" s="180">
        <f>'Data for Graph complete'!R$31</f>
        <v>190.4354556193735</v>
      </c>
    </row>
    <row r="41" spans="1:9" ht="25.5">
      <c r="A41" s="185">
        <f>'Data for Graph complete'!A$129</f>
        <v>1</v>
      </c>
      <c r="B41" s="177" t="str">
        <f>'Data for Graph complete'!B$129</f>
        <v>Uruguay</v>
      </c>
      <c r="C41" s="177" t="str">
        <f>'Data for Graph complete'!C$129</f>
        <v xml:space="preserve">  |  </v>
      </c>
      <c r="D41" s="177" t="str">
        <f>'Data for Graph complete'!D$129</f>
        <v>Pensión por Vejez (Programa de Pensiones No-Contributivas)</v>
      </c>
      <c r="E41" s="178" t="str">
        <f>'Data for Graph complete'!B$129</f>
        <v>Uruguay</v>
      </c>
      <c r="F41" s="178" t="str">
        <f>'Data for Graph complete'!Q$129</f>
        <v>Uruguay  |  Pensión por Vejez (Programa de Pensiones No-Contributivas)</v>
      </c>
      <c r="G41" s="178" t="str">
        <f t="shared" si="1"/>
        <v>Uruguay</v>
      </c>
      <c r="H41" s="179">
        <f>'Data for Graph complete'!U$129</f>
        <v>19.347563869633696</v>
      </c>
      <c r="I41" s="180">
        <f>'Data for Graph complete'!R$129</f>
        <v>296.52898731027619</v>
      </c>
    </row>
    <row r="42" spans="1:9" ht="25.5">
      <c r="A42" s="185">
        <f>'Data for Graph complete'!A$127</f>
        <v>1</v>
      </c>
      <c r="B42" s="177" t="str">
        <f>'Data for Graph complete'!B$127</f>
        <v>United Kingdom</v>
      </c>
      <c r="C42" s="177" t="str">
        <f>'Data for Graph complete'!C$127</f>
        <v xml:space="preserve">  |  </v>
      </c>
      <c r="D42" s="177" t="str">
        <f>'Data for Graph complete'!D$127</f>
        <v>Pension credit (Guarantee Credit)</v>
      </c>
      <c r="E42" s="178" t="str">
        <f>'Data for Graph complete'!B$127</f>
        <v>United Kingdom</v>
      </c>
      <c r="F42" s="178" t="str">
        <f>'Data for Graph complete'!Q$127</f>
        <v>United Kingdom  |  Pension credit (Guarantee Credit)</v>
      </c>
      <c r="G42" s="178" t="str">
        <f t="shared" si="1"/>
        <v>United Kingdom</v>
      </c>
      <c r="H42" s="179">
        <f>'Data for Graph complete'!U$127</f>
        <v>19.477563084802355</v>
      </c>
      <c r="I42" s="180">
        <f>'Data for Graph complete'!R$127</f>
        <v>892.32833583208389</v>
      </c>
    </row>
    <row r="43" spans="1:9" ht="38.25">
      <c r="A43" s="185">
        <f>'Data for Graph complete'!A$62</f>
        <v>1</v>
      </c>
      <c r="B43" s="177" t="str">
        <f>'Data for Graph complete'!B$62</f>
        <v>Jamaica</v>
      </c>
      <c r="C43" s="177" t="str">
        <f>'Data for Graph complete'!C$62</f>
        <v xml:space="preserve">  |  </v>
      </c>
      <c r="D43" s="177" t="str">
        <f>'Data for Graph complete'!D$62</f>
        <v>The Programme for Advancement through Health and Education (PATH)</v>
      </c>
      <c r="E43" s="178" t="str">
        <f>'Data for Graph complete'!B$62</f>
        <v>Jamaica</v>
      </c>
      <c r="F43" s="178" t="str">
        <f>'Data for Graph complete'!Q$62</f>
        <v>Jamaica  |  The Programme for Advancement through Health and Education (PATH)</v>
      </c>
      <c r="G43" s="178" t="str">
        <f t="shared" si="1"/>
        <v>Jamaica</v>
      </c>
      <c r="H43" s="179">
        <f>'Data for Graph complete'!U$62</f>
        <v>19.5</v>
      </c>
      <c r="I43" s="180">
        <f>'Data for Graph complete'!R$62</f>
        <v>22.610133229602258</v>
      </c>
    </row>
    <row r="44" spans="1:9">
      <c r="A44" s="185">
        <f>'Data for Graph complete'!A$131</f>
        <v>1</v>
      </c>
      <c r="B44" s="177" t="str">
        <f>'Data for Graph complete'!B$131</f>
        <v>Venezuela</v>
      </c>
      <c r="C44" s="177" t="str">
        <f>'Data for Graph complete'!C$131</f>
        <v xml:space="preserve">  |  </v>
      </c>
      <c r="D44" s="177" t="str">
        <f>'Data for Graph complete'!D$131</f>
        <v>Gran Mision Amor Mayor</v>
      </c>
      <c r="E44" s="178" t="str">
        <f>'Data for Graph complete'!B$131</f>
        <v>Venezuela</v>
      </c>
      <c r="F44" s="178" t="str">
        <f>'Data for Graph complete'!Q$131</f>
        <v>Venezuela  |  Gran Mision Amor Mayor</v>
      </c>
      <c r="G44" s="178" t="str">
        <f t="shared" si="1"/>
        <v>Venezuela</v>
      </c>
      <c r="H44" s="179">
        <f>'Data for Graph complete'!U$131</f>
        <v>20.234783442850976</v>
      </c>
      <c r="I44" s="180">
        <f>'Data for Graph complete'!R$131</f>
        <v>427.38818332413035</v>
      </c>
    </row>
    <row r="45" spans="1:9">
      <c r="A45" s="185">
        <f>'Data for Graph complete'!A$93</f>
        <v>1</v>
      </c>
      <c r="B45" s="177" t="str">
        <f>'Data for Graph complete'!B$93</f>
        <v>Norway</v>
      </c>
      <c r="C45" s="177" t="str">
        <f>'Data for Graph complete'!C$93</f>
        <v xml:space="preserve">  |  </v>
      </c>
      <c r="D45" s="177" t="str">
        <f>'Data for Graph complete'!D$93</f>
        <v>Grunnpensjon (Basic Pension)</v>
      </c>
      <c r="E45" s="178" t="str">
        <f>'Data for Graph complete'!B$93</f>
        <v>Norway</v>
      </c>
      <c r="F45" s="178" t="str">
        <f>'Data for Graph complete'!Q$93</f>
        <v>Norway  |  Grunnpensjon (Basic Pension)</v>
      </c>
      <c r="G45" s="178" t="str">
        <f t="shared" si="1"/>
        <v>Norway</v>
      </c>
      <c r="H45" s="179">
        <f>'Data for Graph complete'!U$93</f>
        <v>21.558703888045386</v>
      </c>
      <c r="I45" s="180">
        <f>'Data for Graph complete'!R$93</f>
        <v>616.27772704211066</v>
      </c>
    </row>
    <row r="46" spans="1:9" ht="25.5">
      <c r="A46" s="185">
        <f>'Data for Graph complete'!A$21</f>
        <v>1</v>
      </c>
      <c r="B46" s="177" t="str">
        <f>'Data for Graph complete'!B$21</f>
        <v>Brazil [Rural pensionn]</v>
      </c>
      <c r="C46" s="177" t="str">
        <f>'Data for Graph complete'!C$21</f>
        <v xml:space="preserve">  |  </v>
      </c>
      <c r="D46" s="177" t="str">
        <f>'Data for Graph complete'!D$21</f>
        <v>Previdencia Rural (Rural Pension)</v>
      </c>
      <c r="E46" s="178" t="str">
        <f>'Data for Graph complete'!B$21</f>
        <v>Brazil [Rural pensionn]</v>
      </c>
      <c r="F46" s="178" t="str">
        <f>'Data for Graph complete'!Q$21</f>
        <v>Brazil [Rural pensionn]  |  Previdencia Rural (Rural Pension)</v>
      </c>
      <c r="G46" s="178" t="str">
        <f t="shared" si="1"/>
        <v>Brazil [Rural pensionn]</v>
      </c>
      <c r="H46" s="179">
        <f>'Data for Graph complete'!U$21</f>
        <v>23.945626680505882</v>
      </c>
      <c r="I46" s="180">
        <f>'Data for Graph complete'!R$21</f>
        <v>330.85106382978728</v>
      </c>
    </row>
    <row r="47" spans="1:9">
      <c r="A47" s="185">
        <f>'Data for Graph complete'!A$58</f>
        <v>1</v>
      </c>
      <c r="B47" s="177" t="str">
        <f>'Data for Graph complete'!B$58</f>
        <v>Ireland</v>
      </c>
      <c r="C47" s="177" t="str">
        <f>'Data for Graph complete'!C$58</f>
        <v xml:space="preserve">  |  </v>
      </c>
      <c r="D47" s="177" t="str">
        <f>'Data for Graph complete'!D$58</f>
        <v>Targeted pension</v>
      </c>
      <c r="E47" s="178" t="str">
        <f>'Data for Graph complete'!B$58</f>
        <v>Ireland</v>
      </c>
      <c r="F47" s="178" t="str">
        <f>'Data for Graph complete'!Q$58</f>
        <v>Ireland  |  Targeted pension</v>
      </c>
      <c r="G47" s="178" t="str">
        <f t="shared" si="1"/>
        <v>Ireland</v>
      </c>
      <c r="H47" s="179">
        <f>'Data for Graph complete'!U$58</f>
        <v>28</v>
      </c>
      <c r="I47" s="180">
        <f>'Data for Graph complete'!R$58</f>
        <v>1100.9280742459398</v>
      </c>
    </row>
    <row r="48" spans="1:9">
      <c r="A48" s="185">
        <f>'Data for Graph complete'!A$12</f>
        <v>1</v>
      </c>
      <c r="B48" s="177" t="str">
        <f>'Data for Graph complete'!B$12</f>
        <v>Bangladesh</v>
      </c>
      <c r="C48" s="177" t="str">
        <f>'Data for Graph complete'!C$12</f>
        <v xml:space="preserve">  |  </v>
      </c>
      <c r="D48" s="177" t="str">
        <f>'Data for Graph complete'!D$12</f>
        <v>Old Age Allowance</v>
      </c>
      <c r="E48" s="178" t="str">
        <f>'Data for Graph complete'!B$12</f>
        <v>Bangladesh</v>
      </c>
      <c r="F48" s="178" t="str">
        <f>'Data for Graph complete'!Q$12</f>
        <v>Bangladesh  |  Old Age Allowance</v>
      </c>
      <c r="G48" s="178" t="str">
        <f t="shared" si="1"/>
        <v>Bangladesh</v>
      </c>
      <c r="H48" s="179">
        <f>'Data for Graph complete'!U$12</f>
        <v>28.297416156642424</v>
      </c>
      <c r="I48" s="180">
        <f>'Data for Graph complete'!R$12</f>
        <v>10</v>
      </c>
    </row>
    <row r="49" spans="1:9" ht="25.5">
      <c r="A49" s="185">
        <f>'Data for Graph complete'!A$14</f>
        <v>1</v>
      </c>
      <c r="B49" s="177" t="str">
        <f>'Data for Graph complete'!B$14</f>
        <v>Barbados</v>
      </c>
      <c r="C49" s="177" t="str">
        <f>'Data for Graph complete'!C$14</f>
        <v xml:space="preserve">  |  </v>
      </c>
      <c r="D49" s="177" t="str">
        <f>'Data for Graph complete'!D$14</f>
        <v>Non-contributory Old Age Pension</v>
      </c>
      <c r="E49" s="178" t="str">
        <f>'Data for Graph complete'!B$14</f>
        <v>Barbados</v>
      </c>
      <c r="F49" s="178" t="str">
        <f>'Data for Graph complete'!Q$14</f>
        <v>Barbados  |  Non-contributory Old Age Pension</v>
      </c>
      <c r="G49" s="178" t="str">
        <f t="shared" si="1"/>
        <v>Barbados</v>
      </c>
      <c r="H49" s="179">
        <f>'Data for Graph complete'!U$14</f>
        <v>33.766107306306594</v>
      </c>
      <c r="I49" s="180">
        <f>'Data for Graph complete'!R$14</f>
        <v>421</v>
      </c>
    </row>
    <row r="50" spans="1:9" ht="25.5">
      <c r="A50" s="185">
        <f>'Data for Graph complete'!A$25</f>
        <v>1</v>
      </c>
      <c r="B50" s="177" t="str">
        <f>'Data for Graph complete'!B$25</f>
        <v>Canada Targeted</v>
      </c>
      <c r="C50" s="177" t="str">
        <f>'Data for Graph complete'!C$25</f>
        <v xml:space="preserve">  |  </v>
      </c>
      <c r="D50" s="177" t="str">
        <f>'Data for Graph complete'!D$25</f>
        <v>Canada targeted pension</v>
      </c>
      <c r="E50" s="178" t="str">
        <f>'Data for Graph complete'!B$25</f>
        <v>Canada Targeted</v>
      </c>
      <c r="F50" s="178" t="str">
        <f>'Data for Graph complete'!Q$25</f>
        <v>Canada Targeted  |  Canada targeted pension</v>
      </c>
      <c r="G50" s="178" t="str">
        <f t="shared" si="1"/>
        <v>Canada Targeted</v>
      </c>
      <c r="H50" s="179">
        <f>'Data for Graph complete'!U$25</f>
        <v>34</v>
      </c>
      <c r="I50" s="180">
        <f>'Data for Graph complete'!R$25</f>
        <v>433.32774518021796</v>
      </c>
    </row>
    <row r="51" spans="1:9">
      <c r="A51" s="185">
        <f>'Data for Graph complete'!A$10</f>
        <v>1</v>
      </c>
      <c r="B51" s="177" t="str">
        <f>'Data for Graph complete'!B$10</f>
        <v>Azerbaijan</v>
      </c>
      <c r="C51" s="177" t="str">
        <f>'Data for Graph complete'!C$10</f>
        <v xml:space="preserve">  |  </v>
      </c>
      <c r="D51" s="177" t="str">
        <f>'Data for Graph complete'!D$10</f>
        <v>Social Allowance (Old Age)</v>
      </c>
      <c r="E51" s="178" t="str">
        <f>'Data for Graph complete'!B$10</f>
        <v>Azerbaijan</v>
      </c>
      <c r="F51" s="178" t="str">
        <f>'Data for Graph complete'!Q$10</f>
        <v>Azerbaijan  |  Social Allowance (Old Age)</v>
      </c>
      <c r="G51" s="178" t="str">
        <f t="shared" si="1"/>
        <v>Azerbaijan</v>
      </c>
      <c r="H51" s="179">
        <f>'Data for Graph complete'!U$10</f>
        <v>36.316015362774984</v>
      </c>
      <c r="I51" s="180">
        <f>'Data for Graph complete'!R$10</f>
        <v>122</v>
      </c>
    </row>
    <row r="52" spans="1:9" ht="25.5">
      <c r="A52" s="185">
        <f>'Data for Graph complete'!A$27</f>
        <v>1</v>
      </c>
      <c r="B52" s="177" t="str">
        <f>'Data for Graph complete'!B$27</f>
        <v>Cape Verde</v>
      </c>
      <c r="C52" s="177" t="str">
        <f>'Data for Graph complete'!C$27</f>
        <v xml:space="preserve">  |  </v>
      </c>
      <c r="D52" s="177" t="str">
        <f>'Data for Graph complete'!D$27</f>
        <v>Pensao Social Minima (Minimum Social Pension)</v>
      </c>
      <c r="E52" s="178" t="str">
        <f>'Data for Graph complete'!B$27</f>
        <v>Cape Verde</v>
      </c>
      <c r="F52" s="178" t="str">
        <f>'Data for Graph complete'!Q$27</f>
        <v>Cape Verde  |  Pensao Social Minima (Minimum Social Pension)</v>
      </c>
      <c r="G52" s="178" t="str">
        <f t="shared" si="1"/>
        <v>Cape Verde</v>
      </c>
      <c r="H52" s="179">
        <f>'Data for Graph complete'!U$27</f>
        <v>37.468684651856144</v>
      </c>
      <c r="I52" s="180">
        <f>'Data for Graph complete'!R$27</f>
        <v>69.226189652069166</v>
      </c>
    </row>
    <row r="53" spans="1:9" ht="38.25">
      <c r="A53" s="185">
        <f>'Data for Graph complete'!A$132</f>
        <v>1</v>
      </c>
      <c r="B53" s="177" t="str">
        <f>'Data for Graph complete'!B$132</f>
        <v>Viet Nam  [80 years old and over]</v>
      </c>
      <c r="C53" s="177" t="str">
        <f>'Data for Graph complete'!C$132</f>
        <v xml:space="preserve">  |  </v>
      </c>
      <c r="D53" s="177" t="str">
        <f>'Data for Graph complete'!D$132</f>
        <v>Social assistance benefit (clause 3)</v>
      </c>
      <c r="E53" s="178" t="str">
        <f>'Data for Graph complete'!B$132</f>
        <v>Viet Nam  [80 years old and over]</v>
      </c>
      <c r="F53" s="178" t="str">
        <f>'Data for Graph complete'!Q$132</f>
        <v>Viet Nam  [80 years old and over]  |  Social assistance benefit (clause 3)</v>
      </c>
      <c r="G53" s="178" t="str">
        <f t="shared" si="1"/>
        <v>Viet Nam  [80 years old and over]</v>
      </c>
      <c r="H53" s="179">
        <f>'Data for Graph complete'!U$132</f>
        <v>37.554000000000002</v>
      </c>
      <c r="I53" s="180">
        <f>'Data for Graph complete'!R$132</f>
        <v>21.300623149730246</v>
      </c>
    </row>
    <row r="54" spans="1:9">
      <c r="A54" s="185">
        <f>'Data for Graph complete'!A$83</f>
        <v>1</v>
      </c>
      <c r="B54" s="177" t="str">
        <f>'Data for Graph complete'!B$83</f>
        <v>Mexico</v>
      </c>
      <c r="C54" s="177" t="str">
        <f>'Data for Graph complete'!C$83</f>
        <v xml:space="preserve">  |  </v>
      </c>
      <c r="D54" s="177" t="str">
        <f>'Data for Graph complete'!D$83</f>
        <v>70 y mas</v>
      </c>
      <c r="E54" s="178" t="str">
        <f>'Data for Graph complete'!B$83</f>
        <v>Mexico</v>
      </c>
      <c r="F54" s="178" t="str">
        <f>'Data for Graph complete'!Q$83</f>
        <v>Mexico  |  70 y mas</v>
      </c>
      <c r="G54" s="178" t="str">
        <f t="shared" si="1"/>
        <v>Mexico</v>
      </c>
      <c r="H54" s="179">
        <f>'Data for Graph complete'!U$83</f>
        <v>38.444170729927869</v>
      </c>
      <c r="I54" s="180">
        <f>'Data for Graph complete'!R$83</f>
        <v>57.910586055130878</v>
      </c>
    </row>
    <row r="55" spans="1:9" ht="25.5">
      <c r="A55" s="185">
        <f>'Data for Graph complete'!A$17</f>
        <v>1</v>
      </c>
      <c r="B55" s="177" t="str">
        <f>'Data for Graph complete'!B$17</f>
        <v>Belize</v>
      </c>
      <c r="C55" s="177" t="str">
        <f>'Data for Graph complete'!C$17</f>
        <v xml:space="preserve">  |  </v>
      </c>
      <c r="D55" s="177" t="str">
        <f>'Data for Graph complete'!D$17</f>
        <v>Non-Contributory Pension Programme (NCP)</v>
      </c>
      <c r="E55" s="178" t="str">
        <f>'Data for Graph complete'!B$17</f>
        <v>Belize</v>
      </c>
      <c r="F55" s="178" t="str">
        <f>'Data for Graph complete'!Q$17</f>
        <v>Belize  |  Non-Contributory Pension Programme (NCP)</v>
      </c>
      <c r="G55" s="178" t="str">
        <f t="shared" si="1"/>
        <v>Belize</v>
      </c>
      <c r="H55" s="179">
        <f>'Data for Graph complete'!U$17</f>
        <v>39.1</v>
      </c>
      <c r="I55" s="180">
        <f>'Data for Graph complete'!R$17</f>
        <v>94.161958568738228</v>
      </c>
    </row>
    <row r="56" spans="1:9" ht="25.5">
      <c r="A56" s="185">
        <f>'Data for Graph complete'!A$116</f>
        <v>1</v>
      </c>
      <c r="B56" s="177" t="str">
        <f>'Data for Graph complete'!B$116</f>
        <v>Sweden</v>
      </c>
      <c r="C56" s="177" t="str">
        <f>'Data for Graph complete'!C$116</f>
        <v xml:space="preserve">  |  </v>
      </c>
      <c r="D56" s="177" t="str">
        <f>'Data for Graph complete'!D$116</f>
        <v>Garantipension (Guaranteed pension)</v>
      </c>
      <c r="E56" s="178" t="str">
        <f>'Data for Graph complete'!B$116</f>
        <v>Sweden</v>
      </c>
      <c r="F56" s="178" t="str">
        <f>'Data for Graph complete'!Q$116</f>
        <v>Sweden  |  Garantipension (Guaranteed pension)</v>
      </c>
      <c r="G56" s="178" t="str">
        <f t="shared" si="1"/>
        <v>Sweden</v>
      </c>
      <c r="H56" s="179">
        <f>'Data for Graph complete'!U$116</f>
        <v>47.878538424615044</v>
      </c>
      <c r="I56" s="180">
        <f>'Data for Graph complete'!R$116</f>
        <v>839.69713476413551</v>
      </c>
    </row>
    <row r="57" spans="1:9" ht="25.5">
      <c r="A57" s="185">
        <f>'Data for Graph complete'!A$28</f>
        <v>1</v>
      </c>
      <c r="B57" s="177" t="str">
        <f>'Data for Graph complete'!B$28</f>
        <v>Chile</v>
      </c>
      <c r="C57" s="177" t="str">
        <f>'Data for Graph complete'!C$28</f>
        <v xml:space="preserve">  |  </v>
      </c>
      <c r="D57" s="177" t="str">
        <f>'Data for Graph complete'!D$28</f>
        <v>Pension Basica Solidaria de Vejez (PBS-Vejez)</v>
      </c>
      <c r="E57" s="178" t="str">
        <f>'Data for Graph complete'!B$28</f>
        <v>Chile</v>
      </c>
      <c r="F57" s="178" t="str">
        <f>'Data for Graph complete'!Q$28</f>
        <v>Chile  |  Pension Basica Solidaria de Vejez (PBS-Vejez)</v>
      </c>
      <c r="G57" s="178" t="str">
        <f t="shared" si="1"/>
        <v>Chile</v>
      </c>
      <c r="H57" s="179">
        <f>'Data for Graph complete'!U$28</f>
        <v>51.197644022933233</v>
      </c>
      <c r="I57" s="180">
        <f>'Data for Graph complete'!R$28</f>
        <v>195.60366128843245</v>
      </c>
    </row>
    <row r="58" spans="1:9">
      <c r="A58" s="185">
        <f>'Data for Graph complete'!A$95</f>
        <v>1</v>
      </c>
      <c r="B58" s="177" t="str">
        <f>'Data for Graph complete'!B$95</f>
        <v>Panama</v>
      </c>
      <c r="C58" s="177" t="str">
        <f>'Data for Graph complete'!C$95</f>
        <v xml:space="preserve">  |  </v>
      </c>
      <c r="D58" s="177" t="str">
        <f>'Data for Graph complete'!D$95</f>
        <v>100 a los 70</v>
      </c>
      <c r="E58" s="178" t="str">
        <f>'Data for Graph complete'!B$95</f>
        <v>Panama</v>
      </c>
      <c r="F58" s="178" t="str">
        <f>'Data for Graph complete'!Q$95</f>
        <v>Panama  |  100 a los 70</v>
      </c>
      <c r="G58" s="178" t="str">
        <f t="shared" si="1"/>
        <v>Panama</v>
      </c>
      <c r="H58" s="179">
        <f>'Data for Graph complete'!U$95</f>
        <v>55.580647906316074</v>
      </c>
      <c r="I58" s="180">
        <f>'Data for Graph complete'!R$95</f>
        <v>165.56291390728478</v>
      </c>
    </row>
    <row r="59" spans="1:9" ht="38.25">
      <c r="A59" s="185">
        <f>'Data for Graph complete'!A$38</f>
        <v>1</v>
      </c>
      <c r="B59" s="177" t="str">
        <f>'Data for Graph complete'!B$38</f>
        <v>Ecuador</v>
      </c>
      <c r="C59" s="177" t="str">
        <f>'Data for Graph complete'!C$38</f>
        <v xml:space="preserve">  |  </v>
      </c>
      <c r="D59" s="177" t="str">
        <f>'Data for Graph complete'!D$38</f>
        <v>Pension para Adultos Mayores (Pension for Older People/ Bono de Desarollo Humano )</v>
      </c>
      <c r="E59" s="178" t="str">
        <f>'Data for Graph complete'!B$38</f>
        <v>Ecuador</v>
      </c>
      <c r="F59" s="178" t="str">
        <f>'Data for Graph complete'!Q$38</f>
        <v>Ecuador  |  Pension para Adultos Mayores (Pension for Older People/ Bono de Desarollo Humano )</v>
      </c>
      <c r="G59" s="178" t="str">
        <f t="shared" si="1"/>
        <v>Ecuador</v>
      </c>
      <c r="H59" s="179">
        <f>'Data for Graph complete'!U$38</f>
        <v>56.684322429035028</v>
      </c>
      <c r="I59" s="180">
        <f>'Data for Graph complete'!R$38</f>
        <v>74.309978768577494</v>
      </c>
    </row>
    <row r="60" spans="1:9">
      <c r="A60" s="185">
        <f>'Data for Graph complete'!A$69</f>
        <v>1</v>
      </c>
      <c r="B60" s="177" t="str">
        <f>'Data for Graph complete'!B$69</f>
        <v>Korea, Republic of</v>
      </c>
      <c r="C60" s="177" t="str">
        <f>'Data for Graph complete'!C$69</f>
        <v xml:space="preserve">  |  </v>
      </c>
      <c r="D60" s="177" t="str">
        <f>'Data for Graph complete'!D$69</f>
        <v>Basic old-age pension</v>
      </c>
      <c r="E60" s="178" t="str">
        <f>'Data for Graph complete'!B$69</f>
        <v>Korea, Republic of</v>
      </c>
      <c r="F60" s="178" t="str">
        <f>'Data for Graph complete'!Q$69</f>
        <v>Korea, Republic of  |  Basic old-age pension</v>
      </c>
      <c r="G60" s="178" t="str">
        <f t="shared" si="1"/>
        <v>Korea, Republic of</v>
      </c>
      <c r="H60" s="179">
        <f>'Data for Graph complete'!U$69</f>
        <v>60</v>
      </c>
      <c r="I60" s="180">
        <f>'Data for Graph complete'!R$69</f>
        <v>114.57056139575084</v>
      </c>
    </row>
    <row r="61" spans="1:9">
      <c r="A61" s="185">
        <f>'Data for Graph complete'!A$70</f>
        <v>1</v>
      </c>
      <c r="B61" s="177" t="str">
        <f>'Data for Graph complete'!B$70</f>
        <v>Kosovo</v>
      </c>
      <c r="C61" s="177" t="str">
        <f>'Data for Graph complete'!C$70</f>
        <v xml:space="preserve">  |  </v>
      </c>
      <c r="D61" s="177" t="str">
        <f>'Data for Graph complete'!D$70</f>
        <v>Old age "basic pension"</v>
      </c>
      <c r="E61" s="178" t="str">
        <f>'Data for Graph complete'!B$70</f>
        <v>Kosovo</v>
      </c>
      <c r="F61" s="178" t="str">
        <f>'Data for Graph complete'!Q$70</f>
        <v>Kosovo  |  Old age "basic pension"</v>
      </c>
      <c r="G61" s="178" t="str">
        <f t="shared" si="1"/>
        <v>Kosovo</v>
      </c>
      <c r="H61" s="179">
        <f>'Data for Graph complete'!U$70</f>
        <v>60</v>
      </c>
      <c r="I61" s="180">
        <f>'Data for Graph complete'!R$70</f>
        <v>128.2051282051282</v>
      </c>
    </row>
    <row r="62" spans="1:9">
      <c r="A62" s="185">
        <f>'Data for Graph complete'!A$89</f>
        <v>1</v>
      </c>
      <c r="B62" s="177" t="str">
        <f>'Data for Graph complete'!B$89</f>
        <v>Nepal</v>
      </c>
      <c r="C62" s="177" t="str">
        <f>'Data for Graph complete'!C$89</f>
        <v xml:space="preserve">  |  </v>
      </c>
      <c r="D62" s="177" t="str">
        <f>'Data for Graph complete'!D$89</f>
        <v>Old Age Allowance</v>
      </c>
      <c r="E62" s="178" t="str">
        <f>'Data for Graph complete'!B$89</f>
        <v>Nepal</v>
      </c>
      <c r="F62" s="178" t="str">
        <f>'Data for Graph complete'!Q$89</f>
        <v>Nepal  |  Old Age Allowance</v>
      </c>
      <c r="G62" s="178" t="str">
        <f t="shared" si="1"/>
        <v>Nepal</v>
      </c>
      <c r="H62" s="179">
        <f>'Data for Graph complete'!U$89</f>
        <v>69.099199210671884</v>
      </c>
      <c r="I62" s="180">
        <f>'Data for Graph complete'!R$89</f>
        <v>17.303433001107418</v>
      </c>
    </row>
    <row r="63" spans="1:9">
      <c r="A63" s="185">
        <f>'Data for Graph complete'!A$111</f>
        <v>1</v>
      </c>
      <c r="B63" s="177" t="str">
        <f>'Data for Graph complete'!B$111</f>
        <v>South Africa</v>
      </c>
      <c r="C63" s="177" t="str">
        <f>'Data for Graph complete'!C$111</f>
        <v xml:space="preserve">  |  </v>
      </c>
      <c r="D63" s="177" t="str">
        <f>'Data for Graph complete'!D$111</f>
        <v>Grant for Older Persons</v>
      </c>
      <c r="E63" s="178" t="str">
        <f>'Data for Graph complete'!B$111</f>
        <v>South Africa</v>
      </c>
      <c r="F63" s="178" t="str">
        <f>'Data for Graph complete'!Q$111</f>
        <v>South Africa  |  Grant for Older Persons</v>
      </c>
      <c r="G63" s="178" t="str">
        <f t="shared" si="1"/>
        <v>South Africa</v>
      </c>
      <c r="H63" s="179">
        <f>'Data for Graph complete'!U$111</f>
        <v>70.634410911389537</v>
      </c>
      <c r="I63" s="180">
        <f>'Data for Graph complete'!R$111</f>
        <v>225.05626406601652</v>
      </c>
    </row>
    <row r="64" spans="1:9">
      <c r="A64" s="185">
        <f>'Data for Graph complete'!A$8</f>
        <v>1</v>
      </c>
      <c r="B64" s="177" t="str">
        <f>'Data for Graph complete'!B$8</f>
        <v>Australia</v>
      </c>
      <c r="C64" s="177" t="str">
        <f>'Data for Graph complete'!C$8</f>
        <v xml:space="preserve">  |  </v>
      </c>
      <c r="D64" s="177" t="str">
        <f>'Data for Graph complete'!D$8</f>
        <v>Age Pension</v>
      </c>
      <c r="E64" s="178" t="str">
        <f>'Data for Graph complete'!B$8</f>
        <v>Australia</v>
      </c>
      <c r="F64" s="178" t="str">
        <f>'Data for Graph complete'!Q$8</f>
        <v>Australia  |  Age Pension</v>
      </c>
      <c r="G64" s="178" t="str">
        <f t="shared" si="1"/>
        <v>Australia</v>
      </c>
      <c r="H64" s="179">
        <f>'Data for Graph complete'!U$8</f>
        <v>70.724438445894648</v>
      </c>
      <c r="I64" s="180">
        <f>'Data for Graph complete'!R$8</f>
        <v>958.32061068702285</v>
      </c>
    </row>
    <row r="65" spans="1:9" ht="25.5">
      <c r="A65" s="185">
        <f>'Data for Graph complete'!A$50</f>
        <v>1</v>
      </c>
      <c r="B65" s="177" t="str">
        <f>'Data for Graph complete'!B$50</f>
        <v>Hong Kong</v>
      </c>
      <c r="C65" s="177" t="str">
        <f>'Data for Graph complete'!C$50</f>
        <v xml:space="preserve">  |  </v>
      </c>
      <c r="D65" s="177" t="str">
        <f>'Data for Graph complete'!D$50</f>
        <v>Normal/higher old age allowance</v>
      </c>
      <c r="E65" s="178" t="str">
        <f>'Data for Graph complete'!B$50</f>
        <v>Hong Kong</v>
      </c>
      <c r="F65" s="178" t="str">
        <f>'Data for Graph complete'!Q$50</f>
        <v>Hong Kong  |  Normal/higher old age allowance</v>
      </c>
      <c r="G65" s="178" t="str">
        <f t="shared" si="1"/>
        <v>Hong Kong</v>
      </c>
      <c r="H65" s="179">
        <f>'Data for Graph complete'!U$50</f>
        <v>71.864998937716464</v>
      </c>
      <c r="I65" s="180">
        <f>'Data for Graph complete'!R$50</f>
        <v>196.82195738533767</v>
      </c>
    </row>
    <row r="66" spans="1:9" ht="25.5">
      <c r="A66" s="185">
        <f>'Data for Graph complete'!A$122</f>
        <v>1</v>
      </c>
      <c r="B66" s="177" t="str">
        <f>'Data for Graph complete'!B$122</f>
        <v>Trinidad and Tobago</v>
      </c>
      <c r="C66" s="177" t="str">
        <f>'Data for Graph complete'!C$122</f>
        <v xml:space="preserve">  |  </v>
      </c>
      <c r="D66" s="177" t="str">
        <f>'Data for Graph complete'!D$122</f>
        <v>Senior Citizens' Pension</v>
      </c>
      <c r="E66" s="178" t="str">
        <f>'Data for Graph complete'!B$122</f>
        <v>Trinidad and Tobago</v>
      </c>
      <c r="F66" s="178" t="str">
        <f>'Data for Graph complete'!Q$122</f>
        <v>Trinidad and Tobago  |  Senior Citizens' Pension</v>
      </c>
      <c r="G66" s="178" t="str">
        <f t="shared" si="1"/>
        <v>Trinidad and Tobago</v>
      </c>
      <c r="H66" s="179">
        <f>'Data for Graph complete'!U$122</f>
        <v>77.94435583909268</v>
      </c>
      <c r="I66" s="180">
        <f>'Data for Graph complete'!R$122</f>
        <v>594.05940594059405</v>
      </c>
    </row>
    <row r="67" spans="1:9" ht="25.5">
      <c r="A67" s="185">
        <f>'Data for Graph complete'!A$54</f>
        <v>1</v>
      </c>
      <c r="B67" s="177" t="str">
        <f>'Data for Graph complete'!B$54</f>
        <v>Iceland</v>
      </c>
      <c r="C67" s="177" t="str">
        <f>'Data for Graph complete'!C$54</f>
        <v xml:space="preserve">  |  </v>
      </c>
      <c r="D67" s="177" t="str">
        <f>'Data for Graph complete'!D$54</f>
        <v>lífeyristryggingar almannatrygginga (National Basic Pension)</v>
      </c>
      <c r="E67" s="178" t="str">
        <f>'Data for Graph complete'!B$54</f>
        <v>Iceland</v>
      </c>
      <c r="F67" s="178" t="str">
        <f>'Data for Graph complete'!Q$54</f>
        <v>Iceland  |  lífeyristryggingar almannatrygginga (National Basic Pension)</v>
      </c>
      <c r="G67" s="178" t="str">
        <f t="shared" si="1"/>
        <v>Iceland</v>
      </c>
      <c r="H67" s="179">
        <f>'Data for Graph complete'!U$54</f>
        <v>79.296961282383023</v>
      </c>
      <c r="I67" s="180">
        <f>'Data for Graph complete'!R$54</f>
        <v>195.63810756289726</v>
      </c>
    </row>
    <row r="68" spans="1:9">
      <c r="A68" s="185">
        <f>'Data for Graph complete'!A$120</f>
        <v>1</v>
      </c>
      <c r="B68" s="177" t="str">
        <f>'Data for Graph complete'!B$120</f>
        <v>Thailand</v>
      </c>
      <c r="C68" s="177" t="str">
        <f>'Data for Graph complete'!C$120</f>
        <v xml:space="preserve">  |  </v>
      </c>
      <c r="D68" s="177" t="str">
        <f>'Data for Graph complete'!D$120</f>
        <v>Old Age Allowance (THA)</v>
      </c>
      <c r="E68" s="178" t="str">
        <f>'Data for Graph complete'!B$120</f>
        <v>Thailand</v>
      </c>
      <c r="F68" s="178" t="str">
        <f>'Data for Graph complete'!Q$120</f>
        <v>Thailand  |  Old Age Allowance (THA)</v>
      </c>
      <c r="G68" s="178" t="str">
        <f t="shared" ref="G68:G86" si="2">B68</f>
        <v>Thailand</v>
      </c>
      <c r="H68" s="179">
        <f>'Data for Graph complete'!U$120</f>
        <v>81.732667719776884</v>
      </c>
      <c r="I68" s="180">
        <f>'Data for Graph complete'!R$120</f>
        <v>33.713547227060737</v>
      </c>
    </row>
    <row r="69" spans="1:9">
      <c r="A69" s="185">
        <f>'Data for Graph complete'!A$44</f>
        <v>1</v>
      </c>
      <c r="B69" s="177" t="str">
        <f>'Data for Graph complete'!B$44</f>
        <v>Georgia</v>
      </c>
      <c r="C69" s="177" t="str">
        <f>'Data for Graph complete'!C$44</f>
        <v xml:space="preserve">  |  </v>
      </c>
      <c r="D69" s="177" t="str">
        <f>'Data for Graph complete'!D$44</f>
        <v>Old Age Pension</v>
      </c>
      <c r="E69" s="178" t="str">
        <f>'Data for Graph complete'!B$44</f>
        <v>Georgia</v>
      </c>
      <c r="F69" s="178" t="str">
        <f>'Data for Graph complete'!Q$44</f>
        <v>Georgia  |  Old Age Pension</v>
      </c>
      <c r="G69" s="178" t="str">
        <f t="shared" si="2"/>
        <v>Georgia</v>
      </c>
      <c r="H69" s="179">
        <f>'Data for Graph complete'!U$44</f>
        <v>88.265157600228576</v>
      </c>
      <c r="I69" s="180">
        <f>'Data for Graph complete'!R$44</f>
        <v>86.673889490790899</v>
      </c>
    </row>
    <row r="70" spans="1:9">
      <c r="A70" s="185">
        <f>'Data for Graph complete'!A$79</f>
        <v>1</v>
      </c>
      <c r="B70" s="177" t="str">
        <f>'Data for Graph complete'!B$79</f>
        <v>Maldives</v>
      </c>
      <c r="C70" s="177" t="str">
        <f>'Data for Graph complete'!C$79</f>
        <v xml:space="preserve">  |  </v>
      </c>
      <c r="D70" s="177" t="str">
        <f>'Data for Graph complete'!D$79</f>
        <v>Old-age Basic Pension</v>
      </c>
      <c r="E70" s="178" t="str">
        <f>'Data for Graph complete'!B$79</f>
        <v>Maldives</v>
      </c>
      <c r="F70" s="178" t="str">
        <f>'Data for Graph complete'!Q$79</f>
        <v>Maldives  |  Old-age Basic Pension</v>
      </c>
      <c r="G70" s="178" t="str">
        <f t="shared" si="2"/>
        <v>Maldives</v>
      </c>
      <c r="H70" s="179">
        <f>'Data for Graph complete'!U$79</f>
        <v>89.643822734218887</v>
      </c>
      <c r="I70" s="180">
        <f>'Data for Graph complete'!R$79</f>
        <v>194.96977968414896</v>
      </c>
    </row>
    <row r="71" spans="1:9" ht="38.25">
      <c r="A71" s="185">
        <f>'Data for Graph complete'!A$114</f>
        <v>1</v>
      </c>
      <c r="B71" s="177" t="str">
        <f>'Data for Graph complete'!B$114</f>
        <v>Suriname</v>
      </c>
      <c r="C71" s="177" t="str">
        <f>'Data for Graph complete'!C$114</f>
        <v xml:space="preserve">  |  </v>
      </c>
      <c r="D71" s="177" t="str">
        <f>'Data for Graph complete'!D$114</f>
        <v>State Old Age Pension (Algemene Oudedags Voorzieningsfonds (AOV))</v>
      </c>
      <c r="E71" s="178" t="str">
        <f>'Data for Graph complete'!B$114</f>
        <v>Suriname</v>
      </c>
      <c r="F71" s="178" t="str">
        <f>'Data for Graph complete'!Q$114</f>
        <v>Suriname  |  State Old Age Pension (Algemene Oudedags Voorzieningsfonds (AOV))</v>
      </c>
      <c r="G71" s="178" t="str">
        <f t="shared" si="2"/>
        <v>Suriname</v>
      </c>
      <c r="H71" s="179">
        <f>'Data for Graph complete'!U$114</f>
        <v>91.710226923313456</v>
      </c>
      <c r="I71" s="180">
        <f>'Data for Graph complete'!R$114</f>
        <v>251.13008538422901</v>
      </c>
    </row>
    <row r="72" spans="1:9">
      <c r="A72" s="185">
        <f>'Data for Graph complete'!A$49</f>
        <v>1</v>
      </c>
      <c r="B72" s="177" t="str">
        <f>'Data for Graph complete'!B$49</f>
        <v>Guyana</v>
      </c>
      <c r="C72" s="177" t="str">
        <f>'Data for Graph complete'!C$49</f>
        <v xml:space="preserve">  |  </v>
      </c>
      <c r="D72" s="177" t="str">
        <f>'Data for Graph complete'!D$49</f>
        <v>Old Age Pension</v>
      </c>
      <c r="E72" s="178" t="str">
        <f>'Data for Graph complete'!B$49</f>
        <v>Guyana</v>
      </c>
      <c r="F72" s="178" t="str">
        <f>'Data for Graph complete'!Q$49</f>
        <v>Guyana  |  Old Age Pension</v>
      </c>
      <c r="G72" s="178" t="str">
        <f t="shared" si="2"/>
        <v>Guyana</v>
      </c>
      <c r="H72" s="179">
        <f>'Data for Graph complete'!U$49</f>
        <v>91.875523773367803</v>
      </c>
      <c r="I72" s="180">
        <f>'Data for Graph complete'!R$49</f>
        <v>114.06410402646287</v>
      </c>
    </row>
    <row r="73" spans="1:9">
      <c r="A73" s="185">
        <f>'Data for Graph complete'!A$23</f>
        <v>1</v>
      </c>
      <c r="B73" s="177" t="str">
        <f>'Data for Graph complete'!B$23</f>
        <v>Brunei Darussalam</v>
      </c>
      <c r="C73" s="177" t="str">
        <f>'Data for Graph complete'!C$23</f>
        <v xml:space="preserve">  |  </v>
      </c>
      <c r="D73" s="177" t="str">
        <f>'Data for Graph complete'!D$23</f>
        <v>Old Age pension</v>
      </c>
      <c r="E73" s="178" t="str">
        <f>'Data for Graph complete'!B$23</f>
        <v>Brunei Darussalam</v>
      </c>
      <c r="F73" s="178" t="str">
        <f>'Data for Graph complete'!Q$23</f>
        <v>Brunei Darussalam  |  Old Age pension</v>
      </c>
      <c r="G73" s="178" t="str">
        <f t="shared" si="2"/>
        <v>Brunei Darussalam</v>
      </c>
      <c r="H73" s="179">
        <f>'Data for Graph complete'!U$23</f>
        <v>92.373918548216906</v>
      </c>
      <c r="I73" s="180">
        <f>'Data for Graph complete'!R$23</f>
        <v>268</v>
      </c>
    </row>
    <row r="74" spans="1:9">
      <c r="A74" s="185">
        <f>'Data for Graph complete'!A$106</f>
        <v>1</v>
      </c>
      <c r="B74" s="177" t="str">
        <f>'Data for Graph complete'!B$106</f>
        <v>Samoa</v>
      </c>
      <c r="C74" s="177" t="str">
        <f>'Data for Graph complete'!C$106</f>
        <v xml:space="preserve">  |  </v>
      </c>
      <c r="D74" s="177" t="str">
        <f>'Data for Graph complete'!D$106</f>
        <v>Senior Citizens Benefit</v>
      </c>
      <c r="E74" s="178" t="str">
        <f>'Data for Graph complete'!B$106</f>
        <v>Samoa</v>
      </c>
      <c r="F74" s="178" t="str">
        <f>'Data for Graph complete'!Q$106</f>
        <v>Samoa  |  Senior Citizens Benefit</v>
      </c>
      <c r="G74" s="178" t="str">
        <f t="shared" si="2"/>
        <v>Samoa</v>
      </c>
      <c r="H74" s="179">
        <f>'Data for Graph complete'!U$106</f>
        <v>93.107876712328761</v>
      </c>
      <c r="I74" s="180">
        <f>'Data for Graph complete'!R$106</f>
        <v>93.795093795093806</v>
      </c>
    </row>
    <row r="75" spans="1:9">
      <c r="A75" s="185">
        <f>'Data for Graph complete'!A$91</f>
        <v>1</v>
      </c>
      <c r="B75" s="177" t="str">
        <f>'Data for Graph complete'!B$91</f>
        <v>New Zealand</v>
      </c>
      <c r="C75" s="177" t="str">
        <f>'Data for Graph complete'!C$91</f>
        <v xml:space="preserve">  |  </v>
      </c>
      <c r="D75" s="177" t="str">
        <f>'Data for Graph complete'!D$91</f>
        <v>Superannuation</v>
      </c>
      <c r="E75" s="178" t="str">
        <f>'Data for Graph complete'!B$91</f>
        <v>New Zealand</v>
      </c>
      <c r="F75" s="178" t="str">
        <f>'Data for Graph complete'!Q$91</f>
        <v>New Zealand  |  Superannuation</v>
      </c>
      <c r="G75" s="178" t="str">
        <f t="shared" si="2"/>
        <v>New Zealand</v>
      </c>
      <c r="H75" s="179">
        <f>'Data for Graph complete'!U$91</f>
        <v>93.650535675923081</v>
      </c>
      <c r="I75" s="180">
        <f>'Data for Graph complete'!R$91</f>
        <v>782.54573891977259</v>
      </c>
    </row>
    <row r="76" spans="1:9">
      <c r="A76" s="185">
        <f>'Data for Graph complete'!A$115</f>
        <v>1</v>
      </c>
      <c r="B76" s="177" t="str">
        <f>'Data for Graph complete'!B$115</f>
        <v>Swaziland</v>
      </c>
      <c r="C76" s="177" t="str">
        <f>'Data for Graph complete'!C$115</f>
        <v xml:space="preserve">  |  </v>
      </c>
      <c r="D76" s="177" t="str">
        <f>'Data for Graph complete'!D$115</f>
        <v>Old Age Grant</v>
      </c>
      <c r="E76" s="178" t="str">
        <f>'Data for Graph complete'!B$115</f>
        <v>Swaziland</v>
      </c>
      <c r="F76" s="178" t="str">
        <f>'Data for Graph complete'!Q$115</f>
        <v>Swaziland  |  Old Age Grant</v>
      </c>
      <c r="G76" s="178" t="str">
        <f t="shared" si="2"/>
        <v>Swaziland</v>
      </c>
      <c r="H76" s="179">
        <f>'Data for Graph complete'!U$115</f>
        <v>93.660729617083717</v>
      </c>
      <c r="I76" s="180">
        <f>'Data for Graph complete'!R$115</f>
        <v>43.252595155709344</v>
      </c>
    </row>
    <row r="77" spans="1:9" ht="25.5">
      <c r="A77" s="185">
        <f>'Data for Graph complete'!A$36</f>
        <v>1</v>
      </c>
      <c r="B77" s="177" t="str">
        <f>'Data for Graph complete'!B$36</f>
        <v>Denmark</v>
      </c>
      <c r="C77" s="177" t="str">
        <f>'Data for Graph complete'!C$36</f>
        <v xml:space="preserve">  |  </v>
      </c>
      <c r="D77" s="177" t="str">
        <f>'Data for Graph complete'!D$36</f>
        <v>Folkepension [national pension - Universal basic pension]</v>
      </c>
      <c r="E77" s="178" t="str">
        <f>'Data for Graph complete'!B$36</f>
        <v>Denmark</v>
      </c>
      <c r="F77" s="178" t="str">
        <f>'Data for Graph complete'!Q$36</f>
        <v>Denmark  |  Folkepension [national pension - Universal basic pension]</v>
      </c>
      <c r="G77" s="178" t="str">
        <f t="shared" si="2"/>
        <v>Denmark</v>
      </c>
      <c r="H77" s="179">
        <f>'Data for Graph complete'!U$36</f>
        <v>93.9856125207655</v>
      </c>
      <c r="I77" s="180">
        <f>'Data for Graph complete'!R$36</f>
        <v>669.20463863183784</v>
      </c>
    </row>
    <row r="78" spans="1:9" ht="25.5">
      <c r="A78" s="185">
        <f>'Data for Graph complete'!A$26</f>
        <v>1</v>
      </c>
      <c r="B78" s="177" t="str">
        <f>'Data for Graph complete'!B$26</f>
        <v>Canada basic</v>
      </c>
      <c r="C78" s="177" t="str">
        <f>'Data for Graph complete'!C$26</f>
        <v xml:space="preserve">  |  </v>
      </c>
      <c r="D78" s="177" t="str">
        <f>'Data for Graph complete'!D$26</f>
        <v>Pension de la Securite Vieillesse (S.V.) (Old Age Security Pension)</v>
      </c>
      <c r="E78" s="178" t="str">
        <f>'Data for Graph complete'!B$26</f>
        <v>Canada basic</v>
      </c>
      <c r="F78" s="178" t="str">
        <f>'Data for Graph complete'!Q$26</f>
        <v>Canada basic  |  Pension de la Securite Vieillesse (S.V.) (Old Age Security Pension)</v>
      </c>
      <c r="G78" s="178" t="str">
        <f t="shared" si="2"/>
        <v>Canada basic</v>
      </c>
      <c r="H78" s="179">
        <f>'Data for Graph complete'!U$26</f>
        <v>96.095065306777698</v>
      </c>
      <c r="I78" s="180">
        <f>'Data for Graph complete'!R$26</f>
        <v>432.44195356285024</v>
      </c>
    </row>
    <row r="79" spans="1:9">
      <c r="A79" s="185">
        <f>'Data for Graph complete'!A$88</f>
        <v>1</v>
      </c>
      <c r="B79" s="177" t="str">
        <f>'Data for Graph complete'!B$88</f>
        <v>Namibia</v>
      </c>
      <c r="C79" s="177" t="str">
        <f>'Data for Graph complete'!C$88</f>
        <v xml:space="preserve">  |  </v>
      </c>
      <c r="D79" s="177" t="str">
        <f>'Data for Graph complete'!D$88</f>
        <v>Old Age Pension (OAP)</v>
      </c>
      <c r="E79" s="178" t="str">
        <f>'Data for Graph complete'!B$88</f>
        <v>Namibia</v>
      </c>
      <c r="F79" s="178" t="str">
        <f>'Data for Graph complete'!Q$88</f>
        <v>Namibia  |  Old Age Pension (OAP)</v>
      </c>
      <c r="G79" s="178" t="str">
        <f t="shared" si="2"/>
        <v>Namibia</v>
      </c>
      <c r="H79" s="179">
        <f>'Data for Graph complete'!U$88</f>
        <v>98.376560425957138</v>
      </c>
      <c r="I79" s="180">
        <f>'Data for Graph complete'!R$88</f>
        <v>91.257528746121551</v>
      </c>
    </row>
    <row r="80" spans="1:9" ht="25.5">
      <c r="A80" s="185">
        <f>'Data for Graph complete'!A$19</f>
        <v>1</v>
      </c>
      <c r="B80" s="177" t="str">
        <f>'Data for Graph complete'!B$19</f>
        <v>Bolivia</v>
      </c>
      <c r="C80" s="177" t="str">
        <f>'Data for Graph complete'!C$19</f>
        <v xml:space="preserve">  |  </v>
      </c>
      <c r="D80" s="177" t="str">
        <f>'Data for Graph complete'!D$19</f>
        <v>Renta Dignidad or Renta Universal de Vejez (previously Bonosol)</v>
      </c>
      <c r="E80" s="178" t="str">
        <f>'Data for Graph complete'!B$19</f>
        <v>Bolivia</v>
      </c>
      <c r="F80" s="178" t="str">
        <f>'Data for Graph complete'!Q$19</f>
        <v>Bolivia  |  Renta Dignidad or Renta Universal de Vejez (previously Bonosol)</v>
      </c>
      <c r="G80" s="178" t="str">
        <f t="shared" si="2"/>
        <v>Bolivia</v>
      </c>
      <c r="H80" s="179">
        <f>'Data for Graph complete'!U$19</f>
        <v>100</v>
      </c>
      <c r="I80" s="180">
        <f>'Data for Graph complete'!R$19</f>
        <v>59.934072520227744</v>
      </c>
    </row>
    <row r="81" spans="1:9">
      <c r="A81" s="185">
        <f>'Data for Graph complete'!A$20</f>
        <v>1</v>
      </c>
      <c r="B81" s="177" t="str">
        <f>'Data for Graph complete'!B$20</f>
        <v>Botswana</v>
      </c>
      <c r="C81" s="177" t="str">
        <f>'Data for Graph complete'!C$20</f>
        <v xml:space="preserve">  |  </v>
      </c>
      <c r="D81" s="177" t="str">
        <f>'Data for Graph complete'!D$20</f>
        <v>Old Age Pension (OAP)</v>
      </c>
      <c r="E81" s="178" t="str">
        <f>'Data for Graph complete'!B$20</f>
        <v>Botswana</v>
      </c>
      <c r="F81" s="178" t="str">
        <f>'Data for Graph complete'!Q$20</f>
        <v>Botswana  |  Old Age Pension (OAP)</v>
      </c>
      <c r="G81" s="178" t="str">
        <f t="shared" si="2"/>
        <v>Botswana</v>
      </c>
      <c r="H81" s="179">
        <f>'Data for Graph complete'!U$20</f>
        <v>100</v>
      </c>
      <c r="I81" s="180">
        <f>'Data for Graph complete'!R$20</f>
        <v>54.536440257808628</v>
      </c>
    </row>
    <row r="82" spans="1:9">
      <c r="A82" s="185">
        <f>'Data for Graph complete'!A$73</f>
        <v>1</v>
      </c>
      <c r="B82" s="177" t="str">
        <f>'Data for Graph complete'!B$73</f>
        <v>Lesotho</v>
      </c>
      <c r="C82" s="177" t="str">
        <f>'Data for Graph complete'!C$73</f>
        <v xml:space="preserve">  |  </v>
      </c>
      <c r="D82" s="177" t="str">
        <f>'Data for Graph complete'!D$73</f>
        <v>Old Age Pension</v>
      </c>
      <c r="E82" s="178" t="str">
        <f>'Data for Graph complete'!B$73</f>
        <v>Lesotho</v>
      </c>
      <c r="F82" s="178" t="str">
        <f>'Data for Graph complete'!Q$73</f>
        <v>Lesotho  |  Old Age Pension</v>
      </c>
      <c r="G82" s="178" t="str">
        <f t="shared" si="2"/>
        <v>Lesotho</v>
      </c>
      <c r="H82" s="179">
        <f>'Data for Graph complete'!U$73</f>
        <v>100</v>
      </c>
      <c r="I82" s="180">
        <f>'Data for Graph complete'!R$73</f>
        <v>59.124950729207725</v>
      </c>
    </row>
    <row r="83" spans="1:9">
      <c r="A83" s="185">
        <f>'Data for Graph complete'!A$81</f>
        <v>1</v>
      </c>
      <c r="B83" s="177" t="str">
        <f>'Data for Graph complete'!B$81</f>
        <v>Mauritius</v>
      </c>
      <c r="C83" s="177" t="str">
        <f>'Data for Graph complete'!C$81</f>
        <v xml:space="preserve">  |  </v>
      </c>
      <c r="D83" s="177" t="str">
        <f>'Data for Graph complete'!D$81</f>
        <v>Basic Retirement Pension</v>
      </c>
      <c r="E83" s="178" t="str">
        <f>'Data for Graph complete'!B$81</f>
        <v>Mauritius</v>
      </c>
      <c r="F83" s="178" t="str">
        <f>'Data for Graph complete'!Q$81</f>
        <v>Mauritius  |  Basic Retirement Pension</v>
      </c>
      <c r="G83" s="178" t="str">
        <f t="shared" si="2"/>
        <v>Mauritius</v>
      </c>
      <c r="H83" s="179">
        <f>'Data for Graph complete'!U$81</f>
        <v>100</v>
      </c>
      <c r="I83" s="180">
        <f>'Data for Graph complete'!R$81</f>
        <v>186.72839506172841</v>
      </c>
    </row>
    <row r="84" spans="1:9">
      <c r="A84" s="185">
        <f>'Data for Graph complete'!A$90</f>
        <v>1</v>
      </c>
      <c r="B84" s="177" t="str">
        <f>'Data for Graph complete'!B$90</f>
        <v>Netherlands</v>
      </c>
      <c r="C84" s="177" t="str">
        <f>'Data for Graph complete'!C$90</f>
        <v xml:space="preserve">  |  </v>
      </c>
      <c r="D84" s="177" t="str">
        <f>'Data for Graph complete'!D$90</f>
        <v>Old-age pension</v>
      </c>
      <c r="E84" s="178" t="str">
        <f>'Data for Graph complete'!B$90</f>
        <v>Netherlands</v>
      </c>
      <c r="F84" s="178" t="str">
        <f>'Data for Graph complete'!Q$90</f>
        <v>Netherlands  |  Old-age pension</v>
      </c>
      <c r="G84" s="178" t="str">
        <f t="shared" si="2"/>
        <v>Netherlands</v>
      </c>
      <c r="H84" s="179">
        <f>'Data for Graph complete'!U$90</f>
        <v>100</v>
      </c>
      <c r="I84" s="180">
        <f>'Data for Graph complete'!R$90</f>
        <v>1168.7370838117108</v>
      </c>
    </row>
    <row r="85" spans="1:9" ht="25.5">
      <c r="A85" s="185">
        <f>'Data for Graph complete'!A$107</f>
        <v>1</v>
      </c>
      <c r="B85" s="177" t="str">
        <f>'Data for Graph complete'!B$107</f>
        <v>Seychelles</v>
      </c>
      <c r="C85" s="177" t="str">
        <f>'Data for Graph complete'!C$107</f>
        <v xml:space="preserve">  |  </v>
      </c>
      <c r="D85" s="177" t="str">
        <f>'Data for Graph complete'!D$107</f>
        <v>Old-age pension (social security fund)</v>
      </c>
      <c r="E85" s="178" t="str">
        <f>'Data for Graph complete'!B$107</f>
        <v>Seychelles</v>
      </c>
      <c r="F85" s="178" t="str">
        <f>'Data for Graph complete'!Q$107</f>
        <v>Seychelles  |  Old-age pension (social security fund)</v>
      </c>
      <c r="G85" s="178" t="str">
        <f t="shared" si="2"/>
        <v>Seychelles</v>
      </c>
      <c r="H85" s="179">
        <f>'Data for Graph complete'!U$107</f>
        <v>100</v>
      </c>
      <c r="I85" s="180">
        <f>'Data for Graph complete'!R$107</f>
        <v>432.66630611141159</v>
      </c>
    </row>
    <row r="86" spans="1:9" ht="25.5">
      <c r="A86" s="185">
        <f>'Data for Graph complete'!A$121</f>
        <v>1</v>
      </c>
      <c r="B86" s="177" t="str">
        <f>'Data for Graph complete'!B$121</f>
        <v>Timor-Leste</v>
      </c>
      <c r="C86" s="181" t="str">
        <f>'Data for Graph complete'!C$121</f>
        <v xml:space="preserve">  |  </v>
      </c>
      <c r="D86" s="181" t="str">
        <f>'Data for Graph complete'!D$121</f>
        <v>Support allowance for the elderly</v>
      </c>
      <c r="E86" s="182" t="str">
        <f>'Data for Graph complete'!B$121</f>
        <v>Timor-Leste</v>
      </c>
      <c r="F86" s="182" t="str">
        <f>'Data for Graph complete'!Q$121</f>
        <v>Timor-Leste  |  Support allowance for the elderly</v>
      </c>
      <c r="G86" s="178" t="str">
        <f t="shared" si="2"/>
        <v>Timor-Leste</v>
      </c>
      <c r="H86" s="183">
        <f>'Data for Graph complete'!U$121</f>
        <v>100</v>
      </c>
      <c r="I86" s="184">
        <f>'Data for Graph complete'!R$121</f>
        <v>57.636887608069166</v>
      </c>
    </row>
  </sheetData>
  <sortState ref="A4:I101">
    <sortCondition ref="H4:H101"/>
  </sortState>
  <conditionalFormatting sqref="E3:I86">
    <cfRule type="cellIs" dxfId="0" priority="2" stopIfTrue="1" operator="equal">
      <formula>"no data"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S130"/>
  <sheetViews>
    <sheetView topLeftCell="A2" workbookViewId="0">
      <selection activeCell="D9" sqref="D9"/>
    </sheetView>
  </sheetViews>
  <sheetFormatPr baseColWidth="10" defaultColWidth="11" defaultRowHeight="12.75"/>
  <cols>
    <col min="1" max="2" width="11" style="164"/>
    <col min="3" max="3" width="11" style="191"/>
    <col min="4" max="5" width="11" style="164"/>
    <col min="6" max="6" width="11" style="196"/>
    <col min="7" max="7" width="11" style="164"/>
    <col min="8" max="8" width="11" style="176"/>
    <col min="9" max="9" width="11" style="191"/>
    <col min="10" max="11" width="11" style="164"/>
    <col min="12" max="12" width="11" style="191"/>
    <col min="13" max="14" width="11" style="164"/>
    <col min="15" max="15" width="11" style="198"/>
    <col min="16" max="17" width="11" style="164"/>
    <col min="18" max="18" width="11" style="165"/>
    <col min="19" max="16384" width="11" style="164"/>
  </cols>
  <sheetData>
    <row r="1" spans="1:19">
      <c r="A1" s="4"/>
      <c r="B1" s="4" t="s">
        <v>288</v>
      </c>
      <c r="D1" s="4"/>
      <c r="E1" s="4" t="s">
        <v>356</v>
      </c>
      <c r="F1" s="194"/>
      <c r="G1" s="4"/>
      <c r="H1" s="159"/>
      <c r="I1" s="193"/>
      <c r="J1" s="4"/>
      <c r="K1" s="34"/>
      <c r="L1" s="193"/>
      <c r="M1" s="4"/>
      <c r="N1" s="4"/>
      <c r="O1" s="54"/>
      <c r="P1" s="4"/>
      <c r="Q1" s="4" t="s">
        <v>354</v>
      </c>
    </row>
    <row r="2" spans="1:19" s="189" customFormat="1" ht="38.25">
      <c r="C2" s="192" t="s">
        <v>355</v>
      </c>
      <c r="F2" s="195" t="s">
        <v>290</v>
      </c>
      <c r="H2" s="190"/>
      <c r="I2" s="192" t="s">
        <v>291</v>
      </c>
      <c r="L2" s="192" t="s">
        <v>292</v>
      </c>
      <c r="N2" s="189" t="s">
        <v>118</v>
      </c>
      <c r="O2" s="197" t="s">
        <v>118</v>
      </c>
      <c r="R2" s="199" t="s">
        <v>355</v>
      </c>
    </row>
    <row r="3" spans="1:19" customFormat="1" hidden="1">
      <c r="A3">
        <v>1</v>
      </c>
      <c r="B3" t="s">
        <v>150</v>
      </c>
      <c r="C3" t="s">
        <v>416</v>
      </c>
      <c r="D3" t="s">
        <v>278</v>
      </c>
      <c r="E3" t="s">
        <v>415</v>
      </c>
      <c r="F3">
        <v>8.1759944253611869E-2</v>
      </c>
      <c r="H3" s="160" t="s">
        <v>415</v>
      </c>
      <c r="I3" t="s">
        <v>151</v>
      </c>
      <c r="K3" t="s">
        <v>415</v>
      </c>
      <c r="L3" t="s">
        <v>151</v>
      </c>
      <c r="N3" t="s">
        <v>415</v>
      </c>
      <c r="O3">
        <v>94</v>
      </c>
      <c r="Q3" t="s">
        <v>415</v>
      </c>
      <c r="R3" t="s">
        <v>416</v>
      </c>
      <c r="S3" t="s">
        <v>416</v>
      </c>
    </row>
    <row r="4" spans="1:19">
      <c r="A4" s="164">
        <v>1</v>
      </c>
      <c r="B4" s="164" t="s">
        <v>154</v>
      </c>
      <c r="C4" s="191">
        <v>2.5220028649904269</v>
      </c>
      <c r="D4" s="164" t="s">
        <v>256</v>
      </c>
      <c r="E4" s="164" t="s">
        <v>417</v>
      </c>
      <c r="F4" s="196">
        <v>0.21566050850635865</v>
      </c>
      <c r="H4" s="176" t="s">
        <v>417</v>
      </c>
      <c r="I4" s="191">
        <v>61.03125</v>
      </c>
      <c r="K4" s="164" t="s">
        <v>417</v>
      </c>
      <c r="L4" s="191">
        <v>46.109653725078701</v>
      </c>
      <c r="N4" s="164" t="s">
        <v>417</v>
      </c>
      <c r="O4" s="198">
        <v>96.077151765644302</v>
      </c>
      <c r="Q4" s="164" t="s">
        <v>417</v>
      </c>
      <c r="R4" s="165">
        <v>2.5220028649904269</v>
      </c>
      <c r="S4" s="164">
        <v>1</v>
      </c>
    </row>
    <row r="5" spans="1:19" customFormat="1" hidden="1">
      <c r="A5">
        <v>1</v>
      </c>
      <c r="B5" t="s">
        <v>279</v>
      </c>
      <c r="C5" t="s">
        <v>416</v>
      </c>
      <c r="D5" t="s">
        <v>280</v>
      </c>
      <c r="E5" t="s">
        <v>418</v>
      </c>
      <c r="F5">
        <v>0.12560635787184468</v>
      </c>
      <c r="H5" s="160" t="s">
        <v>418</v>
      </c>
      <c r="I5">
        <v>33.556666666666665</v>
      </c>
      <c r="K5" t="s">
        <v>418</v>
      </c>
      <c r="L5">
        <v>9.8889980353634588</v>
      </c>
      <c r="N5" t="s">
        <v>418</v>
      </c>
      <c r="O5">
        <v>25.647754197345293</v>
      </c>
      <c r="Q5" t="s">
        <v>418</v>
      </c>
      <c r="R5" t="s">
        <v>416</v>
      </c>
      <c r="S5" t="s">
        <v>416</v>
      </c>
    </row>
    <row r="6" spans="1:19">
      <c r="A6" s="164">
        <v>1</v>
      </c>
      <c r="B6" s="164" t="s">
        <v>158</v>
      </c>
      <c r="C6" s="191">
        <v>68.399692746795836</v>
      </c>
      <c r="D6" s="164" t="s">
        <v>159</v>
      </c>
      <c r="E6" s="164" t="s">
        <v>419</v>
      </c>
      <c r="F6" s="196">
        <v>0.27736136028482405</v>
      </c>
      <c r="H6" s="176" t="s">
        <v>419</v>
      </c>
      <c r="I6" s="191">
        <v>63.921901528013578</v>
      </c>
      <c r="K6" s="164" t="s">
        <v>419</v>
      </c>
      <c r="L6" s="191">
        <v>34.92578849721707</v>
      </c>
      <c r="N6" s="164" t="s">
        <v>419</v>
      </c>
      <c r="O6" s="198">
        <v>1558</v>
      </c>
      <c r="Q6" s="164" t="s">
        <v>419</v>
      </c>
      <c r="R6" s="165">
        <v>68.399692746795836</v>
      </c>
      <c r="S6" s="164">
        <v>1</v>
      </c>
    </row>
    <row r="7" spans="1:19" customFormat="1" hidden="1">
      <c r="A7">
        <v>1</v>
      </c>
      <c r="B7" t="s">
        <v>222</v>
      </c>
      <c r="C7">
        <v>11</v>
      </c>
      <c r="D7" t="s">
        <v>286</v>
      </c>
      <c r="E7" t="s">
        <v>420</v>
      </c>
      <c r="F7">
        <v>0.27</v>
      </c>
      <c r="H7" s="160" t="s">
        <v>420</v>
      </c>
      <c r="I7" t="s">
        <v>151</v>
      </c>
      <c r="K7" t="s">
        <v>420</v>
      </c>
      <c r="L7">
        <v>27.257525083612038</v>
      </c>
      <c r="N7" t="s">
        <v>420</v>
      </c>
      <c r="O7">
        <v>1558</v>
      </c>
      <c r="Q7" t="s">
        <v>420</v>
      </c>
      <c r="R7">
        <v>11</v>
      </c>
      <c r="S7">
        <v>1</v>
      </c>
    </row>
    <row r="8" spans="1:19" customFormat="1" hidden="1">
      <c r="A8">
        <v>1</v>
      </c>
      <c r="B8" t="s">
        <v>162</v>
      </c>
      <c r="C8" t="s">
        <v>416</v>
      </c>
      <c r="D8" t="s">
        <v>293</v>
      </c>
      <c r="E8" t="s">
        <v>421</v>
      </c>
      <c r="F8">
        <v>0.17</v>
      </c>
      <c r="H8" s="160" t="s">
        <v>421</v>
      </c>
      <c r="I8">
        <v>80</v>
      </c>
      <c r="K8" t="s">
        <v>421</v>
      </c>
      <c r="L8">
        <v>20.134228187919462</v>
      </c>
      <c r="N8" t="s">
        <v>421</v>
      </c>
      <c r="O8">
        <v>76</v>
      </c>
      <c r="Q8" t="s">
        <v>421</v>
      </c>
      <c r="R8" t="s">
        <v>416</v>
      </c>
      <c r="S8" t="s">
        <v>416</v>
      </c>
    </row>
    <row r="9" spans="1:19">
      <c r="A9" s="164">
        <v>1</v>
      </c>
      <c r="B9" s="164" t="s">
        <v>167</v>
      </c>
      <c r="C9" s="191">
        <v>9.7089450324342774</v>
      </c>
      <c r="D9" s="164" t="s">
        <v>294</v>
      </c>
      <c r="E9" s="164" t="s">
        <v>422</v>
      </c>
      <c r="F9" s="196">
        <v>0.12</v>
      </c>
      <c r="H9" s="176" t="s">
        <v>422</v>
      </c>
      <c r="I9" s="191">
        <v>35.353535353535356</v>
      </c>
      <c r="K9" s="164" t="s">
        <v>422</v>
      </c>
      <c r="L9" s="191" t="s">
        <v>151</v>
      </c>
      <c r="N9" s="164" t="s">
        <v>422</v>
      </c>
      <c r="O9" s="198">
        <v>245</v>
      </c>
      <c r="Q9" s="164" t="s">
        <v>422</v>
      </c>
      <c r="R9" s="165">
        <v>9.7089450324342774</v>
      </c>
      <c r="S9" s="164">
        <v>1</v>
      </c>
    </row>
    <row r="10" spans="1:19">
      <c r="A10" s="164">
        <v>1</v>
      </c>
      <c r="B10" s="164" t="s">
        <v>169</v>
      </c>
      <c r="C10" s="191">
        <v>32.446982286438548</v>
      </c>
      <c r="D10" s="164" t="s">
        <v>170</v>
      </c>
      <c r="E10" s="164" t="s">
        <v>423</v>
      </c>
      <c r="F10" s="196">
        <v>7.0000000000000007E-2</v>
      </c>
      <c r="H10" s="176" t="s">
        <v>423</v>
      </c>
      <c r="I10" s="191">
        <v>17.647058823529413</v>
      </c>
      <c r="K10" s="164" t="s">
        <v>423</v>
      </c>
      <c r="L10" s="191" t="s">
        <v>151</v>
      </c>
      <c r="N10" s="164" t="s">
        <v>423</v>
      </c>
      <c r="O10" s="198">
        <v>4.3361735619999999</v>
      </c>
      <c r="Q10" s="164" t="s">
        <v>423</v>
      </c>
      <c r="R10" s="165">
        <v>32.446982286438548</v>
      </c>
      <c r="S10" s="164">
        <v>1</v>
      </c>
    </row>
    <row r="11" spans="1:19" customFormat="1" hidden="1">
      <c r="A11">
        <v>0</v>
      </c>
      <c r="B11" t="s">
        <v>169</v>
      </c>
      <c r="C11" t="s">
        <v>416</v>
      </c>
      <c r="D11" t="s">
        <v>259</v>
      </c>
      <c r="E11" t="s">
        <v>424</v>
      </c>
      <c r="F11">
        <v>7.7095342319132787E-2</v>
      </c>
      <c r="H11" s="160" t="s">
        <v>424</v>
      </c>
      <c r="I11">
        <v>17.647058823529413</v>
      </c>
      <c r="K11" t="s">
        <v>424</v>
      </c>
      <c r="L11" t="s">
        <v>151</v>
      </c>
      <c r="N11" t="s">
        <v>424</v>
      </c>
      <c r="O11">
        <v>4.3361735619999999</v>
      </c>
      <c r="Q11" t="s">
        <v>424</v>
      </c>
      <c r="R11" t="s">
        <v>416</v>
      </c>
      <c r="S11" t="s">
        <v>416</v>
      </c>
    </row>
    <row r="12" spans="1:19" customFormat="1" hidden="1">
      <c r="A12">
        <v>1</v>
      </c>
      <c r="B12" t="s">
        <v>173</v>
      </c>
      <c r="C12">
        <v>33.766107306306594</v>
      </c>
      <c r="D12" t="s">
        <v>174</v>
      </c>
      <c r="E12" t="s">
        <v>425</v>
      </c>
      <c r="F12">
        <v>0.22</v>
      </c>
      <c r="H12" s="160" t="s">
        <v>425</v>
      </c>
      <c r="I12" t="s">
        <v>151</v>
      </c>
      <c r="K12" t="s">
        <v>425</v>
      </c>
      <c r="L12" t="s">
        <v>151</v>
      </c>
      <c r="N12" t="s">
        <v>425</v>
      </c>
      <c r="O12">
        <v>299</v>
      </c>
      <c r="Q12" t="s">
        <v>425</v>
      </c>
      <c r="R12">
        <v>33.766107306306594</v>
      </c>
      <c r="S12">
        <v>1</v>
      </c>
    </row>
    <row r="13" spans="1:19">
      <c r="A13" s="164">
        <v>1</v>
      </c>
      <c r="B13" s="164" t="s">
        <v>177</v>
      </c>
      <c r="C13" s="191">
        <v>2.4778331802392093</v>
      </c>
      <c r="D13" s="164" t="s">
        <v>261</v>
      </c>
      <c r="E13" s="164" t="s">
        <v>426</v>
      </c>
      <c r="F13" s="196">
        <v>0.09</v>
      </c>
      <c r="H13" s="176" t="s">
        <v>426</v>
      </c>
      <c r="I13" s="191">
        <v>57.951676099259906</v>
      </c>
      <c r="K13" s="164" t="s">
        <v>426</v>
      </c>
      <c r="L13" s="191">
        <v>13.334408513826753</v>
      </c>
      <c r="N13" s="164" t="s">
        <v>426</v>
      </c>
      <c r="O13" s="198">
        <v>17</v>
      </c>
      <c r="Q13" s="164" t="s">
        <v>426</v>
      </c>
      <c r="R13" s="165">
        <v>2.4778331802392093</v>
      </c>
      <c r="S13" s="164">
        <v>1</v>
      </c>
    </row>
    <row r="14" spans="1:19">
      <c r="A14" s="164">
        <v>1</v>
      </c>
      <c r="B14" s="164" t="s">
        <v>179</v>
      </c>
      <c r="C14" s="191">
        <v>5.1105047019154295</v>
      </c>
      <c r="D14" s="164" t="s">
        <v>295</v>
      </c>
      <c r="E14" s="164" t="s">
        <v>427</v>
      </c>
      <c r="F14" s="196">
        <v>0.33</v>
      </c>
      <c r="H14" s="176" t="s">
        <v>427</v>
      </c>
      <c r="I14" s="191">
        <v>65.994236311239192</v>
      </c>
      <c r="K14" s="164" t="s">
        <v>427</v>
      </c>
      <c r="L14" s="191">
        <v>34.090063267584668</v>
      </c>
      <c r="N14" s="164" t="s">
        <v>427</v>
      </c>
      <c r="O14" s="198">
        <v>1212</v>
      </c>
      <c r="Q14" s="164" t="s">
        <v>427</v>
      </c>
      <c r="R14" s="165">
        <v>5.1105047019154295</v>
      </c>
      <c r="S14" s="164">
        <v>1</v>
      </c>
    </row>
    <row r="15" spans="1:19">
      <c r="A15" s="164">
        <v>1</v>
      </c>
      <c r="B15" s="164" t="s">
        <v>181</v>
      </c>
      <c r="C15" s="191">
        <v>39.1</v>
      </c>
      <c r="D15" s="164" t="s">
        <v>300</v>
      </c>
      <c r="E15" s="164" t="s">
        <v>428</v>
      </c>
      <c r="F15" s="196">
        <v>0.14604612964368882</v>
      </c>
      <c r="H15" s="176" t="s">
        <v>428</v>
      </c>
      <c r="I15" s="191">
        <v>17.094017094017094</v>
      </c>
      <c r="K15" s="164" t="s">
        <v>428</v>
      </c>
      <c r="L15" s="191" t="s">
        <v>151</v>
      </c>
      <c r="N15" s="164" t="s">
        <v>428</v>
      </c>
      <c r="O15" s="198">
        <v>51.432127592822134</v>
      </c>
      <c r="Q15" s="164" t="s">
        <v>428</v>
      </c>
      <c r="R15" s="165">
        <v>39.1</v>
      </c>
      <c r="S15" s="164">
        <v>1</v>
      </c>
    </row>
    <row r="16" spans="1:19" customFormat="1" hidden="1">
      <c r="A16">
        <v>1</v>
      </c>
      <c r="B16" t="s">
        <v>183</v>
      </c>
      <c r="C16" t="s">
        <v>416</v>
      </c>
      <c r="D16" t="s">
        <v>299</v>
      </c>
      <c r="E16" t="s">
        <v>429</v>
      </c>
      <c r="F16" t="s">
        <v>151</v>
      </c>
      <c r="H16" s="160" t="s">
        <v>429</v>
      </c>
      <c r="I16" t="s">
        <v>151</v>
      </c>
      <c r="K16" t="s">
        <v>429</v>
      </c>
      <c r="L16" t="s">
        <v>151</v>
      </c>
      <c r="N16" t="s">
        <v>429</v>
      </c>
      <c r="O16">
        <v>451</v>
      </c>
      <c r="Q16" t="s">
        <v>429</v>
      </c>
      <c r="R16" t="s">
        <v>416</v>
      </c>
      <c r="S16" t="s">
        <v>416</v>
      </c>
    </row>
    <row r="17" spans="1:19">
      <c r="A17" s="164">
        <v>1</v>
      </c>
      <c r="B17" s="164" t="s">
        <v>185</v>
      </c>
      <c r="C17" s="191">
        <v>100</v>
      </c>
      <c r="D17" s="164" t="s">
        <v>186</v>
      </c>
      <c r="E17" s="164" t="s">
        <v>430</v>
      </c>
      <c r="F17" s="196">
        <v>0.15015132438160333</v>
      </c>
      <c r="H17" s="176" t="s">
        <v>430</v>
      </c>
      <c r="I17" s="191">
        <v>30.911901081916536</v>
      </c>
      <c r="K17" s="164" t="s">
        <v>430</v>
      </c>
      <c r="L17" s="191" t="s">
        <v>151</v>
      </c>
      <c r="N17" s="164" t="s">
        <v>430</v>
      </c>
      <c r="O17" s="198">
        <v>29.154518950437318</v>
      </c>
      <c r="Q17" s="164" t="s">
        <v>430</v>
      </c>
      <c r="R17" s="165">
        <v>100</v>
      </c>
      <c r="S17" s="164">
        <v>1</v>
      </c>
    </row>
    <row r="18" spans="1:19">
      <c r="A18" s="164">
        <v>1</v>
      </c>
      <c r="B18" s="164" t="s">
        <v>189</v>
      </c>
      <c r="C18" s="191">
        <v>100</v>
      </c>
      <c r="D18" s="164" t="s">
        <v>127</v>
      </c>
      <c r="E18" s="164" t="s">
        <v>431</v>
      </c>
      <c r="F18" s="196">
        <v>4.0830308449317308E-2</v>
      </c>
      <c r="H18" s="176" t="s">
        <v>431</v>
      </c>
      <c r="I18" s="191">
        <v>33.383915022761762</v>
      </c>
      <c r="K18" s="164" t="s">
        <v>431</v>
      </c>
      <c r="L18" s="191">
        <v>4.9316296794440708</v>
      </c>
      <c r="N18" s="164" t="s">
        <v>431</v>
      </c>
      <c r="O18" s="198">
        <v>29.391999764864</v>
      </c>
      <c r="Q18" s="164" t="s">
        <v>431</v>
      </c>
      <c r="R18" s="165">
        <v>100</v>
      </c>
      <c r="S18" s="164">
        <v>1</v>
      </c>
    </row>
    <row r="19" spans="1:19">
      <c r="A19" s="164">
        <v>1</v>
      </c>
      <c r="B19" s="164" t="s">
        <v>191</v>
      </c>
      <c r="C19" s="191">
        <v>23.945626680505882</v>
      </c>
      <c r="D19" s="164" t="s">
        <v>192</v>
      </c>
      <c r="E19" s="164" t="s">
        <v>432</v>
      </c>
      <c r="F19" s="196">
        <v>0.32587175496958792</v>
      </c>
      <c r="H19" s="176" t="s">
        <v>432</v>
      </c>
      <c r="I19" s="191">
        <v>133.76344086021504</v>
      </c>
      <c r="K19" s="164" t="s">
        <v>432</v>
      </c>
      <c r="L19" s="191">
        <v>46.766917293233085</v>
      </c>
      <c r="N19" s="164" t="s">
        <v>432</v>
      </c>
      <c r="O19" s="198">
        <v>330.9549273442197</v>
      </c>
      <c r="Q19" s="164" t="s">
        <v>432</v>
      </c>
      <c r="R19" s="165">
        <v>23.945626680505882</v>
      </c>
      <c r="S19" s="164">
        <v>1</v>
      </c>
    </row>
    <row r="20" spans="1:19">
      <c r="A20" s="164">
        <v>1</v>
      </c>
      <c r="B20" s="164" t="s">
        <v>191</v>
      </c>
      <c r="C20" s="191">
        <v>12.364729278340851</v>
      </c>
      <c r="D20" s="164" t="s">
        <v>195</v>
      </c>
      <c r="E20" s="164" t="s">
        <v>433</v>
      </c>
      <c r="F20" s="196">
        <v>0.32587175496958792</v>
      </c>
      <c r="H20" s="176" t="s">
        <v>433</v>
      </c>
      <c r="I20" s="191">
        <v>133.76344086021504</v>
      </c>
      <c r="K20" s="164" t="s">
        <v>433</v>
      </c>
      <c r="L20" s="191">
        <v>46.766917293233085</v>
      </c>
      <c r="N20" s="164" t="s">
        <v>433</v>
      </c>
      <c r="O20" s="198">
        <v>330.9549273442197</v>
      </c>
      <c r="Q20" s="164" t="s">
        <v>433</v>
      </c>
      <c r="R20" s="165">
        <v>12.364729278340851</v>
      </c>
      <c r="S20" s="164">
        <v>1</v>
      </c>
    </row>
    <row r="21" spans="1:19" customFormat="1" hidden="1">
      <c r="A21">
        <v>1</v>
      </c>
      <c r="B21" t="s">
        <v>197</v>
      </c>
      <c r="C21">
        <v>92.373918548216906</v>
      </c>
      <c r="D21" t="s">
        <v>198</v>
      </c>
      <c r="E21" t="s">
        <v>434</v>
      </c>
      <c r="F21">
        <v>7.0000000000000007E-2</v>
      </c>
      <c r="H21" s="160" t="s">
        <v>434</v>
      </c>
      <c r="I21" t="s">
        <v>151</v>
      </c>
      <c r="K21" t="s">
        <v>434</v>
      </c>
      <c r="L21" t="s">
        <v>151</v>
      </c>
      <c r="N21" t="s">
        <v>434</v>
      </c>
      <c r="O21">
        <v>201</v>
      </c>
      <c r="Q21" t="s">
        <v>434</v>
      </c>
      <c r="R21">
        <v>92.373918548216906</v>
      </c>
      <c r="S21">
        <v>1</v>
      </c>
    </row>
    <row r="22" spans="1:19">
      <c r="A22" s="164">
        <v>1</v>
      </c>
      <c r="B22" s="164" t="s">
        <v>201</v>
      </c>
      <c r="C22" s="191">
        <v>0.52979490246149374</v>
      </c>
      <c r="D22" s="164" t="s">
        <v>247</v>
      </c>
      <c r="E22" s="164" t="s">
        <v>435</v>
      </c>
      <c r="F22" s="196">
        <v>0.12899928379853079</v>
      </c>
      <c r="H22" s="176" t="s">
        <v>435</v>
      </c>
      <c r="I22" s="191">
        <v>42.083333333333336</v>
      </c>
      <c r="K22" s="164" t="s">
        <v>435</v>
      </c>
      <c r="L22" s="191">
        <v>17.264957264957264</v>
      </c>
      <c r="N22" s="164" t="s">
        <v>435</v>
      </c>
      <c r="O22" s="198">
        <v>68.296311322987464</v>
      </c>
      <c r="Q22" s="164" t="s">
        <v>435</v>
      </c>
      <c r="R22" s="165">
        <v>0.52979490246149374</v>
      </c>
      <c r="S22" s="164">
        <v>1</v>
      </c>
    </row>
    <row r="23" spans="1:19">
      <c r="A23" s="164">
        <v>1</v>
      </c>
      <c r="B23" s="164" t="s">
        <v>224</v>
      </c>
      <c r="C23" s="191">
        <v>34</v>
      </c>
      <c r="D23" s="164" t="s">
        <v>225</v>
      </c>
      <c r="E23" s="164" t="s">
        <v>436</v>
      </c>
      <c r="F23" s="196">
        <v>0.13680646639199609</v>
      </c>
      <c r="H23" s="176" t="s">
        <v>436</v>
      </c>
      <c r="I23" s="191">
        <v>379.41359950093573</v>
      </c>
      <c r="K23" s="164" t="s">
        <v>436</v>
      </c>
      <c r="L23" s="191">
        <v>170.41188007845335</v>
      </c>
      <c r="N23" s="164" t="s">
        <v>436</v>
      </c>
      <c r="O23" s="198">
        <v>504.36598144335937</v>
      </c>
      <c r="Q23" s="164" t="s">
        <v>436</v>
      </c>
      <c r="R23" s="165">
        <v>34</v>
      </c>
      <c r="S23" s="164">
        <v>1</v>
      </c>
    </row>
    <row r="24" spans="1:19">
      <c r="A24" s="164">
        <v>1</v>
      </c>
      <c r="B24" s="164" t="s">
        <v>223</v>
      </c>
      <c r="C24" s="191">
        <v>96.095065306777698</v>
      </c>
      <c r="D24" s="164" t="s">
        <v>305</v>
      </c>
      <c r="E24" s="164" t="s">
        <v>437</v>
      </c>
      <c r="F24" s="196">
        <v>0.12557590302920207</v>
      </c>
      <c r="H24" s="176" t="s">
        <v>437</v>
      </c>
      <c r="I24" s="191">
        <v>33.997504678727388</v>
      </c>
      <c r="K24" s="164" t="s">
        <v>437</v>
      </c>
      <c r="L24" s="191">
        <v>15.269823479966377</v>
      </c>
      <c r="N24" s="164" t="s">
        <v>437</v>
      </c>
      <c r="O24" s="198">
        <v>547</v>
      </c>
      <c r="Q24" s="164" t="s">
        <v>437</v>
      </c>
      <c r="R24" s="165">
        <v>96.095065306777698</v>
      </c>
      <c r="S24" s="164">
        <v>1</v>
      </c>
    </row>
    <row r="25" spans="1:19" customFormat="1" hidden="1">
      <c r="A25">
        <v>1</v>
      </c>
      <c r="B25" t="s">
        <v>52</v>
      </c>
      <c r="C25">
        <v>37.468684651856144</v>
      </c>
      <c r="D25" t="s">
        <v>308</v>
      </c>
      <c r="E25" t="s">
        <v>438</v>
      </c>
      <c r="F25">
        <v>0.22269522771067687</v>
      </c>
      <c r="H25" s="160" t="s">
        <v>438</v>
      </c>
      <c r="I25" t="s">
        <v>151</v>
      </c>
      <c r="K25" t="s">
        <v>438</v>
      </c>
      <c r="L25" t="s">
        <v>151</v>
      </c>
      <c r="N25" t="s">
        <v>438</v>
      </c>
      <c r="O25">
        <v>59.737156511350058</v>
      </c>
      <c r="Q25" t="s">
        <v>438</v>
      </c>
      <c r="R25">
        <v>37.468684651856144</v>
      </c>
      <c r="S25">
        <v>1</v>
      </c>
    </row>
    <row r="26" spans="1:19">
      <c r="A26" s="164">
        <v>1</v>
      </c>
      <c r="B26" s="164" t="s">
        <v>54</v>
      </c>
      <c r="C26" s="191">
        <v>51.197644022933233</v>
      </c>
      <c r="D26" s="164" t="s">
        <v>203</v>
      </c>
      <c r="E26" s="164" t="s">
        <v>439</v>
      </c>
      <c r="F26" s="196">
        <v>0.13629576476424357</v>
      </c>
      <c r="H26" s="176" t="s">
        <v>439</v>
      </c>
      <c r="I26" s="191">
        <v>47.544848484848487</v>
      </c>
      <c r="K26" s="164" t="s">
        <v>439</v>
      </c>
      <c r="L26" s="191">
        <v>21.019449602246389</v>
      </c>
      <c r="N26" s="164" t="s">
        <v>439</v>
      </c>
      <c r="O26" s="198">
        <v>157.68643216080403</v>
      </c>
      <c r="Q26" s="164" t="s">
        <v>439</v>
      </c>
      <c r="R26" s="165">
        <v>51.197644022933233</v>
      </c>
      <c r="S26" s="164">
        <v>1</v>
      </c>
    </row>
    <row r="27" spans="1:19">
      <c r="A27" s="164">
        <v>1</v>
      </c>
      <c r="B27" s="164" t="s">
        <v>312</v>
      </c>
      <c r="C27" s="191">
        <v>9.112354551407547</v>
      </c>
      <c r="D27" s="164" t="s">
        <v>313</v>
      </c>
      <c r="E27" s="164" t="s">
        <v>440</v>
      </c>
      <c r="F27" s="196">
        <v>5.1453174785808312E-2</v>
      </c>
      <c r="H27" s="176" t="s">
        <v>440</v>
      </c>
      <c r="I27" s="191">
        <v>12.074864157778226</v>
      </c>
      <c r="K27" s="164" t="s">
        <v>440</v>
      </c>
      <c r="L27" s="191">
        <v>6.5082769011490367</v>
      </c>
      <c r="N27" s="164" t="s">
        <v>440</v>
      </c>
      <c r="O27" s="198">
        <v>33.955857385398978</v>
      </c>
      <c r="Q27" s="164" t="s">
        <v>440</v>
      </c>
      <c r="R27" s="165">
        <v>9.112354551407547</v>
      </c>
      <c r="S27" s="164">
        <v>1</v>
      </c>
    </row>
    <row r="28" spans="1:19" customFormat="1" hidden="1">
      <c r="A28">
        <v>1</v>
      </c>
      <c r="B28" t="s">
        <v>205</v>
      </c>
      <c r="C28" t="s">
        <v>416</v>
      </c>
      <c r="D28" t="s">
        <v>206</v>
      </c>
      <c r="E28" t="s">
        <v>441</v>
      </c>
      <c r="F28" t="s">
        <v>151</v>
      </c>
      <c r="H28" s="160" t="s">
        <v>441</v>
      </c>
      <c r="I28" t="s">
        <v>151</v>
      </c>
      <c r="K28" t="s">
        <v>441</v>
      </c>
      <c r="L28" t="s">
        <v>151</v>
      </c>
      <c r="N28" t="s">
        <v>441</v>
      </c>
      <c r="O28">
        <v>325.48639873711278</v>
      </c>
      <c r="Q28" t="s">
        <v>441</v>
      </c>
      <c r="R28" t="s">
        <v>416</v>
      </c>
      <c r="S28" t="s">
        <v>416</v>
      </c>
    </row>
    <row r="29" spans="1:19">
      <c r="A29" s="164">
        <v>1</v>
      </c>
      <c r="B29" s="164" t="s">
        <v>208</v>
      </c>
      <c r="C29" s="191">
        <v>16.93084850479832</v>
      </c>
      <c r="D29" s="164" t="s">
        <v>315</v>
      </c>
      <c r="E29" s="164" t="s">
        <v>442</v>
      </c>
      <c r="F29" s="196">
        <v>0.20153562935961622</v>
      </c>
      <c r="H29" s="176" t="s">
        <v>442</v>
      </c>
      <c r="I29" s="191">
        <v>41.023885993085173</v>
      </c>
      <c r="K29" s="164" t="s">
        <v>442</v>
      </c>
      <c r="L29" s="191">
        <v>22.654437846883461</v>
      </c>
      <c r="N29" s="164" t="s">
        <v>442</v>
      </c>
      <c r="O29" s="198">
        <v>140.86699744882586</v>
      </c>
      <c r="Q29" s="164" t="s">
        <v>442</v>
      </c>
      <c r="R29" s="165">
        <v>16.93084850479832</v>
      </c>
      <c r="S29" s="164">
        <v>1</v>
      </c>
    </row>
    <row r="30" spans="1:19">
      <c r="A30" s="164">
        <v>1</v>
      </c>
      <c r="B30" s="164" t="s">
        <v>210</v>
      </c>
      <c r="C30" s="191">
        <v>12.633127977452425</v>
      </c>
      <c r="D30" s="164" t="s">
        <v>211</v>
      </c>
      <c r="E30" s="164" t="s">
        <v>443</v>
      </c>
      <c r="F30" s="196">
        <v>0.17750605090818924</v>
      </c>
      <c r="H30" s="176" t="s">
        <v>443</v>
      </c>
      <c r="I30" s="191">
        <v>41.087231352718078</v>
      </c>
      <c r="K30" s="164" t="s">
        <v>443</v>
      </c>
      <c r="L30" s="191">
        <v>17.087276550998947</v>
      </c>
      <c r="N30" s="164" t="s">
        <v>443</v>
      </c>
      <c r="O30" s="198">
        <v>429.70888214870303</v>
      </c>
      <c r="Q30" s="164" t="s">
        <v>443</v>
      </c>
      <c r="R30" s="165">
        <v>12.633127977452425</v>
      </c>
      <c r="S30" s="164">
        <v>1</v>
      </c>
    </row>
    <row r="31" spans="1:19" customFormat="1" hidden="1">
      <c r="A31">
        <v>1</v>
      </c>
      <c r="B31" t="s">
        <v>227</v>
      </c>
      <c r="C31" t="s">
        <v>416</v>
      </c>
      <c r="D31" t="s">
        <v>228</v>
      </c>
      <c r="E31" t="s">
        <v>444</v>
      </c>
      <c r="F31">
        <v>6.528982497002668E-2</v>
      </c>
      <c r="H31" s="160" t="s">
        <v>444</v>
      </c>
      <c r="I31">
        <v>23.697916666666664</v>
      </c>
      <c r="K31" t="s">
        <v>444</v>
      </c>
      <c r="L31">
        <v>7.1066211842910869</v>
      </c>
      <c r="N31" t="s">
        <v>444</v>
      </c>
      <c r="O31">
        <v>99.459686303310079</v>
      </c>
      <c r="Q31" t="s">
        <v>444</v>
      </c>
      <c r="R31" t="s">
        <v>416</v>
      </c>
      <c r="S31" t="s">
        <v>416</v>
      </c>
    </row>
    <row r="32" spans="1:19" customFormat="1" hidden="1">
      <c r="A32">
        <v>1</v>
      </c>
      <c r="B32" t="s">
        <v>227</v>
      </c>
      <c r="C32" t="s">
        <v>416</v>
      </c>
      <c r="D32" t="s">
        <v>229</v>
      </c>
      <c r="E32" t="s">
        <v>445</v>
      </c>
      <c r="F32">
        <v>0.10766682785951902</v>
      </c>
      <c r="H32" s="160" t="s">
        <v>445</v>
      </c>
      <c r="I32">
        <v>39.074999999999996</v>
      </c>
      <c r="K32" t="s">
        <v>445</v>
      </c>
      <c r="L32">
        <v>11.717959290774825</v>
      </c>
      <c r="N32" t="s">
        <v>445</v>
      </c>
      <c r="O32">
        <v>163.69999999999999</v>
      </c>
      <c r="Q32" t="s">
        <v>445</v>
      </c>
      <c r="R32" t="s">
        <v>416</v>
      </c>
      <c r="S32" t="s">
        <v>416</v>
      </c>
    </row>
    <row r="33" spans="1:19" customFormat="1" hidden="1">
      <c r="A33">
        <v>0</v>
      </c>
      <c r="B33" t="s">
        <v>227</v>
      </c>
      <c r="C33" t="s">
        <v>416</v>
      </c>
      <c r="D33" t="s">
        <v>230</v>
      </c>
      <c r="E33" t="s">
        <v>446</v>
      </c>
      <c r="F33">
        <v>9.180753849631447E-2</v>
      </c>
      <c r="H33" s="160" t="s">
        <v>446</v>
      </c>
      <c r="I33">
        <v>33.322916666666671</v>
      </c>
      <c r="K33" t="s">
        <v>446</v>
      </c>
      <c r="L33">
        <v>9.9930027114493143</v>
      </c>
      <c r="N33" t="s">
        <v>446</v>
      </c>
      <c r="O33">
        <v>139.58704227318745</v>
      </c>
      <c r="Q33" t="s">
        <v>446</v>
      </c>
      <c r="R33" t="s">
        <v>416</v>
      </c>
      <c r="S33" t="s">
        <v>416</v>
      </c>
    </row>
    <row r="34" spans="1:19" customFormat="1" hidden="1">
      <c r="A34">
        <v>1</v>
      </c>
      <c r="B34" t="s">
        <v>212</v>
      </c>
      <c r="C34">
        <v>82.015434128110186</v>
      </c>
      <c r="D34" t="s">
        <v>322</v>
      </c>
      <c r="E34" t="s">
        <v>447</v>
      </c>
      <c r="F34">
        <v>0.22654646838142631</v>
      </c>
      <c r="H34" s="160" t="s">
        <v>447</v>
      </c>
      <c r="I34" t="s">
        <v>151</v>
      </c>
      <c r="K34" t="s">
        <v>447</v>
      </c>
      <c r="L34">
        <v>14.306105073371061</v>
      </c>
      <c r="N34" t="s">
        <v>447</v>
      </c>
      <c r="O34">
        <v>1015.2329366941044</v>
      </c>
      <c r="Q34" t="s">
        <v>447</v>
      </c>
      <c r="R34">
        <v>82.015434128110186</v>
      </c>
      <c r="S34">
        <v>1</v>
      </c>
    </row>
    <row r="35" spans="1:19" customFormat="1" hidden="1">
      <c r="A35">
        <v>1</v>
      </c>
      <c r="B35" t="s">
        <v>214</v>
      </c>
      <c r="C35" t="s">
        <v>416</v>
      </c>
      <c r="D35" t="s">
        <v>323</v>
      </c>
      <c r="E35" t="s">
        <v>448</v>
      </c>
      <c r="F35">
        <v>0.1719080054879179</v>
      </c>
      <c r="H35" s="160" t="s">
        <v>448</v>
      </c>
      <c r="I35">
        <v>59.53858084528887</v>
      </c>
      <c r="K35" t="s">
        <v>448</v>
      </c>
      <c r="L35">
        <v>27.918181818181822</v>
      </c>
      <c r="N35" t="s">
        <v>448</v>
      </c>
      <c r="O35">
        <v>79.034749034749026</v>
      </c>
      <c r="Q35" t="s">
        <v>448</v>
      </c>
      <c r="R35" t="s">
        <v>416</v>
      </c>
      <c r="S35" t="s">
        <v>416</v>
      </c>
    </row>
    <row r="36" spans="1:19">
      <c r="A36" s="164">
        <v>1</v>
      </c>
      <c r="B36" s="164" t="s">
        <v>215</v>
      </c>
      <c r="C36" s="191">
        <v>56.684322429035028</v>
      </c>
      <c r="D36" s="164" t="s">
        <v>325</v>
      </c>
      <c r="E36" s="164" t="s">
        <v>449</v>
      </c>
      <c r="F36" s="196">
        <v>0.11765635268668281</v>
      </c>
      <c r="H36" s="176" t="s">
        <v>449</v>
      </c>
      <c r="I36" s="191">
        <v>13.779527559055119</v>
      </c>
      <c r="K36" s="164" t="s">
        <v>449</v>
      </c>
      <c r="L36" s="191">
        <v>8.7281795511221958</v>
      </c>
      <c r="N36" s="164" t="s">
        <v>449</v>
      </c>
      <c r="O36" s="198">
        <v>35</v>
      </c>
      <c r="Q36" s="164" t="s">
        <v>449</v>
      </c>
      <c r="R36" s="165">
        <v>56.684322429035028</v>
      </c>
      <c r="S36" s="164">
        <v>1</v>
      </c>
    </row>
    <row r="37" spans="1:19">
      <c r="A37" s="164">
        <v>1</v>
      </c>
      <c r="B37" s="164" t="s">
        <v>217</v>
      </c>
      <c r="C37" s="191">
        <v>4.4051579216724059</v>
      </c>
      <c r="D37" s="164" t="s">
        <v>326</v>
      </c>
      <c r="E37" s="164" t="s">
        <v>450</v>
      </c>
      <c r="F37" s="196">
        <v>0.16911808021665153</v>
      </c>
      <c r="H37" s="176" t="s">
        <v>450</v>
      </c>
      <c r="I37" s="191">
        <v>28.40909090909091</v>
      </c>
      <c r="K37" s="164" t="s">
        <v>450</v>
      </c>
      <c r="L37" s="191" t="s">
        <v>151</v>
      </c>
      <c r="N37" s="164" t="s">
        <v>450</v>
      </c>
      <c r="O37" s="198">
        <v>50</v>
      </c>
      <c r="Q37" s="164" t="s">
        <v>450</v>
      </c>
      <c r="R37" s="165">
        <v>4.4051579216724059</v>
      </c>
      <c r="S37" s="164">
        <v>1</v>
      </c>
    </row>
    <row r="38" spans="1:19">
      <c r="A38" s="164">
        <v>1</v>
      </c>
      <c r="B38" s="164" t="s">
        <v>56</v>
      </c>
      <c r="C38" s="191">
        <v>6</v>
      </c>
      <c r="D38" s="164" t="s">
        <v>328</v>
      </c>
      <c r="E38" s="164" t="s">
        <v>451</v>
      </c>
      <c r="F38" s="196">
        <v>0.12932917976403588</v>
      </c>
      <c r="H38" s="176" t="s">
        <v>451</v>
      </c>
      <c r="I38" s="191">
        <v>2.9528735632183905</v>
      </c>
      <c r="K38" s="164" t="s">
        <v>451</v>
      </c>
      <c r="L38" s="191">
        <v>1.0473744292237444</v>
      </c>
      <c r="N38" s="164" t="s">
        <v>451</v>
      </c>
      <c r="O38" s="198">
        <v>169.83327383549508</v>
      </c>
      <c r="Q38" s="164" t="s">
        <v>451</v>
      </c>
      <c r="R38" s="165">
        <v>6</v>
      </c>
      <c r="S38" s="164">
        <v>1</v>
      </c>
    </row>
    <row r="39" spans="1:19">
      <c r="A39" s="164">
        <v>1</v>
      </c>
      <c r="B39" s="164" t="s">
        <v>57</v>
      </c>
      <c r="C39" s="191">
        <v>2</v>
      </c>
      <c r="D39" s="164" t="s">
        <v>329</v>
      </c>
      <c r="E39" s="164" t="s">
        <v>452</v>
      </c>
      <c r="F39" s="196">
        <v>0.20226384654072954</v>
      </c>
      <c r="H39" s="176" t="s">
        <v>452</v>
      </c>
      <c r="I39" s="191" t="s">
        <v>151</v>
      </c>
      <c r="K39" s="164" t="s">
        <v>452</v>
      </c>
      <c r="L39" s="191">
        <v>20.603588354773191</v>
      </c>
      <c r="N39" s="164" t="s">
        <v>452</v>
      </c>
      <c r="O39" s="198">
        <v>804.71487313738714</v>
      </c>
      <c r="Q39" s="164" t="s">
        <v>452</v>
      </c>
      <c r="R39" s="165">
        <v>2</v>
      </c>
      <c r="S39" s="164">
        <v>1</v>
      </c>
    </row>
    <row r="40" spans="1:19">
      <c r="A40" s="164">
        <v>1</v>
      </c>
      <c r="B40" s="164" t="s">
        <v>58</v>
      </c>
      <c r="C40" s="191">
        <v>5</v>
      </c>
      <c r="D40" s="164" t="s">
        <v>330</v>
      </c>
      <c r="E40" s="164" t="s">
        <v>453</v>
      </c>
      <c r="F40" s="196">
        <v>0.27378361527747025</v>
      </c>
      <c r="H40" s="176" t="s">
        <v>453</v>
      </c>
      <c r="I40" s="191">
        <v>55.455904334828098</v>
      </c>
      <c r="K40" s="164" t="s">
        <v>453</v>
      </c>
      <c r="L40" s="191">
        <v>26.340078097266595</v>
      </c>
      <c r="N40" s="164" t="s">
        <v>453</v>
      </c>
      <c r="O40" s="198">
        <v>981.41023098382982</v>
      </c>
      <c r="Q40" s="164" t="s">
        <v>453</v>
      </c>
      <c r="R40" s="165">
        <v>5</v>
      </c>
      <c r="S40" s="164">
        <v>1</v>
      </c>
    </row>
    <row r="41" spans="1:19" customFormat="1" hidden="1">
      <c r="A41">
        <v>0</v>
      </c>
      <c r="B41" t="s">
        <v>58</v>
      </c>
      <c r="C41">
        <v>53</v>
      </c>
      <c r="D41" t="s">
        <v>230</v>
      </c>
      <c r="E41" t="s">
        <v>454</v>
      </c>
      <c r="F41">
        <v>0.25590798453930363</v>
      </c>
      <c r="H41" s="160" t="s">
        <v>454</v>
      </c>
      <c r="I41">
        <v>47.483806676631787</v>
      </c>
      <c r="K41" t="s">
        <v>454</v>
      </c>
      <c r="L41">
        <v>22.553543959294757</v>
      </c>
      <c r="N41" t="s">
        <v>454</v>
      </c>
      <c r="O41">
        <v>841.50110375275949</v>
      </c>
      <c r="Q41" t="s">
        <v>454</v>
      </c>
      <c r="R41">
        <v>53</v>
      </c>
      <c r="S41">
        <v>1</v>
      </c>
    </row>
    <row r="42" spans="1:19">
      <c r="A42" s="164">
        <v>1</v>
      </c>
      <c r="B42" s="164" t="s">
        <v>59</v>
      </c>
      <c r="C42" s="191">
        <v>88.265157600228576</v>
      </c>
      <c r="D42" s="164" t="s">
        <v>206</v>
      </c>
      <c r="E42" s="164" t="s">
        <v>455</v>
      </c>
      <c r="F42" s="196">
        <v>0.20531597272719493</v>
      </c>
      <c r="H42" s="176" t="s">
        <v>455</v>
      </c>
      <c r="I42" s="191">
        <v>400</v>
      </c>
      <c r="K42" s="164" t="s">
        <v>455</v>
      </c>
      <c r="L42" s="191">
        <v>13.986013986013987</v>
      </c>
      <c r="N42" s="164" t="s">
        <v>455</v>
      </c>
      <c r="O42" s="198">
        <v>49.15816640039327</v>
      </c>
      <c r="Q42" s="164" t="s">
        <v>455</v>
      </c>
      <c r="R42" s="165">
        <v>88.265157600228576</v>
      </c>
      <c r="S42" s="164">
        <v>1</v>
      </c>
    </row>
    <row r="43" spans="1:19" customFormat="1" hidden="1">
      <c r="A43">
        <v>1</v>
      </c>
      <c r="B43" t="s">
        <v>231</v>
      </c>
      <c r="C43">
        <v>2</v>
      </c>
      <c r="D43" t="s">
        <v>229</v>
      </c>
      <c r="E43" t="s">
        <v>456</v>
      </c>
      <c r="F43">
        <v>0</v>
      </c>
      <c r="H43" s="160" t="s">
        <v>456</v>
      </c>
      <c r="I43" t="s">
        <v>151</v>
      </c>
      <c r="K43" t="s">
        <v>456</v>
      </c>
      <c r="L43">
        <v>30.363321799307958</v>
      </c>
      <c r="N43" t="s">
        <v>456</v>
      </c>
      <c r="O43">
        <v>0</v>
      </c>
      <c r="Q43" t="s">
        <v>456</v>
      </c>
      <c r="R43">
        <v>2</v>
      </c>
      <c r="S43">
        <v>1</v>
      </c>
    </row>
    <row r="44" spans="1:19">
      <c r="A44" s="164">
        <v>1</v>
      </c>
      <c r="B44" s="164" t="s">
        <v>61</v>
      </c>
      <c r="C44" s="191">
        <v>8.7266424229988466</v>
      </c>
      <c r="D44" s="164" t="s">
        <v>335</v>
      </c>
      <c r="E44" s="164" t="s">
        <v>457</v>
      </c>
      <c r="F44" s="196">
        <v>0.18615171336434386</v>
      </c>
      <c r="H44" s="176" t="s">
        <v>457</v>
      </c>
      <c r="I44" s="191">
        <v>38.238702201622246</v>
      </c>
      <c r="K44" s="164" t="s">
        <v>457</v>
      </c>
      <c r="L44" s="191">
        <v>19.108280254777071</v>
      </c>
      <c r="N44" s="164" t="s">
        <v>457</v>
      </c>
      <c r="O44" s="198">
        <v>436.3174804648765</v>
      </c>
      <c r="Q44" s="164" t="s">
        <v>457</v>
      </c>
      <c r="R44" s="165">
        <v>8.7266424229988466</v>
      </c>
      <c r="S44" s="164">
        <v>1</v>
      </c>
    </row>
    <row r="45" spans="1:19" customFormat="1" hidden="1">
      <c r="A45">
        <v>0</v>
      </c>
      <c r="B45" t="s">
        <v>61</v>
      </c>
      <c r="C45">
        <v>60</v>
      </c>
      <c r="D45" t="s">
        <v>230</v>
      </c>
      <c r="E45" t="s">
        <v>458</v>
      </c>
      <c r="F45">
        <v>0</v>
      </c>
      <c r="H45" s="160" t="s">
        <v>458</v>
      </c>
      <c r="I45">
        <v>66.07763615295481</v>
      </c>
      <c r="K45" t="s">
        <v>458</v>
      </c>
      <c r="L45">
        <v>33.019687319050377</v>
      </c>
      <c r="N45" t="s">
        <v>458</v>
      </c>
      <c r="O45">
        <v>0</v>
      </c>
      <c r="Q45" t="s">
        <v>458</v>
      </c>
      <c r="R45">
        <v>60</v>
      </c>
      <c r="S45">
        <v>1</v>
      </c>
    </row>
    <row r="46" spans="1:19" customFormat="1" hidden="1">
      <c r="A46">
        <v>1</v>
      </c>
      <c r="B46" t="s">
        <v>331</v>
      </c>
      <c r="C46">
        <v>2.3239029125005444</v>
      </c>
      <c r="D46" t="s">
        <v>332</v>
      </c>
      <c r="E46" t="s">
        <v>459</v>
      </c>
      <c r="F46">
        <v>0.19518394195684993</v>
      </c>
      <c r="H46" s="160" t="s">
        <v>459</v>
      </c>
      <c r="I46">
        <v>0</v>
      </c>
      <c r="K46" t="s">
        <v>459</v>
      </c>
      <c r="L46">
        <v>0</v>
      </c>
      <c r="N46" t="s">
        <v>459</v>
      </c>
      <c r="O46">
        <v>51.305072789072021</v>
      </c>
      <c r="Q46" t="s">
        <v>459</v>
      </c>
      <c r="R46">
        <v>2.3239029125005444</v>
      </c>
      <c r="S46">
        <v>1</v>
      </c>
    </row>
    <row r="47" spans="1:19" customFormat="1" hidden="1">
      <c r="A47">
        <v>1</v>
      </c>
      <c r="B47" t="s">
        <v>337</v>
      </c>
      <c r="C47">
        <v>91.875523773367803</v>
      </c>
      <c r="D47" t="s">
        <v>206</v>
      </c>
      <c r="E47" t="s">
        <v>460</v>
      </c>
      <c r="F47">
        <v>0.18334451294326168</v>
      </c>
      <c r="H47" s="160" t="s">
        <v>460</v>
      </c>
      <c r="I47">
        <v>0</v>
      </c>
      <c r="K47" t="s">
        <v>460</v>
      </c>
      <c r="L47">
        <v>0</v>
      </c>
      <c r="N47" t="s">
        <v>460</v>
      </c>
      <c r="O47">
        <v>49.70178926441352</v>
      </c>
      <c r="Q47" t="s">
        <v>460</v>
      </c>
      <c r="R47">
        <v>91.875523773367803</v>
      </c>
      <c r="S47">
        <v>1</v>
      </c>
    </row>
    <row r="48" spans="1:19" customFormat="1" hidden="1">
      <c r="A48">
        <v>1</v>
      </c>
      <c r="B48" t="s">
        <v>62</v>
      </c>
      <c r="C48" t="s">
        <v>416</v>
      </c>
      <c r="D48" t="s">
        <v>340</v>
      </c>
      <c r="E48" t="s">
        <v>461</v>
      </c>
      <c r="F48">
        <v>4.6572183669497974E-2</v>
      </c>
      <c r="H48" s="160" t="s">
        <v>461</v>
      </c>
      <c r="I48" t="s">
        <v>151</v>
      </c>
      <c r="K48" t="s">
        <v>461</v>
      </c>
      <c r="L48">
        <v>9.8136310434860903</v>
      </c>
      <c r="N48" t="s">
        <v>461</v>
      </c>
      <c r="O48">
        <v>140.4765893830629</v>
      </c>
      <c r="Q48" t="s">
        <v>461</v>
      </c>
      <c r="R48" t="s">
        <v>416</v>
      </c>
      <c r="S48" t="s">
        <v>416</v>
      </c>
    </row>
    <row r="49" spans="1:19" customFormat="1" hidden="1">
      <c r="A49">
        <v>0</v>
      </c>
      <c r="B49" t="s">
        <v>232</v>
      </c>
      <c r="C49">
        <v>1</v>
      </c>
      <c r="D49" t="s">
        <v>230</v>
      </c>
      <c r="E49" t="s">
        <v>462</v>
      </c>
      <c r="F49">
        <v>0</v>
      </c>
      <c r="H49" s="160" t="s">
        <v>462</v>
      </c>
      <c r="I49">
        <v>478.32167832167835</v>
      </c>
      <c r="K49" t="s">
        <v>462</v>
      </c>
      <c r="L49">
        <v>171.19259166562381</v>
      </c>
      <c r="N49" t="s">
        <v>462</v>
      </c>
      <c r="O49">
        <v>0</v>
      </c>
      <c r="Q49" t="s">
        <v>462</v>
      </c>
      <c r="R49">
        <v>1</v>
      </c>
      <c r="S49">
        <v>1</v>
      </c>
    </row>
    <row r="50" spans="1:19" customFormat="1" hidden="1">
      <c r="A50">
        <v>1</v>
      </c>
      <c r="B50" t="s">
        <v>232</v>
      </c>
      <c r="C50" t="s">
        <v>416</v>
      </c>
      <c r="D50" t="s">
        <v>342</v>
      </c>
      <c r="E50" t="s">
        <v>463</v>
      </c>
      <c r="F50">
        <v>0.1035310359447822</v>
      </c>
      <c r="H50" s="160" t="s">
        <v>463</v>
      </c>
      <c r="I50">
        <v>31.888111888111887</v>
      </c>
      <c r="K50" t="s">
        <v>463</v>
      </c>
      <c r="L50">
        <v>11.412839444374921</v>
      </c>
      <c r="N50" t="s">
        <v>463</v>
      </c>
      <c r="O50">
        <v>104.28244075796869</v>
      </c>
      <c r="Q50" t="s">
        <v>463</v>
      </c>
      <c r="R50" t="s">
        <v>416</v>
      </c>
      <c r="S50" t="s">
        <v>416</v>
      </c>
    </row>
    <row r="51" spans="1:19" customFormat="1" hidden="1">
      <c r="A51">
        <v>1</v>
      </c>
      <c r="B51" t="s">
        <v>64</v>
      </c>
      <c r="C51" t="s">
        <v>416</v>
      </c>
      <c r="D51" t="s">
        <v>229</v>
      </c>
      <c r="E51" t="s">
        <v>464</v>
      </c>
      <c r="F51">
        <v>0</v>
      </c>
      <c r="H51" s="160" t="s">
        <v>464</v>
      </c>
      <c r="I51" t="s">
        <v>151</v>
      </c>
      <c r="K51" t="s">
        <v>464</v>
      </c>
      <c r="L51">
        <v>24.281437125748504</v>
      </c>
      <c r="N51" t="s">
        <v>464</v>
      </c>
      <c r="O51">
        <v>0</v>
      </c>
      <c r="Q51" t="s">
        <v>464</v>
      </c>
      <c r="R51" t="s">
        <v>416</v>
      </c>
      <c r="S51" t="s">
        <v>416</v>
      </c>
    </row>
    <row r="52" spans="1:19" customFormat="1" hidden="1">
      <c r="A52">
        <v>1</v>
      </c>
      <c r="B52" t="s">
        <v>64</v>
      </c>
      <c r="C52" t="s">
        <v>416</v>
      </c>
      <c r="D52" t="s">
        <v>344</v>
      </c>
      <c r="E52" t="s">
        <v>465</v>
      </c>
      <c r="F52">
        <v>6.1681702661720267E-2</v>
      </c>
      <c r="H52" s="160" t="s">
        <v>465</v>
      </c>
      <c r="I52" t="s">
        <v>151</v>
      </c>
      <c r="K52" t="s">
        <v>465</v>
      </c>
      <c r="L52">
        <v>7.6946107784431135</v>
      </c>
      <c r="N52" t="s">
        <v>465</v>
      </c>
      <c r="O52">
        <v>203.58048162230673</v>
      </c>
      <c r="Q52" t="s">
        <v>465</v>
      </c>
      <c r="R52" t="s">
        <v>416</v>
      </c>
      <c r="S52" t="s">
        <v>416</v>
      </c>
    </row>
    <row r="53" spans="1:19">
      <c r="A53" s="164">
        <v>1</v>
      </c>
      <c r="B53" s="164" t="s">
        <v>67</v>
      </c>
      <c r="C53" s="191">
        <v>14.947869523254726</v>
      </c>
      <c r="D53" s="164" t="s">
        <v>68</v>
      </c>
      <c r="E53" s="164" t="s">
        <v>466</v>
      </c>
      <c r="F53" s="196">
        <v>3.3968394164263851E-2</v>
      </c>
      <c r="H53" s="176" t="s">
        <v>466</v>
      </c>
      <c r="I53" s="191">
        <v>9.6153846153846168</v>
      </c>
      <c r="K53" s="164" t="s">
        <v>466</v>
      </c>
      <c r="L53" s="191">
        <v>2.3160693523806879</v>
      </c>
      <c r="N53" s="164" t="s">
        <v>466</v>
      </c>
      <c r="O53" s="198">
        <v>3.8062612998382339</v>
      </c>
      <c r="Q53" s="164" t="s">
        <v>466</v>
      </c>
      <c r="R53" s="165">
        <v>14.947869523254726</v>
      </c>
      <c r="S53" s="164">
        <v>1</v>
      </c>
    </row>
    <row r="54" spans="1:19">
      <c r="A54" s="164">
        <v>1</v>
      </c>
      <c r="B54" s="164" t="s">
        <v>346</v>
      </c>
      <c r="C54" s="191">
        <v>0.11500217124099303</v>
      </c>
      <c r="D54" s="164" t="s">
        <v>347</v>
      </c>
      <c r="E54" s="164" t="s">
        <v>467</v>
      </c>
      <c r="F54" s="196">
        <v>0.10151921696922414</v>
      </c>
      <c r="H54" s="176" t="s">
        <v>467</v>
      </c>
      <c r="I54" s="191">
        <v>40.147528785778142</v>
      </c>
      <c r="K54" s="164" t="s">
        <v>467</v>
      </c>
      <c r="L54" s="191">
        <v>27.470640752695559</v>
      </c>
      <c r="N54" s="164" t="s">
        <v>467</v>
      </c>
      <c r="O54" s="198">
        <v>32.679738562091501</v>
      </c>
      <c r="Q54" s="164" t="s">
        <v>467</v>
      </c>
      <c r="R54" s="165">
        <v>0.11500217124099303</v>
      </c>
      <c r="S54" s="164">
        <v>1</v>
      </c>
    </row>
    <row r="55" spans="1:19" customFormat="1" hidden="1">
      <c r="A55">
        <v>1</v>
      </c>
      <c r="B55" t="s">
        <v>71</v>
      </c>
      <c r="C55" t="s">
        <v>416</v>
      </c>
      <c r="D55" t="s">
        <v>228</v>
      </c>
      <c r="E55" t="s">
        <v>468</v>
      </c>
      <c r="F55">
        <v>0</v>
      </c>
      <c r="H55" s="160" t="s">
        <v>468</v>
      </c>
      <c r="I55">
        <v>67.458960328317374</v>
      </c>
      <c r="K55" t="s">
        <v>468</v>
      </c>
      <c r="L55">
        <v>32.262021589793918</v>
      </c>
      <c r="N55" t="s">
        <v>468</v>
      </c>
      <c r="O55">
        <v>0</v>
      </c>
      <c r="Q55" t="s">
        <v>468</v>
      </c>
      <c r="R55" t="s">
        <v>416</v>
      </c>
      <c r="S55" t="s">
        <v>416</v>
      </c>
    </row>
    <row r="56" spans="1:19">
      <c r="A56" s="164">
        <v>1</v>
      </c>
      <c r="B56" s="164" t="s">
        <v>71</v>
      </c>
      <c r="C56" s="191">
        <v>28</v>
      </c>
      <c r="D56" s="164" t="s">
        <v>229</v>
      </c>
      <c r="E56" s="164" t="s">
        <v>469</v>
      </c>
      <c r="F56" s="196">
        <v>0.32667535792939456</v>
      </c>
      <c r="H56" s="176" t="s">
        <v>469</v>
      </c>
      <c r="I56" s="191">
        <v>64.911080711354302</v>
      </c>
      <c r="K56" s="164" t="s">
        <v>469</v>
      </c>
      <c r="L56" s="191">
        <v>31.043506705920837</v>
      </c>
      <c r="N56" s="164" t="s">
        <v>469</v>
      </c>
      <c r="O56" s="198">
        <v>1254.7432998823265</v>
      </c>
      <c r="Q56" s="164" t="s">
        <v>469</v>
      </c>
      <c r="R56" s="165">
        <v>28</v>
      </c>
      <c r="S56" s="164">
        <v>1</v>
      </c>
    </row>
    <row r="57" spans="1:19" customFormat="1" hidden="1">
      <c r="A57">
        <v>1</v>
      </c>
      <c r="B57" t="s">
        <v>72</v>
      </c>
      <c r="C57" t="s">
        <v>416</v>
      </c>
      <c r="D57" t="s">
        <v>350</v>
      </c>
      <c r="E57" t="s">
        <v>470</v>
      </c>
      <c r="F57">
        <v>0.15288934669664681</v>
      </c>
      <c r="H57" s="160" t="s">
        <v>470</v>
      </c>
      <c r="I57">
        <v>38.467532467532465</v>
      </c>
      <c r="K57" t="s">
        <v>470</v>
      </c>
      <c r="L57">
        <v>18.57286180085277</v>
      </c>
      <c r="N57" t="s">
        <v>470</v>
      </c>
      <c r="O57">
        <v>394.64182457224928</v>
      </c>
      <c r="Q57" t="s">
        <v>470</v>
      </c>
      <c r="R57" t="s">
        <v>416</v>
      </c>
      <c r="S57" t="s">
        <v>416</v>
      </c>
    </row>
    <row r="58" spans="1:19" customFormat="1" hidden="1">
      <c r="A58">
        <v>1</v>
      </c>
      <c r="B58" t="s">
        <v>74</v>
      </c>
      <c r="C58">
        <v>7.1672058277400374</v>
      </c>
      <c r="D58" t="s">
        <v>352</v>
      </c>
      <c r="E58" t="s">
        <v>471</v>
      </c>
      <c r="F58">
        <v>0.20099726939595197</v>
      </c>
      <c r="H58" s="160" t="s">
        <v>471</v>
      </c>
      <c r="I58" t="s">
        <v>151</v>
      </c>
      <c r="K58" t="s">
        <v>471</v>
      </c>
      <c r="L58">
        <v>19.170652173913044</v>
      </c>
      <c r="N58" t="s">
        <v>471</v>
      </c>
      <c r="O58">
        <v>544.11434162336548</v>
      </c>
      <c r="Q58" t="s">
        <v>471</v>
      </c>
      <c r="R58">
        <v>7.1672058277400374</v>
      </c>
      <c r="S58">
        <v>1</v>
      </c>
    </row>
    <row r="59" spans="1:19" customFormat="1" hidden="1">
      <c r="A59">
        <v>0</v>
      </c>
      <c r="B59" t="s">
        <v>74</v>
      </c>
      <c r="C59">
        <v>0</v>
      </c>
      <c r="D59" t="s">
        <v>230</v>
      </c>
      <c r="E59" t="s">
        <v>472</v>
      </c>
      <c r="F59">
        <v>0.21303017763354892</v>
      </c>
      <c r="H59" s="160" t="s">
        <v>472</v>
      </c>
      <c r="I59" t="s">
        <v>151</v>
      </c>
      <c r="K59" t="s">
        <v>472</v>
      </c>
      <c r="L59">
        <v>20.318007484355835</v>
      </c>
      <c r="N59" t="s">
        <v>472</v>
      </c>
      <c r="O59">
        <v>576.68830625079886</v>
      </c>
      <c r="Q59" t="s">
        <v>472</v>
      </c>
      <c r="R59">
        <v>0</v>
      </c>
      <c r="S59">
        <v>1</v>
      </c>
    </row>
    <row r="60" spans="1:19">
      <c r="A60" s="164">
        <v>1</v>
      </c>
      <c r="B60" s="164" t="s">
        <v>75</v>
      </c>
      <c r="C60" s="191">
        <v>19.5</v>
      </c>
      <c r="D60" s="164" t="s">
        <v>76</v>
      </c>
      <c r="E60" s="164" t="s">
        <v>473</v>
      </c>
      <c r="F60" s="196">
        <v>3.0057890608503383E-2</v>
      </c>
      <c r="H60" s="176" t="s">
        <v>473</v>
      </c>
      <c r="I60" s="191">
        <v>5.2730056131995235</v>
      </c>
      <c r="K60" s="164" t="s">
        <v>473</v>
      </c>
      <c r="L60" s="191">
        <v>1.3083849184018008</v>
      </c>
      <c r="N60" s="164" t="s">
        <v>473</v>
      </c>
      <c r="O60" s="198">
        <v>10.776361529548089</v>
      </c>
      <c r="Q60" s="164" t="s">
        <v>473</v>
      </c>
      <c r="R60" s="165">
        <v>19.5</v>
      </c>
      <c r="S60" s="164">
        <v>1</v>
      </c>
    </row>
    <row r="61" spans="1:19" customFormat="1" hidden="1">
      <c r="A61">
        <v>1</v>
      </c>
      <c r="B61" t="s">
        <v>233</v>
      </c>
      <c r="C61" t="s">
        <v>416</v>
      </c>
      <c r="D61" t="s">
        <v>228</v>
      </c>
      <c r="E61" t="s">
        <v>474</v>
      </c>
      <c r="F61">
        <v>0</v>
      </c>
      <c r="H61" s="160" t="s">
        <v>474</v>
      </c>
      <c r="I61">
        <v>53.410418032101539</v>
      </c>
      <c r="K61" t="s">
        <v>474</v>
      </c>
      <c r="L61">
        <v>20.750812113591113</v>
      </c>
      <c r="N61" t="s">
        <v>474</v>
      </c>
      <c r="O61">
        <v>0</v>
      </c>
      <c r="Q61" t="s">
        <v>474</v>
      </c>
      <c r="R61" t="s">
        <v>416</v>
      </c>
      <c r="S61" t="s">
        <v>416</v>
      </c>
    </row>
    <row r="62" spans="1:19" customFormat="1" hidden="1">
      <c r="A62">
        <v>1</v>
      </c>
      <c r="B62" t="s">
        <v>233</v>
      </c>
      <c r="C62">
        <v>2</v>
      </c>
      <c r="D62" t="s">
        <v>229</v>
      </c>
      <c r="E62" t="s">
        <v>475</v>
      </c>
      <c r="F62">
        <v>0</v>
      </c>
      <c r="H62" s="160" t="s">
        <v>475</v>
      </c>
      <c r="I62">
        <v>65.393204786911241</v>
      </c>
      <c r="K62" t="s">
        <v>475</v>
      </c>
      <c r="L62">
        <v>25.406318767683118</v>
      </c>
      <c r="N62" t="s">
        <v>475</v>
      </c>
      <c r="O62">
        <v>0</v>
      </c>
      <c r="Q62" t="s">
        <v>475</v>
      </c>
      <c r="R62">
        <v>2</v>
      </c>
      <c r="S62">
        <v>1</v>
      </c>
    </row>
    <row r="63" spans="1:19" customFormat="1" hidden="1">
      <c r="A63">
        <v>1</v>
      </c>
      <c r="B63" t="s">
        <v>78</v>
      </c>
      <c r="C63" t="s">
        <v>416</v>
      </c>
      <c r="D63" t="s">
        <v>79</v>
      </c>
      <c r="E63" t="s">
        <v>476</v>
      </c>
      <c r="F63">
        <v>6.0696450994736591E-2</v>
      </c>
      <c r="H63" s="160" t="s">
        <v>476</v>
      </c>
      <c r="I63">
        <v>58.321790478967706</v>
      </c>
      <c r="K63" t="s">
        <v>476</v>
      </c>
      <c r="L63">
        <v>11.881246936866024</v>
      </c>
      <c r="N63" t="s">
        <v>476</v>
      </c>
      <c r="O63">
        <v>54.182187605824581</v>
      </c>
      <c r="Q63" t="s">
        <v>476</v>
      </c>
      <c r="R63" t="s">
        <v>416</v>
      </c>
      <c r="S63" t="s">
        <v>416</v>
      </c>
    </row>
    <row r="64" spans="1:19">
      <c r="A64" s="164">
        <v>1</v>
      </c>
      <c r="B64" s="164" t="s">
        <v>80</v>
      </c>
      <c r="C64" s="191">
        <v>2.985517525892579</v>
      </c>
      <c r="D64" s="164" t="s">
        <v>81</v>
      </c>
      <c r="E64" s="164" t="s">
        <v>477</v>
      </c>
      <c r="F64" s="196">
        <v>0.24544707605375371</v>
      </c>
      <c r="H64" s="176" t="s">
        <v>477</v>
      </c>
      <c r="I64" s="191">
        <v>15.558552017425578</v>
      </c>
      <c r="K64" s="164" t="s">
        <v>477</v>
      </c>
      <c r="L64" s="191">
        <v>4.5783353172786372</v>
      </c>
      <c r="N64" s="164" t="s">
        <v>477</v>
      </c>
      <c r="O64" s="198">
        <v>18.028846153846153</v>
      </c>
      <c r="Q64" s="164" t="s">
        <v>477</v>
      </c>
      <c r="R64" s="165">
        <v>2.985517525892579</v>
      </c>
      <c r="S64" s="164">
        <v>1</v>
      </c>
    </row>
    <row r="65" spans="1:19" customFormat="1" hidden="1">
      <c r="A65">
        <v>1</v>
      </c>
      <c r="B65" t="s">
        <v>80</v>
      </c>
      <c r="C65" t="s">
        <v>416</v>
      </c>
      <c r="D65" t="s">
        <v>83</v>
      </c>
      <c r="E65" t="s">
        <v>478</v>
      </c>
      <c r="F65">
        <v>0.17590373783852348</v>
      </c>
      <c r="H65" s="160" t="s">
        <v>478</v>
      </c>
      <c r="I65">
        <v>11.150295612488332</v>
      </c>
      <c r="K65" t="s">
        <v>478</v>
      </c>
      <c r="L65">
        <v>3.2811403107163564</v>
      </c>
      <c r="N65" t="s">
        <v>478</v>
      </c>
      <c r="O65">
        <v>12.920673076923077</v>
      </c>
      <c r="Q65" t="s">
        <v>478</v>
      </c>
      <c r="R65" t="s">
        <v>416</v>
      </c>
      <c r="S65" t="s">
        <v>416</v>
      </c>
    </row>
    <row r="66" spans="1:19" customFormat="1" hidden="1">
      <c r="A66">
        <v>1</v>
      </c>
      <c r="B66" t="s">
        <v>84</v>
      </c>
      <c r="C66" t="s">
        <v>416</v>
      </c>
      <c r="D66" t="s">
        <v>360</v>
      </c>
      <c r="E66" t="s">
        <v>479</v>
      </c>
      <c r="F66">
        <v>0.46662467044632649</v>
      </c>
      <c r="H66" s="160" t="s">
        <v>479</v>
      </c>
      <c r="I66" t="s">
        <v>151</v>
      </c>
      <c r="K66" t="s">
        <v>479</v>
      </c>
      <c r="L66" t="s">
        <v>151</v>
      </c>
      <c r="N66" t="s">
        <v>479</v>
      </c>
      <c r="O66">
        <v>62.028646896758488</v>
      </c>
      <c r="Q66" t="s">
        <v>479</v>
      </c>
      <c r="R66" t="s">
        <v>416</v>
      </c>
      <c r="S66" t="s">
        <v>416</v>
      </c>
    </row>
    <row r="67" spans="1:19" customFormat="1" hidden="1">
      <c r="A67">
        <v>1</v>
      </c>
      <c r="B67" t="s">
        <v>85</v>
      </c>
      <c r="C67" t="s">
        <v>416</v>
      </c>
      <c r="D67" t="s">
        <v>234</v>
      </c>
      <c r="E67" t="s">
        <v>480</v>
      </c>
      <c r="F67">
        <v>0.53373924922729199</v>
      </c>
      <c r="H67" s="160" t="s">
        <v>480</v>
      </c>
      <c r="I67">
        <v>28.410590582014706</v>
      </c>
      <c r="K67" t="s">
        <v>480</v>
      </c>
      <c r="L67">
        <v>7.5125170478988759</v>
      </c>
      <c r="N67" t="s">
        <v>480</v>
      </c>
      <c r="O67">
        <v>825.77691698212868</v>
      </c>
      <c r="Q67" t="s">
        <v>480</v>
      </c>
      <c r="R67" t="s">
        <v>416</v>
      </c>
      <c r="S67" t="s">
        <v>416</v>
      </c>
    </row>
    <row r="68" spans="1:19">
      <c r="A68" s="164">
        <v>1</v>
      </c>
      <c r="B68" s="164" t="s">
        <v>85</v>
      </c>
      <c r="C68" s="191">
        <v>60</v>
      </c>
      <c r="D68" s="164" t="s">
        <v>229</v>
      </c>
      <c r="E68" s="164" t="s">
        <v>481</v>
      </c>
      <c r="F68" s="196">
        <v>0.22760735574724608</v>
      </c>
      <c r="H68" s="176" t="s">
        <v>481</v>
      </c>
      <c r="I68" s="191">
        <v>12.115390440091558</v>
      </c>
      <c r="K68" s="164" t="s">
        <v>481</v>
      </c>
      <c r="L68" s="191">
        <v>3.2036320033683903</v>
      </c>
      <c r="N68" s="164" t="s">
        <v>481</v>
      </c>
      <c r="O68" s="198">
        <v>352.14367461924462</v>
      </c>
      <c r="Q68" s="164" t="s">
        <v>481</v>
      </c>
      <c r="R68" s="165">
        <v>60</v>
      </c>
      <c r="S68" s="164">
        <v>1</v>
      </c>
    </row>
    <row r="69" spans="1:19" customFormat="1" hidden="1">
      <c r="A69">
        <v>1</v>
      </c>
      <c r="B69" t="s">
        <v>87</v>
      </c>
      <c r="C69" t="s">
        <v>416</v>
      </c>
      <c r="D69" t="s">
        <v>88</v>
      </c>
      <c r="E69" t="s">
        <v>482</v>
      </c>
      <c r="F69">
        <v>0.375</v>
      </c>
      <c r="H69" s="160" t="s">
        <v>482</v>
      </c>
      <c r="I69" t="s">
        <v>151</v>
      </c>
      <c r="K69" t="s">
        <v>482</v>
      </c>
      <c r="L69" t="s">
        <v>151</v>
      </c>
      <c r="N69" t="s">
        <v>482</v>
      </c>
      <c r="O69">
        <v>74.200159381942342</v>
      </c>
      <c r="Q69" t="s">
        <v>482</v>
      </c>
      <c r="R69" t="s">
        <v>416</v>
      </c>
      <c r="S69" t="s">
        <v>416</v>
      </c>
    </row>
    <row r="70" spans="1:19" customFormat="1" hidden="1">
      <c r="A70">
        <v>1</v>
      </c>
      <c r="B70" t="s">
        <v>90</v>
      </c>
      <c r="C70" t="s">
        <v>416</v>
      </c>
      <c r="D70" t="s">
        <v>151</v>
      </c>
      <c r="E70" t="s">
        <v>483</v>
      </c>
      <c r="F70">
        <v>0.33903449981166639</v>
      </c>
      <c r="H70" s="160" t="s">
        <v>483</v>
      </c>
      <c r="I70">
        <v>294.11764705882354</v>
      </c>
      <c r="K70" t="s">
        <v>483</v>
      </c>
      <c r="L70">
        <v>16.231131309852298</v>
      </c>
      <c r="N70" t="s">
        <v>483</v>
      </c>
      <c r="O70">
        <v>21.382598841063142</v>
      </c>
      <c r="Q70" t="s">
        <v>483</v>
      </c>
      <c r="R70" t="s">
        <v>416</v>
      </c>
      <c r="S70" t="s">
        <v>416</v>
      </c>
    </row>
    <row r="71" spans="1:19" customFormat="1" hidden="1">
      <c r="A71">
        <v>1</v>
      </c>
      <c r="B71" t="s">
        <v>93</v>
      </c>
      <c r="C71" t="s">
        <v>416</v>
      </c>
      <c r="D71" t="s">
        <v>151</v>
      </c>
      <c r="E71" t="s">
        <v>484</v>
      </c>
      <c r="F71">
        <v>7.5349969211165352E-2</v>
      </c>
      <c r="H71" s="160" t="s">
        <v>484</v>
      </c>
      <c r="I71">
        <v>25</v>
      </c>
      <c r="K71" t="s">
        <v>484</v>
      </c>
      <c r="L71">
        <v>9.7613882863340571</v>
      </c>
      <c r="N71" t="s">
        <v>484</v>
      </c>
      <c r="O71">
        <v>55.641834746223772</v>
      </c>
      <c r="Q71" t="s">
        <v>484</v>
      </c>
      <c r="R71" t="s">
        <v>416</v>
      </c>
      <c r="S71" t="s">
        <v>416</v>
      </c>
    </row>
    <row r="72" spans="1:19" customFormat="1" hidden="1">
      <c r="A72">
        <v>1</v>
      </c>
      <c r="B72" t="s">
        <v>95</v>
      </c>
      <c r="C72" t="s">
        <v>416</v>
      </c>
      <c r="D72" t="s">
        <v>206</v>
      </c>
      <c r="E72" t="s">
        <v>485</v>
      </c>
      <c r="F72">
        <v>0.63698099319491974</v>
      </c>
      <c r="H72" s="160" t="s">
        <v>485</v>
      </c>
      <c r="I72">
        <v>36.945812807881772</v>
      </c>
      <c r="K72" t="s">
        <v>485</v>
      </c>
      <c r="L72" t="s">
        <v>151</v>
      </c>
      <c r="N72" t="s">
        <v>485</v>
      </c>
      <c r="O72">
        <v>39.600300962287314</v>
      </c>
      <c r="Q72" t="s">
        <v>485</v>
      </c>
      <c r="R72" t="s">
        <v>416</v>
      </c>
      <c r="S72" t="s">
        <v>416</v>
      </c>
    </row>
    <row r="73" spans="1:19" customFormat="1" hidden="1">
      <c r="A73">
        <v>1</v>
      </c>
      <c r="B73" t="s">
        <v>97</v>
      </c>
      <c r="C73" t="s">
        <v>416</v>
      </c>
      <c r="D73" t="s">
        <v>151</v>
      </c>
      <c r="E73" t="s">
        <v>486</v>
      </c>
      <c r="F73">
        <v>0.1367683723139024</v>
      </c>
      <c r="H73" s="160" t="s">
        <v>486</v>
      </c>
      <c r="I73">
        <v>40.5</v>
      </c>
      <c r="K73" t="s">
        <v>486</v>
      </c>
      <c r="L73" t="e">
        <v>#DIV/0!</v>
      </c>
      <c r="N73" t="s">
        <v>486</v>
      </c>
      <c r="O73">
        <v>128.36767036450078</v>
      </c>
      <c r="Q73" t="s">
        <v>486</v>
      </c>
      <c r="R73" t="s">
        <v>416</v>
      </c>
      <c r="S73" t="s">
        <v>416</v>
      </c>
    </row>
    <row r="74" spans="1:19" customFormat="1" hidden="1">
      <c r="A74">
        <v>1</v>
      </c>
      <c r="B74" t="s">
        <v>317</v>
      </c>
      <c r="C74" t="s">
        <v>416</v>
      </c>
      <c r="D74" t="s">
        <v>228</v>
      </c>
      <c r="E74" t="s">
        <v>487</v>
      </c>
      <c r="F74">
        <v>0</v>
      </c>
      <c r="H74" s="160" t="s">
        <v>487</v>
      </c>
      <c r="I74">
        <v>22.281639928698752</v>
      </c>
      <c r="K74" t="s">
        <v>487</v>
      </c>
      <c r="L74">
        <v>9.3586224107811322</v>
      </c>
      <c r="N74" t="s">
        <v>487</v>
      </c>
      <c r="O74">
        <v>0</v>
      </c>
      <c r="Q74" t="s">
        <v>487</v>
      </c>
      <c r="R74" t="s">
        <v>416</v>
      </c>
      <c r="S74" t="s">
        <v>416</v>
      </c>
    </row>
    <row r="75" spans="1:19" customFormat="1" hidden="1">
      <c r="A75">
        <v>1</v>
      </c>
      <c r="B75" t="s">
        <v>317</v>
      </c>
      <c r="C75" t="s">
        <v>416</v>
      </c>
      <c r="D75" t="s">
        <v>229</v>
      </c>
      <c r="E75" t="s">
        <v>488</v>
      </c>
      <c r="F75">
        <v>0</v>
      </c>
      <c r="H75" s="160" t="s">
        <v>488</v>
      </c>
      <c r="I75">
        <v>68.152109328579911</v>
      </c>
      <c r="K75" t="s">
        <v>488</v>
      </c>
      <c r="L75">
        <v>28.624906413775893</v>
      </c>
      <c r="N75" t="s">
        <v>488</v>
      </c>
      <c r="O75">
        <v>0</v>
      </c>
      <c r="Q75" t="s">
        <v>488</v>
      </c>
      <c r="R75" t="s">
        <v>416</v>
      </c>
      <c r="S75" t="s">
        <v>416</v>
      </c>
    </row>
    <row r="76" spans="1:19" customFormat="1" hidden="1">
      <c r="A76">
        <v>0</v>
      </c>
      <c r="B76" t="s">
        <v>317</v>
      </c>
      <c r="C76" t="s">
        <v>416</v>
      </c>
      <c r="D76" t="s">
        <v>230</v>
      </c>
      <c r="E76" t="s">
        <v>489</v>
      </c>
      <c r="F76">
        <v>0</v>
      </c>
      <c r="H76" s="160" t="s">
        <v>489</v>
      </c>
      <c r="I76">
        <v>85.323826500297088</v>
      </c>
      <c r="K76" t="s">
        <v>489</v>
      </c>
      <c r="L76">
        <v>35.83728475168455</v>
      </c>
      <c r="N76" t="s">
        <v>489</v>
      </c>
      <c r="O76">
        <v>0</v>
      </c>
      <c r="Q76" t="s">
        <v>489</v>
      </c>
      <c r="R76" t="s">
        <v>416</v>
      </c>
      <c r="S76" t="s">
        <v>416</v>
      </c>
    </row>
    <row r="77" spans="1:19" customFormat="1" hidden="1">
      <c r="A77">
        <v>1</v>
      </c>
      <c r="B77" t="s">
        <v>100</v>
      </c>
      <c r="C77" t="s">
        <v>416</v>
      </c>
      <c r="D77" t="s">
        <v>101</v>
      </c>
      <c r="E77" t="s">
        <v>490</v>
      </c>
      <c r="F77">
        <v>0.44803650242992599</v>
      </c>
      <c r="H77" s="160" t="s">
        <v>490</v>
      </c>
      <c r="I77" t="s">
        <v>151</v>
      </c>
      <c r="K77" t="s">
        <v>490</v>
      </c>
      <c r="L77" t="s">
        <v>151</v>
      </c>
      <c r="N77" t="s">
        <v>490</v>
      </c>
      <c r="O77">
        <v>156.25</v>
      </c>
      <c r="Q77" t="s">
        <v>490</v>
      </c>
      <c r="R77" t="s">
        <v>416</v>
      </c>
      <c r="S77" t="s">
        <v>416</v>
      </c>
    </row>
    <row r="78" spans="1:19" customFormat="1" hidden="1">
      <c r="A78">
        <v>1</v>
      </c>
      <c r="B78" t="s">
        <v>103</v>
      </c>
      <c r="C78" t="s">
        <v>416</v>
      </c>
      <c r="D78" t="s">
        <v>104</v>
      </c>
      <c r="E78" t="s">
        <v>491</v>
      </c>
      <c r="F78">
        <v>0.34983632596300995</v>
      </c>
      <c r="H78" s="160" t="s">
        <v>491</v>
      </c>
      <c r="I78">
        <v>65.259317585301332</v>
      </c>
      <c r="K78" t="s">
        <v>491</v>
      </c>
      <c r="L78">
        <v>35.816479400748783</v>
      </c>
      <c r="N78" t="s">
        <v>491</v>
      </c>
      <c r="O78">
        <v>566.89010487915664</v>
      </c>
      <c r="Q78" t="s">
        <v>491</v>
      </c>
      <c r="R78" t="s">
        <v>416</v>
      </c>
      <c r="S78" t="s">
        <v>416</v>
      </c>
    </row>
    <row r="79" spans="1:19" customFormat="1" hidden="1">
      <c r="A79">
        <v>1</v>
      </c>
      <c r="B79" t="s">
        <v>105</v>
      </c>
      <c r="C79" t="s">
        <v>416</v>
      </c>
      <c r="D79" t="s">
        <v>106</v>
      </c>
      <c r="E79" t="s">
        <v>492</v>
      </c>
      <c r="F79">
        <v>0.16315374985158768</v>
      </c>
      <c r="H79" s="160" t="s">
        <v>492</v>
      </c>
      <c r="I79">
        <v>84.315352697095435</v>
      </c>
      <c r="K79" t="s">
        <v>492</v>
      </c>
      <c r="L79">
        <v>18.090094367618256</v>
      </c>
      <c r="N79" t="s">
        <v>492</v>
      </c>
      <c r="O79">
        <v>95.25</v>
      </c>
      <c r="Q79" t="s">
        <v>492</v>
      </c>
      <c r="R79" t="s">
        <v>416</v>
      </c>
      <c r="S79" t="s">
        <v>416</v>
      </c>
    </row>
    <row r="80" spans="1:19" customFormat="1" hidden="1">
      <c r="A80">
        <v>1</v>
      </c>
      <c r="B80" t="s">
        <v>108</v>
      </c>
      <c r="C80" t="s">
        <v>416</v>
      </c>
      <c r="D80" t="s">
        <v>413</v>
      </c>
      <c r="E80" t="s">
        <v>493</v>
      </c>
      <c r="F80">
        <v>8.5335306034454772E-2</v>
      </c>
      <c r="H80" s="160" t="s">
        <v>493</v>
      </c>
      <c r="I80">
        <v>64.859002169197396</v>
      </c>
      <c r="K80" t="s">
        <v>493</v>
      </c>
      <c r="L80">
        <v>15.613577023498696</v>
      </c>
      <c r="N80" t="s">
        <v>493</v>
      </c>
      <c r="O80">
        <v>68.319953691714773</v>
      </c>
      <c r="Q80" t="s">
        <v>493</v>
      </c>
      <c r="R80" t="s">
        <v>416</v>
      </c>
      <c r="S80" t="s">
        <v>416</v>
      </c>
    </row>
    <row r="81" spans="1:19">
      <c r="A81" s="164">
        <v>1</v>
      </c>
      <c r="B81" s="164" t="s">
        <v>108</v>
      </c>
      <c r="C81" s="191">
        <v>38.444170729927869</v>
      </c>
      <c r="D81" s="164" t="s">
        <v>110</v>
      </c>
      <c r="E81" s="164" t="s">
        <v>494</v>
      </c>
      <c r="F81" s="196">
        <v>4.7567060219874453E-2</v>
      </c>
      <c r="H81" s="176" t="s">
        <v>494</v>
      </c>
      <c r="I81" s="191">
        <v>36.153289949385389</v>
      </c>
      <c r="K81" s="164" t="s">
        <v>494</v>
      </c>
      <c r="L81" s="191">
        <v>8.7032201914708445</v>
      </c>
      <c r="N81" s="164" t="s">
        <v>494</v>
      </c>
      <c r="O81" s="198">
        <v>38.08247140006398</v>
      </c>
      <c r="Q81" s="164" t="s">
        <v>494</v>
      </c>
      <c r="R81" s="165">
        <v>38.444170729927869</v>
      </c>
      <c r="S81" s="164">
        <v>1</v>
      </c>
    </row>
    <row r="82" spans="1:19" customFormat="1" hidden="1">
      <c r="A82">
        <v>0</v>
      </c>
      <c r="B82" t="s">
        <v>108</v>
      </c>
      <c r="C82" t="s">
        <v>416</v>
      </c>
      <c r="D82" t="s">
        <v>230</v>
      </c>
      <c r="E82" t="s">
        <v>495</v>
      </c>
      <c r="F82">
        <v>0</v>
      </c>
      <c r="H82" s="160" t="s">
        <v>495</v>
      </c>
      <c r="I82">
        <v>131.57387322246325</v>
      </c>
      <c r="K82" t="s">
        <v>495</v>
      </c>
      <c r="L82">
        <v>31.673919350159562</v>
      </c>
      <c r="N82" t="s">
        <v>495</v>
      </c>
      <c r="O82">
        <v>0</v>
      </c>
      <c r="Q82" t="s">
        <v>495</v>
      </c>
      <c r="R82" t="s">
        <v>416</v>
      </c>
      <c r="S82" t="s">
        <v>416</v>
      </c>
    </row>
    <row r="83" spans="1:19" customFormat="1" hidden="1">
      <c r="A83">
        <v>1</v>
      </c>
      <c r="B83" t="s">
        <v>120</v>
      </c>
      <c r="C83">
        <v>0.52306198413982841</v>
      </c>
      <c r="D83" t="s">
        <v>121</v>
      </c>
      <c r="E83" t="s">
        <v>496</v>
      </c>
      <c r="F83">
        <v>5.3262306369880316E-2</v>
      </c>
      <c r="H83" s="160" t="s">
        <v>496</v>
      </c>
      <c r="I83" t="s">
        <v>151</v>
      </c>
      <c r="K83" t="s">
        <v>496</v>
      </c>
      <c r="L83">
        <v>3.2645560407569141</v>
      </c>
      <c r="N83" t="s">
        <v>496</v>
      </c>
      <c r="O83">
        <v>7.6642460486971373</v>
      </c>
      <c r="Q83" t="s">
        <v>496</v>
      </c>
      <c r="R83">
        <v>0.52306198413982841</v>
      </c>
      <c r="S83">
        <v>1</v>
      </c>
    </row>
    <row r="84" spans="1:19">
      <c r="A84" s="164">
        <v>1</v>
      </c>
      <c r="B84" s="164" t="s">
        <v>123</v>
      </c>
      <c r="C84" s="191">
        <v>1.2744169149881444</v>
      </c>
      <c r="D84" s="164" t="s">
        <v>124</v>
      </c>
      <c r="E84" s="164" t="s">
        <v>497</v>
      </c>
      <c r="F84" s="196">
        <v>0.14393399197140991</v>
      </c>
      <c r="H84" s="176" t="s">
        <v>497</v>
      </c>
      <c r="I84" s="191">
        <v>31.944444444444443</v>
      </c>
      <c r="K84" s="164" t="s">
        <v>497</v>
      </c>
      <c r="L84" s="191">
        <v>11.480865224625623</v>
      </c>
      <c r="N84" s="164" t="s">
        <v>497</v>
      </c>
      <c r="O84" s="198">
        <v>27.802401482794743</v>
      </c>
      <c r="Q84" s="164" t="s">
        <v>497</v>
      </c>
      <c r="R84" s="165">
        <v>1.2744169149881444</v>
      </c>
      <c r="S84" s="164">
        <v>1</v>
      </c>
    </row>
    <row r="85" spans="1:19" customFormat="1" hidden="1">
      <c r="A85">
        <v>1</v>
      </c>
      <c r="B85" t="s">
        <v>126</v>
      </c>
      <c r="C85">
        <v>98.376560425957138</v>
      </c>
      <c r="D85" t="s">
        <v>127</v>
      </c>
      <c r="E85" t="s">
        <v>498</v>
      </c>
      <c r="F85">
        <v>0.15608766070330291</v>
      </c>
      <c r="H85" s="160" t="s">
        <v>498</v>
      </c>
      <c r="I85" t="s">
        <v>151</v>
      </c>
      <c r="K85" t="s">
        <v>498</v>
      </c>
      <c r="L85" t="s">
        <v>151</v>
      </c>
      <c r="N85" t="s">
        <v>498</v>
      </c>
      <c r="O85">
        <v>64.451012718762854</v>
      </c>
      <c r="Q85" t="s">
        <v>498</v>
      </c>
      <c r="R85">
        <v>98.376560425957138</v>
      </c>
      <c r="S85">
        <v>1</v>
      </c>
    </row>
    <row r="86" spans="1:19">
      <c r="A86" s="164">
        <v>1</v>
      </c>
      <c r="B86" s="164" t="s">
        <v>130</v>
      </c>
      <c r="C86" s="191">
        <v>69.099199210671884</v>
      </c>
      <c r="D86" s="164" t="s">
        <v>170</v>
      </c>
      <c r="E86" s="164" t="s">
        <v>499</v>
      </c>
      <c r="F86" s="196">
        <v>0.17347742908300526</v>
      </c>
      <c r="H86" s="176" t="s">
        <v>499</v>
      </c>
      <c r="I86" s="191">
        <v>10.869565217391305</v>
      </c>
      <c r="K86" s="164" t="s">
        <v>499</v>
      </c>
      <c r="L86" s="191">
        <v>9.7713504006253675</v>
      </c>
      <c r="N86" s="164" t="s">
        <v>499</v>
      </c>
      <c r="O86" s="198">
        <v>6.7385444743935308</v>
      </c>
      <c r="Q86" s="164" t="s">
        <v>499</v>
      </c>
      <c r="R86" s="165">
        <v>69.099199210671884</v>
      </c>
      <c r="S86" s="164">
        <v>1</v>
      </c>
    </row>
    <row r="87" spans="1:19" customFormat="1" hidden="1">
      <c r="A87">
        <v>1</v>
      </c>
      <c r="B87" t="s">
        <v>133</v>
      </c>
      <c r="C87" t="s">
        <v>416</v>
      </c>
      <c r="D87" t="s">
        <v>134</v>
      </c>
      <c r="E87" t="s">
        <v>500</v>
      </c>
      <c r="F87">
        <v>0.34410048999427073</v>
      </c>
      <c r="H87" s="160" t="s">
        <v>500</v>
      </c>
      <c r="I87">
        <v>75.756492732904448</v>
      </c>
      <c r="K87" t="s">
        <v>500</v>
      </c>
      <c r="L87" t="e">
        <v>#DIV/0!</v>
      </c>
      <c r="N87" t="s">
        <v>500</v>
      </c>
      <c r="O87">
        <v>1392.5718194254446</v>
      </c>
      <c r="Q87" t="s">
        <v>500</v>
      </c>
      <c r="R87" t="s">
        <v>416</v>
      </c>
      <c r="S87" t="s">
        <v>416</v>
      </c>
    </row>
    <row r="88" spans="1:19">
      <c r="A88" s="164">
        <v>1</v>
      </c>
      <c r="B88" s="164" t="s">
        <v>135</v>
      </c>
      <c r="C88" s="191">
        <v>93.650535675923081</v>
      </c>
      <c r="D88" s="164" t="s">
        <v>136</v>
      </c>
      <c r="E88" s="164" t="s">
        <v>501</v>
      </c>
      <c r="F88" s="196">
        <v>0.34653765159135153</v>
      </c>
      <c r="H88" s="176" t="s">
        <v>501</v>
      </c>
      <c r="I88" s="191">
        <v>69.543147208121823</v>
      </c>
      <c r="K88" s="164" t="s">
        <v>501</v>
      </c>
      <c r="L88" s="191">
        <v>41.253764029564742</v>
      </c>
      <c r="N88" s="164" t="s">
        <v>501</v>
      </c>
      <c r="O88" s="198">
        <v>869.42813758325678</v>
      </c>
      <c r="Q88" s="164" t="s">
        <v>501</v>
      </c>
      <c r="R88" s="165">
        <v>93.650535675923081</v>
      </c>
      <c r="S88" s="164">
        <v>1</v>
      </c>
    </row>
    <row r="89" spans="1:19" customFormat="1" hidden="1">
      <c r="A89">
        <v>1</v>
      </c>
      <c r="B89" t="s">
        <v>409</v>
      </c>
      <c r="C89">
        <v>0.36114779269177716</v>
      </c>
      <c r="D89" t="s">
        <v>410</v>
      </c>
      <c r="E89" t="s">
        <v>502</v>
      </c>
      <c r="F89">
        <v>0.22652678230111364</v>
      </c>
      <c r="H89" s="160" t="s">
        <v>502</v>
      </c>
      <c r="I89">
        <v>0</v>
      </c>
      <c r="K89" t="s">
        <v>502</v>
      </c>
      <c r="L89">
        <v>0</v>
      </c>
      <c r="N89" t="s">
        <v>502</v>
      </c>
      <c r="O89">
        <v>31.685678073510772</v>
      </c>
      <c r="Q89" t="s">
        <v>502</v>
      </c>
      <c r="R89">
        <v>0.36114779269177716</v>
      </c>
      <c r="S89">
        <v>1</v>
      </c>
    </row>
    <row r="90" spans="1:19" customFormat="1" hidden="1">
      <c r="A90">
        <v>1</v>
      </c>
      <c r="B90" t="s">
        <v>1</v>
      </c>
      <c r="C90">
        <v>21.558703888045386</v>
      </c>
      <c r="D90" t="s">
        <v>407</v>
      </c>
      <c r="E90" t="s">
        <v>503</v>
      </c>
      <c r="F90">
        <v>0.14176719859516865</v>
      </c>
      <c r="H90" s="160" t="s">
        <v>503</v>
      </c>
      <c r="I90" t="s">
        <v>151</v>
      </c>
      <c r="K90" t="s">
        <v>503</v>
      </c>
      <c r="L90">
        <v>17.25402556818182</v>
      </c>
      <c r="N90" t="s">
        <v>503</v>
      </c>
      <c r="O90">
        <v>1061.4595858616931</v>
      </c>
      <c r="Q90" t="s">
        <v>503</v>
      </c>
      <c r="R90">
        <v>21.558703888045386</v>
      </c>
      <c r="S90">
        <v>1</v>
      </c>
    </row>
    <row r="91" spans="1:19" customFormat="1" hidden="1">
      <c r="A91">
        <v>0</v>
      </c>
      <c r="B91" t="s">
        <v>1</v>
      </c>
      <c r="C91" t="s">
        <v>416</v>
      </c>
      <c r="D91" t="s">
        <v>230</v>
      </c>
      <c r="E91" t="s">
        <v>504</v>
      </c>
      <c r="F91">
        <v>0.2688559987597019</v>
      </c>
      <c r="H91" s="160" t="s">
        <v>504</v>
      </c>
      <c r="I91" t="s">
        <v>151</v>
      </c>
      <c r="K91" t="s">
        <v>504</v>
      </c>
      <c r="L91">
        <v>32.721590909090907</v>
      </c>
      <c r="N91" t="s">
        <v>504</v>
      </c>
      <c r="O91">
        <v>2013.0169737982721</v>
      </c>
      <c r="Q91" t="s">
        <v>504</v>
      </c>
      <c r="R91" t="s">
        <v>416</v>
      </c>
      <c r="S91" t="s">
        <v>416</v>
      </c>
    </row>
    <row r="92" spans="1:19">
      <c r="A92" s="164">
        <v>1</v>
      </c>
      <c r="B92" s="164" t="s">
        <v>3</v>
      </c>
      <c r="C92" s="191">
        <v>55.580647906316074</v>
      </c>
      <c r="D92" s="164" t="s">
        <v>4</v>
      </c>
      <c r="E92" s="164" t="s">
        <v>505</v>
      </c>
      <c r="F92" s="196">
        <v>0.14094076788053861</v>
      </c>
      <c r="H92" s="176" t="s">
        <v>505</v>
      </c>
      <c r="I92" s="191">
        <v>34.602076124567475</v>
      </c>
      <c r="K92" s="164" t="s">
        <v>505</v>
      </c>
      <c r="L92" s="191">
        <v>18.248175182481752</v>
      </c>
      <c r="N92" s="164" t="s">
        <v>505</v>
      </c>
      <c r="O92" s="198">
        <v>100</v>
      </c>
      <c r="Q92" s="164" t="s">
        <v>505</v>
      </c>
      <c r="R92" s="165">
        <v>55.580647906316074</v>
      </c>
      <c r="S92" s="164">
        <v>1</v>
      </c>
    </row>
    <row r="93" spans="1:19">
      <c r="A93" s="164">
        <v>1</v>
      </c>
      <c r="B93" s="164" t="s">
        <v>5</v>
      </c>
      <c r="C93" s="191">
        <v>7.3196796908167299</v>
      </c>
      <c r="D93" s="164" t="s">
        <v>361</v>
      </c>
      <c r="E93" s="164" t="s">
        <v>506</v>
      </c>
      <c r="F93" s="196">
        <v>0.3071030802542406</v>
      </c>
      <c r="H93" s="176" t="s">
        <v>506</v>
      </c>
      <c r="I93" s="191">
        <v>26.688187566853554</v>
      </c>
      <c r="K93" s="164" t="s">
        <v>506</v>
      </c>
      <c r="L93" s="191">
        <v>26.81825638538405</v>
      </c>
      <c r="N93" s="164" t="s">
        <v>506</v>
      </c>
      <c r="O93" s="198">
        <v>87.441860465116278</v>
      </c>
      <c r="Q93" s="164" t="s">
        <v>506</v>
      </c>
      <c r="R93" s="165">
        <v>7.3196796908167299</v>
      </c>
      <c r="S93" s="164">
        <v>1</v>
      </c>
    </row>
    <row r="94" spans="1:19" customFormat="1" hidden="1">
      <c r="A94">
        <v>1</v>
      </c>
      <c r="B94" t="s">
        <v>363</v>
      </c>
      <c r="C94">
        <v>2.2285239672065762</v>
      </c>
      <c r="D94" t="s">
        <v>364</v>
      </c>
      <c r="E94" t="s">
        <v>507</v>
      </c>
      <c r="F94">
        <v>9.2534855412437722E-2</v>
      </c>
      <c r="H94" s="160" t="s">
        <v>507</v>
      </c>
      <c r="I94">
        <v>0</v>
      </c>
      <c r="K94" t="s">
        <v>507</v>
      </c>
      <c r="L94">
        <v>0</v>
      </c>
      <c r="N94" t="s">
        <v>507</v>
      </c>
      <c r="O94">
        <v>47.169811320754718</v>
      </c>
      <c r="Q94" t="s">
        <v>507</v>
      </c>
      <c r="R94">
        <v>2.2285239672065762</v>
      </c>
      <c r="S94">
        <v>1</v>
      </c>
    </row>
    <row r="95" spans="1:19">
      <c r="A95" s="164">
        <v>1</v>
      </c>
      <c r="B95" s="164" t="s">
        <v>6</v>
      </c>
      <c r="C95" s="191">
        <v>8.3156517515077084</v>
      </c>
      <c r="D95" s="164" t="s">
        <v>22</v>
      </c>
      <c r="E95" s="164" t="s">
        <v>508</v>
      </c>
      <c r="F95" s="196">
        <v>5.9080227788544652E-2</v>
      </c>
      <c r="H95" s="176" t="s">
        <v>508</v>
      </c>
      <c r="I95" s="191">
        <v>5.0342327829238824</v>
      </c>
      <c r="K95" s="164" t="s">
        <v>508</v>
      </c>
      <c r="L95" s="191">
        <v>6.6146315650218277</v>
      </c>
      <c r="N95" s="164" t="s">
        <v>508</v>
      </c>
      <c r="O95" s="198">
        <v>11.725748806318773</v>
      </c>
      <c r="Q95" s="164" t="s">
        <v>508</v>
      </c>
      <c r="R95" s="165">
        <v>8.3156517515077084</v>
      </c>
      <c r="S95" s="164">
        <v>1</v>
      </c>
    </row>
    <row r="96" spans="1:19" customFormat="1" hidden="1">
      <c r="A96">
        <v>1</v>
      </c>
      <c r="B96" t="s">
        <v>235</v>
      </c>
      <c r="C96">
        <v>0.12</v>
      </c>
      <c r="D96" t="s">
        <v>229</v>
      </c>
      <c r="E96" t="s">
        <v>509</v>
      </c>
      <c r="F96">
        <v>0</v>
      </c>
      <c r="H96" s="160" t="s">
        <v>509</v>
      </c>
      <c r="I96">
        <v>37.38244514106583</v>
      </c>
      <c r="K96" t="s">
        <v>509</v>
      </c>
      <c r="L96">
        <v>15.372220431840155</v>
      </c>
      <c r="N96" t="s">
        <v>509</v>
      </c>
      <c r="O96">
        <v>0</v>
      </c>
      <c r="Q96" t="s">
        <v>509</v>
      </c>
      <c r="R96">
        <v>0.12</v>
      </c>
      <c r="S96">
        <v>1</v>
      </c>
    </row>
    <row r="97" spans="1:19" customFormat="1" hidden="1">
      <c r="A97">
        <v>0</v>
      </c>
      <c r="B97" t="s">
        <v>235</v>
      </c>
      <c r="C97" t="s">
        <v>416</v>
      </c>
      <c r="D97" t="s">
        <v>230</v>
      </c>
      <c r="E97" t="s">
        <v>510</v>
      </c>
      <c r="F97">
        <v>0</v>
      </c>
      <c r="H97" s="160" t="s">
        <v>510</v>
      </c>
      <c r="I97">
        <v>49.862852664576799</v>
      </c>
      <c r="K97" t="s">
        <v>510</v>
      </c>
      <c r="L97">
        <v>20.504350628424106</v>
      </c>
      <c r="N97" t="s">
        <v>510</v>
      </c>
      <c r="O97">
        <v>0</v>
      </c>
      <c r="Q97" t="s">
        <v>510</v>
      </c>
      <c r="R97" t="s">
        <v>416</v>
      </c>
      <c r="S97" t="s">
        <v>416</v>
      </c>
    </row>
    <row r="98" spans="1:19">
      <c r="A98" s="164">
        <v>1</v>
      </c>
      <c r="B98" s="164" t="s">
        <v>236</v>
      </c>
      <c r="C98" s="191">
        <v>2.6356131570151606</v>
      </c>
      <c r="D98" s="164" t="s">
        <v>367</v>
      </c>
      <c r="E98" s="164" t="s">
        <v>511</v>
      </c>
      <c r="F98" s="196">
        <v>0.14475893390058159</v>
      </c>
      <c r="H98" s="176" t="s">
        <v>511</v>
      </c>
      <c r="I98" s="191">
        <v>43.422222222222224</v>
      </c>
      <c r="K98" s="164" t="s">
        <v>511</v>
      </c>
      <c r="L98" s="191">
        <v>19.384920634920636</v>
      </c>
      <c r="N98" s="164" t="s">
        <v>511</v>
      </c>
      <c r="O98" s="198">
        <v>258.35283540253596</v>
      </c>
      <c r="Q98" s="164" t="s">
        <v>511</v>
      </c>
      <c r="R98" s="165">
        <v>2.6356131570151606</v>
      </c>
      <c r="S98" s="164">
        <v>1</v>
      </c>
    </row>
    <row r="99" spans="1:19" customFormat="1" hidden="1">
      <c r="A99">
        <v>0</v>
      </c>
      <c r="B99" t="s">
        <v>236</v>
      </c>
      <c r="C99">
        <v>59</v>
      </c>
      <c r="D99" t="s">
        <v>230</v>
      </c>
      <c r="E99" t="s">
        <v>512</v>
      </c>
      <c r="F99">
        <v>0</v>
      </c>
      <c r="H99" s="160" t="s">
        <v>512</v>
      </c>
      <c r="I99">
        <v>80.851851851851848</v>
      </c>
      <c r="K99" t="s">
        <v>512</v>
      </c>
      <c r="L99">
        <v>36.094576719576715</v>
      </c>
      <c r="N99" t="s">
        <v>512</v>
      </c>
      <c r="O99">
        <v>0</v>
      </c>
      <c r="Q99" t="s">
        <v>512</v>
      </c>
      <c r="R99">
        <v>59</v>
      </c>
      <c r="S99">
        <v>1</v>
      </c>
    </row>
    <row r="100" spans="1:19" customFormat="1" hidden="1">
      <c r="A100">
        <v>1</v>
      </c>
      <c r="B100" t="s">
        <v>403</v>
      </c>
      <c r="C100">
        <v>0</v>
      </c>
      <c r="D100" t="s">
        <v>404</v>
      </c>
      <c r="E100" t="s">
        <v>513</v>
      </c>
      <c r="F100">
        <v>0.11745640033478086</v>
      </c>
      <c r="H100" s="160" t="s">
        <v>513</v>
      </c>
      <c r="I100">
        <v>0</v>
      </c>
      <c r="K100" t="s">
        <v>513</v>
      </c>
      <c r="L100">
        <v>0</v>
      </c>
      <c r="N100" t="s">
        <v>513</v>
      </c>
      <c r="O100">
        <v>60.185185185185183</v>
      </c>
      <c r="Q100" t="s">
        <v>513</v>
      </c>
      <c r="R100">
        <v>0</v>
      </c>
      <c r="S100">
        <v>1</v>
      </c>
    </row>
    <row r="101" spans="1:19" customFormat="1" hidden="1">
      <c r="A101">
        <v>1</v>
      </c>
      <c r="B101" t="s">
        <v>9</v>
      </c>
      <c r="C101">
        <v>93.107876712328761</v>
      </c>
      <c r="D101" t="s">
        <v>10</v>
      </c>
      <c r="E101" t="s">
        <v>514</v>
      </c>
      <c r="F101">
        <v>0.19610889776239745</v>
      </c>
      <c r="H101" s="160" t="s">
        <v>514</v>
      </c>
      <c r="I101" t="s">
        <v>151</v>
      </c>
      <c r="K101" t="s">
        <v>514</v>
      </c>
      <c r="L101" t="s">
        <v>151</v>
      </c>
      <c r="N101" t="s">
        <v>514</v>
      </c>
      <c r="O101">
        <v>56.745018442130991</v>
      </c>
      <c r="Q101" t="s">
        <v>514</v>
      </c>
      <c r="R101">
        <v>93.107876712328761</v>
      </c>
      <c r="S101">
        <v>1</v>
      </c>
    </row>
    <row r="102" spans="1:19">
      <c r="A102" s="164">
        <v>1</v>
      </c>
      <c r="B102" s="164" t="s">
        <v>12</v>
      </c>
      <c r="C102" s="191">
        <v>100</v>
      </c>
      <c r="D102" s="164" t="s">
        <v>13</v>
      </c>
      <c r="E102" s="164" t="s">
        <v>515</v>
      </c>
      <c r="F102" s="196">
        <v>0.22246819033173326</v>
      </c>
      <c r="H102" s="176" t="s">
        <v>515</v>
      </c>
      <c r="I102" s="191" t="s">
        <v>151</v>
      </c>
      <c r="K102" s="164" t="s">
        <v>515</v>
      </c>
      <c r="L102" s="191" t="s">
        <v>151</v>
      </c>
      <c r="N102" s="164" t="s">
        <v>515</v>
      </c>
      <c r="O102" s="198">
        <v>172.92312126233878</v>
      </c>
      <c r="Q102" s="164" t="s">
        <v>515</v>
      </c>
      <c r="R102" s="165">
        <v>100</v>
      </c>
      <c r="S102" s="164">
        <v>1</v>
      </c>
    </row>
    <row r="103" spans="1:19" customFormat="1" hidden="1">
      <c r="A103">
        <v>1</v>
      </c>
      <c r="B103" t="s">
        <v>237</v>
      </c>
      <c r="C103">
        <v>0.47516832923001134</v>
      </c>
      <c r="D103" t="s">
        <v>229</v>
      </c>
      <c r="E103" t="s">
        <v>516</v>
      </c>
      <c r="F103">
        <v>0</v>
      </c>
      <c r="H103" s="160" t="s">
        <v>516</v>
      </c>
      <c r="I103">
        <v>1838.2038288288288</v>
      </c>
      <c r="K103" t="s">
        <v>516</v>
      </c>
      <c r="L103">
        <v>677.59443752594427</v>
      </c>
      <c r="N103" t="s">
        <v>516</v>
      </c>
      <c r="O103">
        <v>0</v>
      </c>
      <c r="Q103" t="s">
        <v>516</v>
      </c>
      <c r="R103">
        <v>0.47516832923001134</v>
      </c>
      <c r="S103">
        <v>1</v>
      </c>
    </row>
    <row r="104" spans="1:19">
      <c r="A104" s="164">
        <v>1</v>
      </c>
      <c r="B104" s="164" t="s">
        <v>14</v>
      </c>
      <c r="C104" s="191">
        <v>6.1480719128294448</v>
      </c>
      <c r="D104" s="164" t="s">
        <v>402</v>
      </c>
      <c r="E104" s="164" t="s">
        <v>517</v>
      </c>
      <c r="F104" s="196">
        <v>0.12403578635788731</v>
      </c>
      <c r="H104" s="176" t="s">
        <v>517</v>
      </c>
      <c r="I104" s="191">
        <v>30.7911714770798</v>
      </c>
      <c r="K104" s="164" t="s">
        <v>517</v>
      </c>
      <c r="L104" s="191">
        <v>12.603196664350245</v>
      </c>
      <c r="N104" s="164" t="s">
        <v>517</v>
      </c>
      <c r="O104" s="198">
        <v>239.78950987003032</v>
      </c>
      <c r="Q104" s="164" t="s">
        <v>517</v>
      </c>
      <c r="R104" s="165">
        <v>6.1480719128294448</v>
      </c>
      <c r="S104" s="164">
        <v>1</v>
      </c>
    </row>
    <row r="105" spans="1:19" customFormat="1" hidden="1">
      <c r="A105">
        <v>0</v>
      </c>
      <c r="B105" t="s">
        <v>14</v>
      </c>
      <c r="C105">
        <v>22</v>
      </c>
      <c r="D105" t="s">
        <v>230</v>
      </c>
      <c r="E105" t="s">
        <v>518</v>
      </c>
      <c r="F105">
        <v>0.28872835506224137</v>
      </c>
      <c r="H105" s="160" t="s">
        <v>518</v>
      </c>
      <c r="I105">
        <v>71.675155631013027</v>
      </c>
      <c r="K105" t="s">
        <v>518</v>
      </c>
      <c r="L105">
        <v>29.337502895529305</v>
      </c>
      <c r="N105" t="s">
        <v>518</v>
      </c>
      <c r="O105">
        <v>558.17786768562235</v>
      </c>
      <c r="Q105" t="s">
        <v>518</v>
      </c>
      <c r="R105">
        <v>22</v>
      </c>
      <c r="S105">
        <v>1</v>
      </c>
    </row>
    <row r="106" spans="1:19">
      <c r="A106" s="164">
        <v>1</v>
      </c>
      <c r="B106" s="164" t="s">
        <v>15</v>
      </c>
      <c r="C106" s="191">
        <v>70.634410911389537</v>
      </c>
      <c r="D106" s="164" t="s">
        <v>16</v>
      </c>
      <c r="E106" s="164" t="s">
        <v>519</v>
      </c>
      <c r="F106" s="196">
        <v>0.24613456771642259</v>
      </c>
      <c r="H106" s="176" t="s">
        <v>519</v>
      </c>
      <c r="I106" s="191">
        <v>61.633281972265017</v>
      </c>
      <c r="K106" s="164" t="s">
        <v>519</v>
      </c>
      <c r="L106" s="191">
        <v>11.722184233662206</v>
      </c>
      <c r="N106" s="164" t="s">
        <v>519</v>
      </c>
      <c r="O106" s="198">
        <v>154.70915323812704</v>
      </c>
      <c r="Q106" s="164" t="s">
        <v>519</v>
      </c>
      <c r="R106" s="165">
        <v>70.634410911389537</v>
      </c>
      <c r="S106" s="164">
        <v>1</v>
      </c>
    </row>
    <row r="107" spans="1:19">
      <c r="A107" s="164">
        <v>1</v>
      </c>
      <c r="B107" s="164" t="s">
        <v>19</v>
      </c>
      <c r="C107" s="191">
        <v>3.2538145810983807</v>
      </c>
      <c r="D107" s="164" t="s">
        <v>20</v>
      </c>
      <c r="E107" s="164" t="s">
        <v>520</v>
      </c>
      <c r="F107" s="196">
        <v>0.18726092592073118</v>
      </c>
      <c r="H107" s="176" t="s">
        <v>520</v>
      </c>
      <c r="I107" s="191">
        <v>49.13461538461538</v>
      </c>
      <c r="K107" s="164" t="s">
        <v>520</v>
      </c>
      <c r="L107" s="191">
        <v>19.251883745963401</v>
      </c>
      <c r="N107" s="164" t="s">
        <v>520</v>
      </c>
      <c r="O107" s="198">
        <v>472.94170534026154</v>
      </c>
      <c r="Q107" s="164" t="s">
        <v>520</v>
      </c>
      <c r="R107" s="165">
        <v>3.2538145810983807</v>
      </c>
      <c r="S107" s="164">
        <v>1</v>
      </c>
    </row>
    <row r="108" spans="1:19" customFormat="1" hidden="1">
      <c r="A108">
        <v>0</v>
      </c>
      <c r="B108" t="s">
        <v>19</v>
      </c>
      <c r="C108">
        <v>28</v>
      </c>
      <c r="D108" t="s">
        <v>230</v>
      </c>
      <c r="E108" t="s">
        <v>521</v>
      </c>
      <c r="F108">
        <v>0.27781138203876993</v>
      </c>
      <c r="H108" s="160" t="s">
        <v>521</v>
      </c>
      <c r="I108">
        <v>72.893772893772891</v>
      </c>
      <c r="K108" t="s">
        <v>521</v>
      </c>
      <c r="L108">
        <v>28.561176892716176</v>
      </c>
      <c r="N108" t="s">
        <v>521</v>
      </c>
      <c r="O108">
        <v>701.63376656574064</v>
      </c>
      <c r="Q108" t="s">
        <v>521</v>
      </c>
      <c r="R108">
        <v>28</v>
      </c>
      <c r="S108">
        <v>1</v>
      </c>
    </row>
    <row r="109" spans="1:19" customFormat="1" hidden="1">
      <c r="A109">
        <v>1</v>
      </c>
      <c r="B109" t="s">
        <v>398</v>
      </c>
      <c r="C109">
        <v>91.710226923313456</v>
      </c>
      <c r="D109" t="s">
        <v>399</v>
      </c>
      <c r="E109" t="s">
        <v>522</v>
      </c>
      <c r="F109">
        <v>0.35074399231075637</v>
      </c>
      <c r="H109" s="160" t="s">
        <v>522</v>
      </c>
      <c r="I109">
        <v>0</v>
      </c>
      <c r="K109" t="s">
        <v>522</v>
      </c>
      <c r="L109">
        <v>0</v>
      </c>
      <c r="N109" t="s">
        <v>522</v>
      </c>
      <c r="O109">
        <v>153.84615384615384</v>
      </c>
      <c r="Q109" t="s">
        <v>522</v>
      </c>
      <c r="R109">
        <v>91.710226923313456</v>
      </c>
      <c r="S109">
        <v>1</v>
      </c>
    </row>
    <row r="110" spans="1:19" customFormat="1" hidden="1">
      <c r="A110">
        <v>1</v>
      </c>
      <c r="B110" t="s">
        <v>21</v>
      </c>
      <c r="C110">
        <v>93.660729617083717</v>
      </c>
      <c r="D110" t="s">
        <v>22</v>
      </c>
      <c r="E110" t="s">
        <v>523</v>
      </c>
      <c r="F110">
        <v>9.7904497018706085E-2</v>
      </c>
      <c r="H110" s="160" t="s">
        <v>523</v>
      </c>
      <c r="I110" t="s">
        <v>151</v>
      </c>
      <c r="K110" t="s">
        <v>523</v>
      </c>
      <c r="L110" t="s">
        <v>151</v>
      </c>
      <c r="N110" t="s">
        <v>523</v>
      </c>
      <c r="O110">
        <v>25.784858873021172</v>
      </c>
      <c r="Q110" t="s">
        <v>523</v>
      </c>
      <c r="R110">
        <v>93.660729617083717</v>
      </c>
      <c r="S110">
        <v>1</v>
      </c>
    </row>
    <row r="111" spans="1:19" customFormat="1" hidden="1">
      <c r="A111">
        <v>1</v>
      </c>
      <c r="B111" t="s">
        <v>24</v>
      </c>
      <c r="C111">
        <v>47.878538424615044</v>
      </c>
      <c r="D111" t="s">
        <v>396</v>
      </c>
      <c r="E111" t="s">
        <v>524</v>
      </c>
      <c r="F111">
        <v>0.26717943941950356</v>
      </c>
      <c r="H111" s="160" t="s">
        <v>524</v>
      </c>
      <c r="I111" t="s">
        <v>151</v>
      </c>
      <c r="K111" t="s">
        <v>524</v>
      </c>
      <c r="L111">
        <v>23.981269446172991</v>
      </c>
      <c r="N111" t="s">
        <v>524</v>
      </c>
      <c r="O111">
        <v>1145.0545891588263</v>
      </c>
      <c r="Q111" t="s">
        <v>524</v>
      </c>
      <c r="R111">
        <v>47.878538424615044</v>
      </c>
      <c r="S111">
        <v>1</v>
      </c>
    </row>
    <row r="112" spans="1:19" customFormat="1" hidden="1">
      <c r="A112">
        <v>1</v>
      </c>
      <c r="B112" t="s">
        <v>238</v>
      </c>
      <c r="C112">
        <v>12</v>
      </c>
      <c r="D112" t="s">
        <v>229</v>
      </c>
      <c r="E112" t="s">
        <v>525</v>
      </c>
      <c r="F112">
        <v>0.25782322495681909</v>
      </c>
      <c r="H112" s="160" t="s">
        <v>525</v>
      </c>
      <c r="I112" t="s">
        <v>151</v>
      </c>
      <c r="K112" t="s">
        <v>525</v>
      </c>
      <c r="L112">
        <v>21.97509327906188</v>
      </c>
      <c r="N112" t="s">
        <v>525</v>
      </c>
      <c r="O112">
        <v>1449.4759644838564</v>
      </c>
      <c r="Q112" t="s">
        <v>525</v>
      </c>
      <c r="R112">
        <v>12</v>
      </c>
      <c r="S112">
        <v>1</v>
      </c>
    </row>
    <row r="113" spans="1:19" customFormat="1" hidden="1">
      <c r="A113">
        <v>0</v>
      </c>
      <c r="B113" t="s">
        <v>238</v>
      </c>
      <c r="C113" t="s">
        <v>416</v>
      </c>
      <c r="D113" t="s">
        <v>230</v>
      </c>
      <c r="E113" t="s">
        <v>526</v>
      </c>
      <c r="F113">
        <v>0.18846394503458766</v>
      </c>
      <c r="H113" s="160" t="s">
        <v>526</v>
      </c>
      <c r="I113" t="s">
        <v>151</v>
      </c>
      <c r="K113" t="s">
        <v>526</v>
      </c>
      <c r="L113">
        <v>16.0633813054223</v>
      </c>
      <c r="N113" t="s">
        <v>526</v>
      </c>
      <c r="O113">
        <v>1059.5397623514848</v>
      </c>
      <c r="Q113" t="s">
        <v>526</v>
      </c>
      <c r="R113" t="s">
        <v>416</v>
      </c>
      <c r="S113" t="s">
        <v>416</v>
      </c>
    </row>
    <row r="114" spans="1:19" customFormat="1" hidden="1">
      <c r="A114">
        <v>1</v>
      </c>
      <c r="B114" t="s">
        <v>26</v>
      </c>
      <c r="C114">
        <v>0</v>
      </c>
      <c r="D114" t="s">
        <v>394</v>
      </c>
      <c r="E114" t="s">
        <v>527</v>
      </c>
      <c r="F114">
        <v>0.12529718927080169</v>
      </c>
      <c r="H114" s="160" t="s">
        <v>527</v>
      </c>
      <c r="I114">
        <v>66.666666666666657</v>
      </c>
      <c r="K114" t="s">
        <v>527</v>
      </c>
      <c r="L114">
        <v>13.071895424836603</v>
      </c>
      <c r="N114" t="s">
        <v>527</v>
      </c>
      <c r="O114">
        <v>8.4067169668565196</v>
      </c>
      <c r="Q114" t="s">
        <v>527</v>
      </c>
      <c r="R114">
        <v>0</v>
      </c>
      <c r="S114">
        <v>1</v>
      </c>
    </row>
    <row r="115" spans="1:19">
      <c r="A115" s="164">
        <v>1</v>
      </c>
      <c r="B115" s="164" t="s">
        <v>28</v>
      </c>
      <c r="C115" s="191">
        <v>81.732667719776884</v>
      </c>
      <c r="D115" s="164" t="s">
        <v>273</v>
      </c>
      <c r="E115" s="164" t="s">
        <v>528</v>
      </c>
      <c r="F115" s="196">
        <v>4.0539336686589607E-2</v>
      </c>
      <c r="H115" s="176" t="s">
        <v>528</v>
      </c>
      <c r="I115" s="191">
        <v>11.367942402425161</v>
      </c>
      <c r="K115" s="164" t="s">
        <v>528</v>
      </c>
      <c r="L115" s="191">
        <v>6.9013112491373363</v>
      </c>
      <c r="N115" s="164" t="s">
        <v>528</v>
      </c>
      <c r="O115" s="198">
        <v>19.389238972370336</v>
      </c>
      <c r="Q115" s="164" t="s">
        <v>528</v>
      </c>
      <c r="R115" s="165">
        <v>81.732667719776884</v>
      </c>
      <c r="S115" s="164">
        <v>1</v>
      </c>
    </row>
    <row r="116" spans="1:19">
      <c r="A116" s="164">
        <v>1</v>
      </c>
      <c r="B116" s="164" t="s">
        <v>30</v>
      </c>
      <c r="C116" s="191">
        <v>100</v>
      </c>
      <c r="D116" s="164" t="s">
        <v>392</v>
      </c>
      <c r="E116" s="164" t="s">
        <v>529</v>
      </c>
      <c r="F116" s="196">
        <v>9.4877560508164219E-2</v>
      </c>
      <c r="H116" s="176" t="s">
        <v>529</v>
      </c>
      <c r="I116" s="191" t="s">
        <v>151</v>
      </c>
      <c r="K116" s="164" t="s">
        <v>529</v>
      </c>
      <c r="L116" s="191" t="s">
        <v>151</v>
      </c>
      <c r="N116" s="164" t="s">
        <v>529</v>
      </c>
      <c r="O116" s="198">
        <v>20</v>
      </c>
      <c r="Q116" s="164" t="s">
        <v>529</v>
      </c>
      <c r="R116" s="165">
        <v>100</v>
      </c>
      <c r="S116" s="164">
        <v>1</v>
      </c>
    </row>
    <row r="117" spans="1:19" customFormat="1" hidden="1">
      <c r="A117">
        <v>1</v>
      </c>
      <c r="B117" t="s">
        <v>31</v>
      </c>
      <c r="C117" t="s">
        <v>416</v>
      </c>
      <c r="D117" t="s">
        <v>390</v>
      </c>
      <c r="E117" t="s">
        <v>530</v>
      </c>
      <c r="F117">
        <v>0.35677962150914927</v>
      </c>
      <c r="H117" s="160" t="s">
        <v>530</v>
      </c>
      <c r="I117">
        <v>192.30769230769232</v>
      </c>
      <c r="K117" t="s">
        <v>530</v>
      </c>
      <c r="L117" t="s">
        <v>151</v>
      </c>
      <c r="N117" t="s">
        <v>530</v>
      </c>
      <c r="O117">
        <v>472.44094488188978</v>
      </c>
      <c r="Q117" t="s">
        <v>530</v>
      </c>
      <c r="R117" t="s">
        <v>416</v>
      </c>
      <c r="S117" t="s">
        <v>416</v>
      </c>
    </row>
    <row r="118" spans="1:19" customFormat="1" hidden="1">
      <c r="A118">
        <v>1</v>
      </c>
      <c r="B118" t="s">
        <v>387</v>
      </c>
      <c r="C118">
        <v>0</v>
      </c>
      <c r="D118" t="s">
        <v>388</v>
      </c>
      <c r="E118" t="s">
        <v>531</v>
      </c>
      <c r="F118">
        <v>8.6046236691140976E-2</v>
      </c>
      <c r="H118" s="160" t="s">
        <v>531</v>
      </c>
      <c r="I118">
        <v>13.679653679653681</v>
      </c>
      <c r="K118" t="s">
        <v>531</v>
      </c>
      <c r="L118">
        <v>4.8916408668730647</v>
      </c>
      <c r="N118" t="s">
        <v>531</v>
      </c>
      <c r="O118">
        <v>87.453874538745382</v>
      </c>
      <c r="Q118" t="s">
        <v>531</v>
      </c>
      <c r="R118">
        <v>0</v>
      </c>
      <c r="S118">
        <v>1</v>
      </c>
    </row>
    <row r="119" spans="1:19" customFormat="1" hidden="1">
      <c r="A119">
        <v>1</v>
      </c>
      <c r="B119" t="s">
        <v>33</v>
      </c>
      <c r="C119" t="s">
        <v>416</v>
      </c>
      <c r="D119" t="s">
        <v>384</v>
      </c>
      <c r="E119" t="s">
        <v>532</v>
      </c>
      <c r="F119">
        <v>6.7887512144238923E-2</v>
      </c>
      <c r="H119" s="160" t="s">
        <v>532</v>
      </c>
      <c r="I119" t="s">
        <v>151</v>
      </c>
      <c r="K119" t="s">
        <v>532</v>
      </c>
      <c r="L119">
        <v>9.3961965134706809</v>
      </c>
      <c r="N119" t="s">
        <v>532</v>
      </c>
      <c r="O119">
        <v>20.803508771929824</v>
      </c>
      <c r="Q119" t="s">
        <v>532</v>
      </c>
      <c r="R119" t="s">
        <v>416</v>
      </c>
      <c r="S119" t="s">
        <v>416</v>
      </c>
    </row>
    <row r="120" spans="1:19" customFormat="1" hidden="1">
      <c r="A120">
        <v>1</v>
      </c>
      <c r="B120" t="s">
        <v>380</v>
      </c>
      <c r="C120">
        <v>0</v>
      </c>
      <c r="D120" t="s">
        <v>381</v>
      </c>
      <c r="E120" t="s">
        <v>533</v>
      </c>
      <c r="F120">
        <v>0.26331630630876102</v>
      </c>
      <c r="H120" s="160" t="s">
        <v>533</v>
      </c>
      <c r="I120">
        <v>0</v>
      </c>
      <c r="K120" t="s">
        <v>533</v>
      </c>
      <c r="L120">
        <v>0</v>
      </c>
      <c r="N120" t="s">
        <v>533</v>
      </c>
      <c r="O120">
        <v>9.1669988043045034</v>
      </c>
      <c r="Q120" t="s">
        <v>533</v>
      </c>
      <c r="R120">
        <v>0</v>
      </c>
      <c r="S120">
        <v>1</v>
      </c>
    </row>
    <row r="121" spans="1:19">
      <c r="A121" s="164">
        <v>1</v>
      </c>
      <c r="B121" s="164" t="s">
        <v>35</v>
      </c>
      <c r="C121" s="191">
        <v>2.8660504882377555</v>
      </c>
      <c r="D121" s="164" t="s">
        <v>379</v>
      </c>
      <c r="E121" s="164" t="s">
        <v>534</v>
      </c>
      <c r="F121" s="196">
        <v>0.34882555163059425</v>
      </c>
      <c r="H121" s="176" t="s">
        <v>534</v>
      </c>
      <c r="I121" s="191">
        <v>93.413978494623649</v>
      </c>
      <c r="K121" s="164" t="s">
        <v>534</v>
      </c>
      <c r="L121" s="191">
        <v>36.463798530954875</v>
      </c>
      <c r="N121" s="164" t="s">
        <v>534</v>
      </c>
      <c r="O121" s="198">
        <v>86.518112784762863</v>
      </c>
      <c r="Q121" s="164" t="s">
        <v>534</v>
      </c>
      <c r="R121" s="165">
        <v>2.8660504882377555</v>
      </c>
      <c r="S121" s="164">
        <v>1</v>
      </c>
    </row>
    <row r="122" spans="1:19">
      <c r="A122" s="164">
        <v>1</v>
      </c>
      <c r="B122" s="164" t="s">
        <v>38</v>
      </c>
      <c r="C122" s="191">
        <v>19.477563084802355</v>
      </c>
      <c r="D122" s="164" t="s">
        <v>375</v>
      </c>
      <c r="E122" s="164" t="s">
        <v>535</v>
      </c>
      <c r="F122" s="196">
        <v>0.29677731616454556</v>
      </c>
      <c r="H122" s="176" t="s">
        <v>535</v>
      </c>
      <c r="I122" s="191">
        <v>59.222189054726371</v>
      </c>
      <c r="K122" s="164" t="s">
        <v>535</v>
      </c>
      <c r="L122" s="191">
        <v>28.55964491362764</v>
      </c>
      <c r="N122" s="164" t="s">
        <v>535</v>
      </c>
      <c r="O122" s="198">
        <v>958.12587029837641</v>
      </c>
      <c r="Q122" s="164" t="s">
        <v>535</v>
      </c>
      <c r="R122" s="165">
        <v>19.477563084802355</v>
      </c>
      <c r="S122" s="164">
        <v>1</v>
      </c>
    </row>
    <row r="123" spans="1:19">
      <c r="A123" s="164">
        <v>1</v>
      </c>
      <c r="B123" s="164" t="s">
        <v>40</v>
      </c>
      <c r="C123" s="191">
        <v>4.9435903770628888</v>
      </c>
      <c r="D123" s="164" t="s">
        <v>374</v>
      </c>
      <c r="E123" s="164" t="s">
        <v>536</v>
      </c>
      <c r="F123" s="196">
        <v>0.16715341902109188</v>
      </c>
      <c r="H123" s="176" t="s">
        <v>536</v>
      </c>
      <c r="I123" s="191">
        <v>53.619729514717584</v>
      </c>
      <c r="K123" s="164" t="s">
        <v>536</v>
      </c>
      <c r="L123" s="191">
        <v>20.655838185718665</v>
      </c>
      <c r="N123" s="164" t="s">
        <v>536</v>
      </c>
      <c r="O123" s="198">
        <v>674</v>
      </c>
      <c r="Q123" s="164" t="s">
        <v>536</v>
      </c>
      <c r="R123" s="165">
        <v>4.9435903770628888</v>
      </c>
      <c r="S123" s="164">
        <v>1</v>
      </c>
    </row>
    <row r="124" spans="1:19">
      <c r="A124" s="164">
        <v>1</v>
      </c>
      <c r="B124" s="164" t="s">
        <v>42</v>
      </c>
      <c r="C124" s="191">
        <v>19.347563869633696</v>
      </c>
      <c r="D124" s="164" t="s">
        <v>268</v>
      </c>
      <c r="E124" s="164" t="s">
        <v>537</v>
      </c>
      <c r="F124" s="196">
        <v>0.27801238292347863</v>
      </c>
      <c r="H124" s="176" t="s">
        <v>537</v>
      </c>
      <c r="I124" s="191">
        <v>107.34068903400136</v>
      </c>
      <c r="K124" s="164" t="s">
        <v>537</v>
      </c>
      <c r="L124" s="191">
        <v>46.625586854460096</v>
      </c>
      <c r="N124" s="164" t="s">
        <v>537</v>
      </c>
      <c r="O124" s="198">
        <v>240.75757575757575</v>
      </c>
      <c r="Q124" s="164" t="s">
        <v>537</v>
      </c>
      <c r="R124" s="165">
        <v>19.347563869633696</v>
      </c>
      <c r="S124" s="164">
        <v>1</v>
      </c>
    </row>
    <row r="125" spans="1:19">
      <c r="A125" s="164">
        <v>1</v>
      </c>
      <c r="B125" s="164" t="s">
        <v>43</v>
      </c>
      <c r="C125" s="191">
        <v>0.25478071426208798</v>
      </c>
      <c r="D125" s="164" t="s">
        <v>36</v>
      </c>
      <c r="E125" s="164" t="s">
        <v>538</v>
      </c>
      <c r="F125" s="196" t="s">
        <v>151</v>
      </c>
      <c r="H125" s="176" t="s">
        <v>538</v>
      </c>
      <c r="I125" s="191">
        <v>158.41295116772824</v>
      </c>
      <c r="K125" s="164" t="s">
        <v>538</v>
      </c>
      <c r="L125" s="191" t="s">
        <v>151</v>
      </c>
      <c r="N125" s="164" t="s">
        <v>538</v>
      </c>
      <c r="O125" s="198">
        <v>31.75</v>
      </c>
      <c r="Q125" s="164" t="s">
        <v>538</v>
      </c>
      <c r="R125" s="165">
        <v>0.25478071426208798</v>
      </c>
      <c r="S125" s="164">
        <v>1</v>
      </c>
    </row>
    <row r="126" spans="1:19" customFormat="1" hidden="1">
      <c r="A126">
        <v>1</v>
      </c>
      <c r="B126" t="s">
        <v>370</v>
      </c>
      <c r="C126">
        <v>0</v>
      </c>
      <c r="D126" t="s">
        <v>371</v>
      </c>
      <c r="E126" t="s">
        <v>539</v>
      </c>
      <c r="F126">
        <v>0.40809299194971987</v>
      </c>
      <c r="H126" s="160" t="s">
        <v>539</v>
      </c>
      <c r="I126">
        <v>159.91735537190081</v>
      </c>
      <c r="K126" t="s">
        <v>539</v>
      </c>
      <c r="L126">
        <v>0</v>
      </c>
      <c r="N126" t="s">
        <v>539</v>
      </c>
      <c r="O126">
        <v>360</v>
      </c>
      <c r="Q126" t="s">
        <v>539</v>
      </c>
      <c r="R126">
        <v>0</v>
      </c>
      <c r="S126">
        <v>1</v>
      </c>
    </row>
    <row r="127" spans="1:19">
      <c r="A127" s="164">
        <v>1</v>
      </c>
      <c r="B127" s="164" t="s">
        <v>44</v>
      </c>
      <c r="C127" s="191">
        <v>37.554000000000002</v>
      </c>
      <c r="D127" s="164" t="s">
        <v>368</v>
      </c>
      <c r="E127" s="164" t="s">
        <v>540</v>
      </c>
      <c r="F127" s="196">
        <v>7.6103758770645902E-2</v>
      </c>
      <c r="H127" s="176" t="s">
        <v>540</v>
      </c>
      <c r="I127" s="191">
        <v>27.692307692307693</v>
      </c>
      <c r="K127" s="164" t="s">
        <v>540</v>
      </c>
      <c r="L127" s="191">
        <v>12.612284364971483</v>
      </c>
      <c r="N127" s="164" t="s">
        <v>540</v>
      </c>
      <c r="O127" s="198">
        <v>8.6538461538461533</v>
      </c>
      <c r="Q127" s="164" t="s">
        <v>540</v>
      </c>
      <c r="R127" s="165">
        <v>37.554000000000002</v>
      </c>
      <c r="S127" s="164">
        <v>1</v>
      </c>
    </row>
    <row r="128" spans="1:19">
      <c r="A128" s="164">
        <v>1</v>
      </c>
      <c r="B128" s="164" t="s">
        <v>44</v>
      </c>
      <c r="C128" s="191">
        <v>1.4876238769939658</v>
      </c>
      <c r="D128" s="164" t="s">
        <v>369</v>
      </c>
      <c r="E128" s="164" t="s">
        <v>541</v>
      </c>
      <c r="F128" s="196">
        <v>5.0735839180430606E-2</v>
      </c>
      <c r="H128" s="176" t="s">
        <v>541</v>
      </c>
      <c r="I128" s="191">
        <v>18.461538461538463</v>
      </c>
      <c r="K128" s="164" t="s">
        <v>541</v>
      </c>
      <c r="L128" s="191">
        <v>8.408189576647656</v>
      </c>
      <c r="N128" s="164" t="s">
        <v>541</v>
      </c>
      <c r="O128" s="198">
        <v>5.7692307692307692</v>
      </c>
      <c r="Q128" s="164" t="s">
        <v>541</v>
      </c>
      <c r="R128" s="165">
        <v>1.4876238769939658</v>
      </c>
      <c r="S128" s="164">
        <v>1</v>
      </c>
    </row>
    <row r="129" spans="1:19">
      <c r="A129" s="164">
        <v>1</v>
      </c>
      <c r="B129" s="164" t="s">
        <v>47</v>
      </c>
      <c r="C129" s="191">
        <v>0.76569808694586838</v>
      </c>
      <c r="D129" s="164" t="s">
        <v>48</v>
      </c>
      <c r="E129" s="164" t="s">
        <v>542</v>
      </c>
      <c r="F129" s="196">
        <v>0.10477519091026416</v>
      </c>
      <c r="H129" s="176" t="s">
        <v>542</v>
      </c>
      <c r="I129" s="191">
        <v>22.388059701492537</v>
      </c>
      <c r="K129" s="164" t="s">
        <v>542</v>
      </c>
      <c r="L129" s="191" t="s">
        <v>151</v>
      </c>
      <c r="N129" s="164" t="s">
        <v>542</v>
      </c>
      <c r="O129" s="198">
        <v>11.551790527531768</v>
      </c>
      <c r="Q129" s="164" t="s">
        <v>542</v>
      </c>
      <c r="R129" s="165">
        <v>0.76569808694586838</v>
      </c>
      <c r="S129" s="164">
        <v>1</v>
      </c>
    </row>
    <row r="130" spans="1:19">
      <c r="S130" s="164">
        <v>87</v>
      </c>
    </row>
  </sheetData>
  <autoFilter ref="A2:S129">
    <filterColumn colId="0">
      <filters>
        <filter val="1"/>
      </filters>
    </filterColumn>
    <filterColumn colId="2">
      <filters>
        <filter val="0,115002171"/>
        <filter val="0,12"/>
        <filter val="0,254780714"/>
        <filter val="0,475168329"/>
        <filter val="0,529794902"/>
        <filter val="0,765698087"/>
        <filter val="1"/>
        <filter val="1,274416915"/>
        <filter val="1,487623877"/>
        <filter val="100"/>
        <filter val="12,36472928"/>
        <filter val="12,63312798"/>
        <filter val="14,94786952"/>
        <filter val="16,9308485"/>
        <filter val="19,34756387"/>
        <filter val="19,47756308"/>
        <filter val="19,5"/>
        <filter val="2"/>
        <filter val="2,47783318"/>
        <filter val="2,522002865"/>
        <filter val="2,635613157"/>
        <filter val="2,866050488"/>
        <filter val="2,985517526"/>
        <filter val="22"/>
        <filter val="23,94562668"/>
        <filter val="28"/>
        <filter val="3,253814581"/>
        <filter val="32,44698229"/>
        <filter val="34"/>
        <filter val="37,554"/>
        <filter val="38,44417073"/>
        <filter val="39,1"/>
        <filter val="4,405157922"/>
        <filter val="4,943590377"/>
        <filter val="5"/>
        <filter val="5,110504702"/>
        <filter val="51,19764402"/>
        <filter val="53"/>
        <filter val="55,58064791"/>
        <filter val="56,68432243"/>
        <filter val="59"/>
        <filter val="6"/>
        <filter val="6,148071913"/>
        <filter val="60"/>
        <filter val="68,39969275"/>
        <filter val="69,09919921"/>
        <filter val="7,319679691"/>
        <filter val="70,63441091"/>
        <filter val="8,315651752"/>
        <filter val="8,726642423"/>
        <filter val="81,73266772"/>
        <filter val="88,2651576"/>
        <filter val="9,112354551"/>
        <filter val="9,708945032"/>
        <filter val="93,65053568"/>
        <filter val="96,09506531"/>
      </filters>
    </filterColumn>
    <filterColumn colId="14">
      <filters>
        <filter val="10,77636153"/>
        <filter val="100"/>
        <filter val="11,55179053"/>
        <filter val="11,72574881"/>
        <filter val="1212"/>
        <filter val="1254,7433"/>
        <filter val="140,8669974"/>
        <filter val="154,7091532"/>
        <filter val="1558"/>
        <filter val="157,6864322"/>
        <filter val="169,8332738"/>
        <filter val="17"/>
        <filter val="172,9231213"/>
        <filter val="18,02884615"/>
        <filter val="19,38923897"/>
        <filter val="20"/>
        <filter val="239,7895099"/>
        <filter val="240,7575758"/>
        <filter val="245"/>
        <filter val="258,3528354"/>
        <filter val="27,80240148"/>
        <filter val="29,15451895"/>
        <filter val="29,39199976"/>
        <filter val="3,8062613"/>
        <filter val="31,75"/>
        <filter val="32,67973856"/>
        <filter val="33,95585739"/>
        <filter val="330,9549273"/>
        <filter val="35"/>
        <filter val="352,1436746"/>
        <filter val="38,0824714"/>
        <filter val="4,336173562"/>
        <filter val="429,7088821"/>
        <filter val="436,3174805"/>
        <filter val="472,9417053"/>
        <filter val="49,1581664"/>
        <filter val="5,769230769"/>
        <filter val="50"/>
        <filter val="504,3659814"/>
        <filter val="51,43212759"/>
        <filter val="547"/>
        <filter val="6,738544474"/>
        <filter val="674"/>
        <filter val="68,29631132"/>
        <filter val="8,653846154"/>
        <filter val="804,7148731"/>
        <filter val="86,51811278"/>
        <filter val="869,4281376"/>
        <filter val="87,44186047"/>
        <filter val="958,1258703"/>
        <filter val="96,07715177"/>
        <filter val="981,41023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Graphiques</vt:lpstr>
      </vt:variant>
      <vt:variant>
        <vt:i4>9</vt:i4>
      </vt:variant>
    </vt:vector>
  </HeadingPairs>
  <TitlesOfParts>
    <vt:vector size="19" baseType="lpstr">
      <vt:lpstr>Original</vt:lpstr>
      <vt:lpstr>Data for Graph complete</vt:lpstr>
      <vt:lpstr>Data Minimum wage</vt:lpstr>
      <vt:lpstr>Data Average wage</vt:lpstr>
      <vt:lpstr>Data GDP per capita</vt:lpstr>
      <vt:lpstr>Data Dollars PPP</vt:lpstr>
      <vt:lpstr>Data US$</vt:lpstr>
      <vt:lpstr>Data Coverage (1)</vt:lpstr>
      <vt:lpstr>Data Graph PPP</vt:lpstr>
      <vt:lpstr>Data G3 level in USD &amp; Coverage</vt:lpstr>
      <vt:lpstr>G_minimum wage</vt:lpstr>
      <vt:lpstr>G_per average wage</vt:lpstr>
      <vt:lpstr>G_per GDP per capita</vt:lpstr>
      <vt:lpstr>G_per PPP $</vt:lpstr>
      <vt:lpstr>G_per US $</vt:lpstr>
      <vt:lpstr>G_Coverage (1)</vt:lpstr>
      <vt:lpstr>G Level PPP and Coverage</vt:lpstr>
      <vt:lpstr>G2.2 PPP level</vt:lpstr>
      <vt:lpstr>G3_level in USD</vt:lpstr>
    </vt:vector>
  </TitlesOfParts>
  <Company>HelpAge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Knox-Vydmanov</dc:creator>
  <cp:lastModifiedBy>Flo</cp:lastModifiedBy>
  <cp:lastPrinted>2012-03-10T22:48:50Z</cp:lastPrinted>
  <dcterms:created xsi:type="dcterms:W3CDTF">2011-06-23T17:03:24Z</dcterms:created>
  <dcterms:modified xsi:type="dcterms:W3CDTF">2012-10-06T21:27:11Z</dcterms:modified>
</cp:coreProperties>
</file>